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Files &amp; Docs/FORMACIÓN/EAN/ESP.ADM_FIN2021/SEMINARIO DE INVESTIGACIÓN/Trabajo final /anexos/"/>
    </mc:Choice>
  </mc:AlternateContent>
  <xr:revisionPtr revIDLastSave="0" documentId="8_{4F2E2A47-FD03-7143-86DB-788EFE1090FE}" xr6:coauthVersionLast="45" xr6:coauthVersionMax="45" xr10:uidLastSave="{00000000-0000-0000-0000-000000000000}"/>
  <bookViews>
    <workbookView xWindow="0" yWindow="460" windowWidth="25600" windowHeight="15540" tabRatio="957" firstSheet="1" activeTab="6" xr2:uid="{00000000-000D-0000-FFFF-FFFF00000000}"/>
  </bookViews>
  <sheets>
    <sheet name="RESUMEN" sheetId="10" r:id="rId1"/>
    <sheet name="Tasa de Oportunidad CUN" sheetId="8" r:id="rId2"/>
    <sheet name="Variables ESAP" sheetId="2" r:id="rId3"/>
    <sheet name="Cobertura" sheetId="3" r:id="rId4"/>
    <sheet name="Tabulación - A. Cualitativo" sheetId="4" r:id="rId5"/>
    <sheet name="Ponderación - A. Cuantitativo" sheetId="5" r:id="rId6"/>
    <sheet name="Resultados Acumulados" sheetId="9" r:id="rId7"/>
    <sheet name="Preseleccionados" sheetId="7" r:id="rId8"/>
  </sheets>
  <definedNames>
    <definedName name="_xlnm._FilterDatabase" localSheetId="6" hidden="1">'Resultados Acumulados'!$B$2:$D$2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7" l="1"/>
  <c r="F31" i="7"/>
  <c r="E31" i="7"/>
  <c r="J31" i="5"/>
  <c r="I31" i="5"/>
  <c r="H31" i="5"/>
  <c r="G31" i="5"/>
  <c r="E31" i="5"/>
  <c r="J30" i="4"/>
  <c r="I30" i="4"/>
  <c r="H30" i="4"/>
  <c r="G30" i="4"/>
  <c r="E30" i="4"/>
  <c r="D27" i="5"/>
  <c r="C13" i="8"/>
  <c r="C7" i="8"/>
  <c r="D27" i="7" l="1"/>
  <c r="E27" i="7"/>
  <c r="F27" i="7"/>
  <c r="D32" i="7"/>
  <c r="D33" i="7" s="1"/>
  <c r="E32" i="7"/>
  <c r="E33" i="7" s="1"/>
  <c r="F32" i="7"/>
  <c r="F33" i="7" s="1"/>
  <c r="K31" i="4"/>
  <c r="K32" i="4" s="1"/>
  <c r="F31" i="4"/>
  <c r="F32" i="4" s="1"/>
  <c r="D31" i="4"/>
  <c r="D32" i="4" s="1"/>
  <c r="J31" i="4"/>
  <c r="J32" i="4" s="1"/>
  <c r="I31" i="4"/>
  <c r="I32" i="4" s="1"/>
  <c r="H31" i="4"/>
  <c r="H32" i="4" s="1"/>
  <c r="G31" i="4"/>
  <c r="G32" i="4" s="1"/>
  <c r="E31" i="4"/>
  <c r="E32" i="4" s="1"/>
  <c r="E27" i="5"/>
  <c r="F27" i="5"/>
  <c r="G27" i="5"/>
  <c r="H27" i="5"/>
  <c r="I27" i="5"/>
  <c r="J27" i="5"/>
  <c r="K27" i="5"/>
  <c r="K32" i="5"/>
  <c r="K33" i="5" s="1"/>
  <c r="F32" i="5"/>
  <c r="F33" i="5" s="1"/>
  <c r="D32" i="5"/>
  <c r="D33" i="5" s="1"/>
  <c r="J32" i="5"/>
  <c r="J33" i="5" s="1"/>
  <c r="I32" i="5"/>
  <c r="I33" i="5" s="1"/>
  <c r="H32" i="5"/>
  <c r="H33" i="5" s="1"/>
  <c r="G32" i="5"/>
  <c r="G33" i="5" s="1"/>
  <c r="E32" i="5"/>
  <c r="E33" i="5" s="1"/>
  <c r="C16" i="2"/>
  <c r="Y58" i="3" l="1"/>
  <c r="V58" i="3"/>
  <c r="S58" i="3"/>
  <c r="P58" i="3"/>
  <c r="M58" i="3"/>
  <c r="J58" i="3"/>
  <c r="G58" i="3"/>
  <c r="D58" i="3"/>
  <c r="Z79" i="3"/>
  <c r="Y79" i="3"/>
  <c r="AA79" i="3" s="1"/>
  <c r="W79" i="3"/>
  <c r="V79" i="3"/>
  <c r="T79" i="3"/>
  <c r="S79" i="3"/>
  <c r="U79" i="3" s="1"/>
  <c r="Q79" i="3"/>
  <c r="P79" i="3"/>
  <c r="N79" i="3"/>
  <c r="M79" i="3"/>
  <c r="O79" i="3" s="1"/>
  <c r="K79" i="3"/>
  <c r="J79" i="3"/>
  <c r="L79" i="3" s="1"/>
  <c r="H79" i="3"/>
  <c r="G79" i="3"/>
  <c r="E79" i="3"/>
  <c r="D79" i="3"/>
  <c r="AA78" i="3"/>
  <c r="X78" i="3"/>
  <c r="U78" i="3"/>
  <c r="R78" i="3"/>
  <c r="O78" i="3"/>
  <c r="L78" i="3"/>
  <c r="I78" i="3"/>
  <c r="F78" i="3"/>
  <c r="AA77" i="3"/>
  <c r="X77" i="3"/>
  <c r="U77" i="3"/>
  <c r="R77" i="3"/>
  <c r="O77" i="3"/>
  <c r="L77" i="3"/>
  <c r="I77" i="3"/>
  <c r="F77" i="3"/>
  <c r="AA76" i="3"/>
  <c r="X76" i="3"/>
  <c r="U76" i="3"/>
  <c r="R76" i="3"/>
  <c r="O76" i="3"/>
  <c r="L76" i="3"/>
  <c r="I76" i="3"/>
  <c r="F76" i="3"/>
  <c r="AA75" i="3"/>
  <c r="X75" i="3"/>
  <c r="U75" i="3"/>
  <c r="R75" i="3"/>
  <c r="O75" i="3"/>
  <c r="L75" i="3"/>
  <c r="I75" i="3"/>
  <c r="F75" i="3"/>
  <c r="AA74" i="3"/>
  <c r="X74" i="3"/>
  <c r="U74" i="3"/>
  <c r="R74" i="3"/>
  <c r="O74" i="3"/>
  <c r="L74" i="3"/>
  <c r="I74" i="3"/>
  <c r="F74" i="3"/>
  <c r="AA73" i="3"/>
  <c r="X73" i="3"/>
  <c r="U73" i="3"/>
  <c r="R73" i="3"/>
  <c r="O73" i="3"/>
  <c r="L73" i="3"/>
  <c r="I73" i="3"/>
  <c r="F73" i="3"/>
  <c r="AA72" i="3"/>
  <c r="X72" i="3"/>
  <c r="U72" i="3"/>
  <c r="R72" i="3"/>
  <c r="O72" i="3"/>
  <c r="L72" i="3"/>
  <c r="I72" i="3"/>
  <c r="F72" i="3"/>
  <c r="AA71" i="3"/>
  <c r="X71" i="3"/>
  <c r="U71" i="3"/>
  <c r="R71" i="3"/>
  <c r="O71" i="3"/>
  <c r="L71" i="3"/>
  <c r="I71" i="3"/>
  <c r="F71" i="3"/>
  <c r="AA70" i="3"/>
  <c r="X70" i="3"/>
  <c r="U70" i="3"/>
  <c r="R70" i="3"/>
  <c r="O70" i="3"/>
  <c r="L70" i="3"/>
  <c r="I70" i="3"/>
  <c r="F70" i="3"/>
  <c r="AA69" i="3"/>
  <c r="X69" i="3"/>
  <c r="U69" i="3"/>
  <c r="R69" i="3"/>
  <c r="O69" i="3"/>
  <c r="L69" i="3"/>
  <c r="I69" i="3"/>
  <c r="F69" i="3"/>
  <c r="AA68" i="3"/>
  <c r="X68" i="3"/>
  <c r="U68" i="3"/>
  <c r="R68" i="3"/>
  <c r="O68" i="3"/>
  <c r="L68" i="3"/>
  <c r="I68" i="3"/>
  <c r="F68" i="3"/>
  <c r="AA67" i="3"/>
  <c r="X67" i="3"/>
  <c r="U67" i="3"/>
  <c r="R67" i="3"/>
  <c r="O67" i="3"/>
  <c r="L67" i="3"/>
  <c r="I67" i="3"/>
  <c r="F67" i="3"/>
  <c r="AA66" i="3"/>
  <c r="X66" i="3"/>
  <c r="U66" i="3"/>
  <c r="R66" i="3"/>
  <c r="O66" i="3"/>
  <c r="L66" i="3"/>
  <c r="I66" i="3"/>
  <c r="F66" i="3"/>
  <c r="AA65" i="3"/>
  <c r="X65" i="3"/>
  <c r="U65" i="3"/>
  <c r="R65" i="3"/>
  <c r="O65" i="3"/>
  <c r="L65" i="3"/>
  <c r="I65" i="3"/>
  <c r="F65" i="3"/>
  <c r="AA64" i="3"/>
  <c r="X64" i="3"/>
  <c r="U64" i="3"/>
  <c r="R64" i="3"/>
  <c r="O64" i="3"/>
  <c r="L64" i="3"/>
  <c r="I64" i="3"/>
  <c r="F64" i="3"/>
  <c r="AA63" i="3"/>
  <c r="X63" i="3"/>
  <c r="U63" i="3"/>
  <c r="R63" i="3"/>
  <c r="O63" i="3"/>
  <c r="L63" i="3"/>
  <c r="I63" i="3"/>
  <c r="F63" i="3"/>
  <c r="Z54" i="3"/>
  <c r="Y54" i="3"/>
  <c r="W54" i="3"/>
  <c r="V54" i="3"/>
  <c r="T54" i="3"/>
  <c r="S54" i="3"/>
  <c r="Q54" i="3"/>
  <c r="P54" i="3"/>
  <c r="N54" i="3"/>
  <c r="M54" i="3"/>
  <c r="K54" i="3"/>
  <c r="J54" i="3"/>
  <c r="H54" i="3"/>
  <c r="G54" i="3"/>
  <c r="E54" i="3"/>
  <c r="D54" i="3"/>
  <c r="AA53" i="3"/>
  <c r="AA54" i="3" s="1"/>
  <c r="X53" i="3"/>
  <c r="X54" i="3" s="1"/>
  <c r="U53" i="3"/>
  <c r="U54" i="3" s="1"/>
  <c r="R53" i="3"/>
  <c r="R54" i="3" s="1"/>
  <c r="O53" i="3"/>
  <c r="O54" i="3" s="1"/>
  <c r="L53" i="3"/>
  <c r="L54" i="3" s="1"/>
  <c r="I53" i="3"/>
  <c r="I54" i="3" s="1"/>
  <c r="F53" i="3"/>
  <c r="F54" i="3" s="1"/>
  <c r="Z52" i="3"/>
  <c r="Y52" i="3"/>
  <c r="W52" i="3"/>
  <c r="V52" i="3"/>
  <c r="T52" i="3"/>
  <c r="S52" i="3"/>
  <c r="Q52" i="3"/>
  <c r="P52" i="3"/>
  <c r="N52" i="3"/>
  <c r="M52" i="3"/>
  <c r="K52" i="3"/>
  <c r="J52" i="3"/>
  <c r="H52" i="3"/>
  <c r="G52" i="3"/>
  <c r="E52" i="3"/>
  <c r="D52" i="3"/>
  <c r="AA51" i="3"/>
  <c r="AA52" i="3" s="1"/>
  <c r="X51" i="3"/>
  <c r="X52" i="3" s="1"/>
  <c r="U51" i="3"/>
  <c r="U52" i="3" s="1"/>
  <c r="R51" i="3"/>
  <c r="R52" i="3" s="1"/>
  <c r="O51" i="3"/>
  <c r="O52" i="3" s="1"/>
  <c r="L51" i="3"/>
  <c r="L52" i="3" s="1"/>
  <c r="I51" i="3"/>
  <c r="I52" i="3" s="1"/>
  <c r="F51" i="3"/>
  <c r="F52" i="3" s="1"/>
  <c r="Z50" i="3"/>
  <c r="Y50" i="3"/>
  <c r="W50" i="3"/>
  <c r="V50" i="3"/>
  <c r="T50" i="3"/>
  <c r="S50" i="3"/>
  <c r="Q50" i="3"/>
  <c r="P50" i="3"/>
  <c r="N50" i="3"/>
  <c r="M50" i="3"/>
  <c r="K50" i="3"/>
  <c r="J50" i="3"/>
  <c r="H50" i="3"/>
  <c r="G50" i="3"/>
  <c r="E50" i="3"/>
  <c r="D50" i="3"/>
  <c r="AA49" i="3"/>
  <c r="AA50" i="3" s="1"/>
  <c r="X49" i="3"/>
  <c r="X50" i="3" s="1"/>
  <c r="U49" i="3"/>
  <c r="U50" i="3" s="1"/>
  <c r="R49" i="3"/>
  <c r="R50" i="3" s="1"/>
  <c r="O49" i="3"/>
  <c r="O50" i="3" s="1"/>
  <c r="L49" i="3"/>
  <c r="L50" i="3" s="1"/>
  <c r="I49" i="3"/>
  <c r="I50" i="3" s="1"/>
  <c r="F49" i="3"/>
  <c r="F50" i="3" s="1"/>
  <c r="Z48" i="3"/>
  <c r="Y48" i="3"/>
  <c r="W48" i="3"/>
  <c r="V48" i="3"/>
  <c r="T48" i="3"/>
  <c r="S48" i="3"/>
  <c r="Q48" i="3"/>
  <c r="P48" i="3"/>
  <c r="N48" i="3"/>
  <c r="M48" i="3"/>
  <c r="K48" i="3"/>
  <c r="J48" i="3"/>
  <c r="H48" i="3"/>
  <c r="G48" i="3"/>
  <c r="E48" i="3"/>
  <c r="D48" i="3"/>
  <c r="AA47" i="3"/>
  <c r="X47" i="3"/>
  <c r="U47" i="3"/>
  <c r="R47" i="3"/>
  <c r="O47" i="3"/>
  <c r="L47" i="3"/>
  <c r="I47" i="3"/>
  <c r="F47" i="3"/>
  <c r="AA46" i="3"/>
  <c r="AA48" i="3" s="1"/>
  <c r="X46" i="3"/>
  <c r="X48" i="3" s="1"/>
  <c r="U46" i="3"/>
  <c r="U48" i="3" s="1"/>
  <c r="R46" i="3"/>
  <c r="R48" i="3" s="1"/>
  <c r="O46" i="3"/>
  <c r="O48" i="3" s="1"/>
  <c r="L46" i="3"/>
  <c r="L48" i="3" s="1"/>
  <c r="I46" i="3"/>
  <c r="I48" i="3" s="1"/>
  <c r="F46" i="3"/>
  <c r="F48" i="3" s="1"/>
  <c r="Z45" i="3"/>
  <c r="Y45" i="3"/>
  <c r="W45" i="3"/>
  <c r="V45" i="3"/>
  <c r="T45" i="3"/>
  <c r="S45" i="3"/>
  <c r="R45" i="3"/>
  <c r="Q45" i="3"/>
  <c r="P45" i="3"/>
  <c r="N45" i="3"/>
  <c r="M45" i="3"/>
  <c r="K45" i="3"/>
  <c r="J45" i="3"/>
  <c r="H45" i="3"/>
  <c r="G45" i="3"/>
  <c r="E45" i="3"/>
  <c r="D45" i="3"/>
  <c r="AA44" i="3"/>
  <c r="AA45" i="3" s="1"/>
  <c r="X44" i="3"/>
  <c r="X45" i="3" s="1"/>
  <c r="U44" i="3"/>
  <c r="U45" i="3" s="1"/>
  <c r="R44" i="3"/>
  <c r="O44" i="3"/>
  <c r="O45" i="3" s="1"/>
  <c r="L44" i="3"/>
  <c r="L45" i="3" s="1"/>
  <c r="I44" i="3"/>
  <c r="I45" i="3" s="1"/>
  <c r="F44" i="3"/>
  <c r="F45" i="3" s="1"/>
  <c r="Z43" i="3"/>
  <c r="Y43" i="3"/>
  <c r="W43" i="3"/>
  <c r="V43" i="3"/>
  <c r="T43" i="3"/>
  <c r="S43" i="3"/>
  <c r="Q43" i="3"/>
  <c r="P43" i="3"/>
  <c r="N43" i="3"/>
  <c r="M43" i="3"/>
  <c r="K43" i="3"/>
  <c r="J43" i="3"/>
  <c r="H43" i="3"/>
  <c r="G43" i="3"/>
  <c r="E43" i="3"/>
  <c r="D43" i="3"/>
  <c r="AA42" i="3"/>
  <c r="X42" i="3"/>
  <c r="U42" i="3"/>
  <c r="R42" i="3"/>
  <c r="O42" i="3"/>
  <c r="L42" i="3"/>
  <c r="I42" i="3"/>
  <c r="F42" i="3"/>
  <c r="AA41" i="3"/>
  <c r="AA43" i="3" s="1"/>
  <c r="X41" i="3"/>
  <c r="X43" i="3" s="1"/>
  <c r="U41" i="3"/>
  <c r="U43" i="3" s="1"/>
  <c r="R41" i="3"/>
  <c r="R43" i="3" s="1"/>
  <c r="O41" i="3"/>
  <c r="O43" i="3" s="1"/>
  <c r="L41" i="3"/>
  <c r="L43" i="3" s="1"/>
  <c r="I41" i="3"/>
  <c r="I43" i="3" s="1"/>
  <c r="F41" i="3"/>
  <c r="F43" i="3" s="1"/>
  <c r="Z40" i="3"/>
  <c r="Y40" i="3"/>
  <c r="W40" i="3"/>
  <c r="V40" i="3"/>
  <c r="T40" i="3"/>
  <c r="S40" i="3"/>
  <c r="Q40" i="3"/>
  <c r="P40" i="3"/>
  <c r="N40" i="3"/>
  <c r="M40" i="3"/>
  <c r="K40" i="3"/>
  <c r="J40" i="3"/>
  <c r="H40" i="3"/>
  <c r="G40" i="3"/>
  <c r="E40" i="3"/>
  <c r="D40" i="3"/>
  <c r="AA39" i="3"/>
  <c r="X39" i="3"/>
  <c r="U39" i="3"/>
  <c r="R39" i="3"/>
  <c r="O39" i="3"/>
  <c r="L39" i="3"/>
  <c r="I39" i="3"/>
  <c r="F39" i="3"/>
  <c r="AA38" i="3"/>
  <c r="X38" i="3"/>
  <c r="U38" i="3"/>
  <c r="R38" i="3"/>
  <c r="O38" i="3"/>
  <c r="L38" i="3"/>
  <c r="I38" i="3"/>
  <c r="F38" i="3"/>
  <c r="AA37" i="3"/>
  <c r="X37" i="3"/>
  <c r="U37" i="3"/>
  <c r="R37" i="3"/>
  <c r="O37" i="3"/>
  <c r="L37" i="3"/>
  <c r="I37" i="3"/>
  <c r="F37" i="3"/>
  <c r="AA36" i="3"/>
  <c r="X36" i="3"/>
  <c r="U36" i="3"/>
  <c r="R36" i="3"/>
  <c r="O36" i="3"/>
  <c r="L36" i="3"/>
  <c r="I36" i="3"/>
  <c r="F36" i="3"/>
  <c r="AA35" i="3"/>
  <c r="X35" i="3"/>
  <c r="U35" i="3"/>
  <c r="R35" i="3"/>
  <c r="O35" i="3"/>
  <c r="L35" i="3"/>
  <c r="I35" i="3"/>
  <c r="F35" i="3"/>
  <c r="AA34" i="3"/>
  <c r="AA40" i="3" s="1"/>
  <c r="X34" i="3"/>
  <c r="U34" i="3"/>
  <c r="U40" i="3" s="1"/>
  <c r="R34" i="3"/>
  <c r="R40" i="3" s="1"/>
  <c r="O34" i="3"/>
  <c r="O40" i="3" s="1"/>
  <c r="L34" i="3"/>
  <c r="L40" i="3" s="1"/>
  <c r="I34" i="3"/>
  <c r="I40" i="3" s="1"/>
  <c r="F34" i="3"/>
  <c r="F40" i="3" s="1"/>
  <c r="Z33" i="3"/>
  <c r="Y33" i="3"/>
  <c r="W33" i="3"/>
  <c r="V33" i="3"/>
  <c r="T33" i="3"/>
  <c r="S33" i="3"/>
  <c r="Q33" i="3"/>
  <c r="P33" i="3"/>
  <c r="N33" i="3"/>
  <c r="M33" i="3"/>
  <c r="K33" i="3"/>
  <c r="J33" i="3"/>
  <c r="H33" i="3"/>
  <c r="G33" i="3"/>
  <c r="E33" i="3"/>
  <c r="D33" i="3"/>
  <c r="AA32" i="3"/>
  <c r="X32" i="3"/>
  <c r="U32" i="3"/>
  <c r="R32" i="3"/>
  <c r="O32" i="3"/>
  <c r="L32" i="3"/>
  <c r="I32" i="3"/>
  <c r="F32" i="3"/>
  <c r="AA31" i="3"/>
  <c r="X31" i="3"/>
  <c r="U31" i="3"/>
  <c r="R31" i="3"/>
  <c r="O31" i="3"/>
  <c r="L31" i="3"/>
  <c r="I31" i="3"/>
  <c r="F31" i="3"/>
  <c r="AA30" i="3"/>
  <c r="AA33" i="3" s="1"/>
  <c r="X30" i="3"/>
  <c r="X33" i="3" s="1"/>
  <c r="U30" i="3"/>
  <c r="U33" i="3" s="1"/>
  <c r="R30" i="3"/>
  <c r="R33" i="3" s="1"/>
  <c r="O30" i="3"/>
  <c r="O33" i="3" s="1"/>
  <c r="L30" i="3"/>
  <c r="L33" i="3" s="1"/>
  <c r="I30" i="3"/>
  <c r="I33" i="3" s="1"/>
  <c r="F30" i="3"/>
  <c r="F33" i="3" s="1"/>
  <c r="Z29" i="3"/>
  <c r="Y29" i="3"/>
  <c r="W29" i="3"/>
  <c r="V29" i="3"/>
  <c r="T29" i="3"/>
  <c r="S29" i="3"/>
  <c r="Q29" i="3"/>
  <c r="P29" i="3"/>
  <c r="N29" i="3"/>
  <c r="M29" i="3"/>
  <c r="K29" i="3"/>
  <c r="J29" i="3"/>
  <c r="H29" i="3"/>
  <c r="G29" i="3"/>
  <c r="E29" i="3"/>
  <c r="D29" i="3"/>
  <c r="AA28" i="3"/>
  <c r="AA29" i="3" s="1"/>
  <c r="X28" i="3"/>
  <c r="X29" i="3" s="1"/>
  <c r="U28" i="3"/>
  <c r="U29" i="3" s="1"/>
  <c r="R28" i="3"/>
  <c r="R29" i="3" s="1"/>
  <c r="O28" i="3"/>
  <c r="O29" i="3" s="1"/>
  <c r="L28" i="3"/>
  <c r="L29" i="3" s="1"/>
  <c r="I28" i="3"/>
  <c r="I29" i="3" s="1"/>
  <c r="F28" i="3"/>
  <c r="F29" i="3" s="1"/>
  <c r="Y27" i="3"/>
  <c r="AA27" i="3" s="1"/>
  <c r="W27" i="3"/>
  <c r="V27" i="3"/>
  <c r="T27" i="3"/>
  <c r="S27" i="3"/>
  <c r="Q27" i="3"/>
  <c r="P27" i="3"/>
  <c r="N27" i="3"/>
  <c r="M27" i="3"/>
  <c r="K27" i="3"/>
  <c r="J27" i="3"/>
  <c r="H27" i="3"/>
  <c r="G27" i="3"/>
  <c r="E27" i="3"/>
  <c r="D27" i="3"/>
  <c r="AA26" i="3"/>
  <c r="X26" i="3"/>
  <c r="X27" i="3" s="1"/>
  <c r="U26" i="3"/>
  <c r="U27" i="3" s="1"/>
  <c r="R26" i="3"/>
  <c r="R27" i="3" s="1"/>
  <c r="O26" i="3"/>
  <c r="O27" i="3" s="1"/>
  <c r="L26" i="3"/>
  <c r="L27" i="3" s="1"/>
  <c r="I26" i="3"/>
  <c r="I27" i="3" s="1"/>
  <c r="F26" i="3"/>
  <c r="F27" i="3" s="1"/>
  <c r="Z25" i="3"/>
  <c r="Y25" i="3"/>
  <c r="W25" i="3"/>
  <c r="V25" i="3"/>
  <c r="T25" i="3"/>
  <c r="S25" i="3"/>
  <c r="Q25" i="3"/>
  <c r="P25" i="3"/>
  <c r="N25" i="3"/>
  <c r="M25" i="3"/>
  <c r="K25" i="3"/>
  <c r="J25" i="3"/>
  <c r="H25" i="3"/>
  <c r="G25" i="3"/>
  <c r="E25" i="3"/>
  <c r="D25" i="3"/>
  <c r="AA24" i="3"/>
  <c r="AA25" i="3" s="1"/>
  <c r="X24" i="3"/>
  <c r="X25" i="3" s="1"/>
  <c r="U24" i="3"/>
  <c r="U25" i="3" s="1"/>
  <c r="R24" i="3"/>
  <c r="R25" i="3" s="1"/>
  <c r="O24" i="3"/>
  <c r="O25" i="3" s="1"/>
  <c r="L24" i="3"/>
  <c r="L25" i="3" s="1"/>
  <c r="I24" i="3"/>
  <c r="I25" i="3" s="1"/>
  <c r="F24" i="3"/>
  <c r="F25" i="3" s="1"/>
  <c r="Z23" i="3"/>
  <c r="Y23" i="3"/>
  <c r="W23" i="3"/>
  <c r="V23" i="3"/>
  <c r="T23" i="3"/>
  <c r="S23" i="3"/>
  <c r="Q23" i="3"/>
  <c r="P23" i="3"/>
  <c r="N23" i="3"/>
  <c r="M23" i="3"/>
  <c r="K23" i="3"/>
  <c r="J23" i="3"/>
  <c r="H23" i="3"/>
  <c r="G23" i="3"/>
  <c r="E23" i="3"/>
  <c r="D23" i="3"/>
  <c r="AA22" i="3"/>
  <c r="X22" i="3"/>
  <c r="U22" i="3"/>
  <c r="R22" i="3"/>
  <c r="O22" i="3"/>
  <c r="L22" i="3"/>
  <c r="I22" i="3"/>
  <c r="F22" i="3"/>
  <c r="AA21" i="3"/>
  <c r="AA23" i="3" s="1"/>
  <c r="X21" i="3"/>
  <c r="X23" i="3" s="1"/>
  <c r="U21" i="3"/>
  <c r="U23" i="3" s="1"/>
  <c r="R21" i="3"/>
  <c r="R23" i="3" s="1"/>
  <c r="O21" i="3"/>
  <c r="O23" i="3" s="1"/>
  <c r="L21" i="3"/>
  <c r="L23" i="3" s="1"/>
  <c r="I21" i="3"/>
  <c r="I23" i="3" s="1"/>
  <c r="F21" i="3"/>
  <c r="F23" i="3" s="1"/>
  <c r="Z20" i="3"/>
  <c r="Y20" i="3"/>
  <c r="W20" i="3"/>
  <c r="V20" i="3"/>
  <c r="T20" i="3"/>
  <c r="S20" i="3"/>
  <c r="Q20" i="3"/>
  <c r="P20" i="3"/>
  <c r="N20" i="3"/>
  <c r="M20" i="3"/>
  <c r="K20" i="3"/>
  <c r="J20" i="3"/>
  <c r="H20" i="3"/>
  <c r="G20" i="3"/>
  <c r="E20" i="3"/>
  <c r="D20" i="3"/>
  <c r="AA19" i="3"/>
  <c r="X19" i="3"/>
  <c r="U19" i="3"/>
  <c r="R19" i="3"/>
  <c r="O19" i="3"/>
  <c r="L19" i="3"/>
  <c r="I19" i="3"/>
  <c r="F19" i="3"/>
  <c r="AA18" i="3"/>
  <c r="X18" i="3"/>
  <c r="U18" i="3"/>
  <c r="R18" i="3"/>
  <c r="O18" i="3"/>
  <c r="L18" i="3"/>
  <c r="I18" i="3"/>
  <c r="F18" i="3"/>
  <c r="AA17" i="3"/>
  <c r="X17" i="3"/>
  <c r="U17" i="3"/>
  <c r="R17" i="3"/>
  <c r="O17" i="3"/>
  <c r="L17" i="3"/>
  <c r="I17" i="3"/>
  <c r="F17" i="3"/>
  <c r="AA16" i="3"/>
  <c r="AA20" i="3" s="1"/>
  <c r="X16" i="3"/>
  <c r="X20" i="3" s="1"/>
  <c r="U16" i="3"/>
  <c r="U20" i="3" s="1"/>
  <c r="R16" i="3"/>
  <c r="R20" i="3" s="1"/>
  <c r="O16" i="3"/>
  <c r="O20" i="3" s="1"/>
  <c r="L16" i="3"/>
  <c r="L20" i="3" s="1"/>
  <c r="I16" i="3"/>
  <c r="I20" i="3" s="1"/>
  <c r="F16" i="3"/>
  <c r="F20" i="3" s="1"/>
  <c r="Z15" i="3"/>
  <c r="Y15" i="3"/>
  <c r="W15" i="3"/>
  <c r="V15" i="3"/>
  <c r="T15" i="3"/>
  <c r="S15" i="3"/>
  <c r="Q15" i="3"/>
  <c r="P15" i="3"/>
  <c r="N15" i="3"/>
  <c r="M15" i="3"/>
  <c r="K15" i="3"/>
  <c r="J15" i="3"/>
  <c r="H15" i="3"/>
  <c r="G15" i="3"/>
  <c r="E15" i="3"/>
  <c r="D15" i="3"/>
  <c r="AA14" i="3"/>
  <c r="X14" i="3"/>
  <c r="U14" i="3"/>
  <c r="R14" i="3"/>
  <c r="O14" i="3"/>
  <c r="L14" i="3"/>
  <c r="I14" i="3"/>
  <c r="F14" i="3"/>
  <c r="AA13" i="3"/>
  <c r="X13" i="3"/>
  <c r="U13" i="3"/>
  <c r="R13" i="3"/>
  <c r="O13" i="3"/>
  <c r="L13" i="3"/>
  <c r="I13" i="3"/>
  <c r="F13" i="3"/>
  <c r="AA12" i="3"/>
  <c r="X12" i="3"/>
  <c r="U12" i="3"/>
  <c r="R12" i="3"/>
  <c r="O12" i="3"/>
  <c r="L12" i="3"/>
  <c r="I12" i="3"/>
  <c r="F12" i="3"/>
  <c r="AA11" i="3"/>
  <c r="AA15" i="3" s="1"/>
  <c r="X11" i="3"/>
  <c r="X15" i="3" s="1"/>
  <c r="U11" i="3"/>
  <c r="U15" i="3" s="1"/>
  <c r="R11" i="3"/>
  <c r="R15" i="3" s="1"/>
  <c r="O11" i="3"/>
  <c r="O15" i="3" s="1"/>
  <c r="L11" i="3"/>
  <c r="L15" i="3" s="1"/>
  <c r="I11" i="3"/>
  <c r="I15" i="3" s="1"/>
  <c r="F11" i="3"/>
  <c r="Z10" i="3"/>
  <c r="Y10" i="3"/>
  <c r="W10" i="3"/>
  <c r="V10" i="3"/>
  <c r="T10" i="3"/>
  <c r="S10" i="3"/>
  <c r="Q10" i="3"/>
  <c r="P10" i="3"/>
  <c r="N10" i="3"/>
  <c r="M10" i="3"/>
  <c r="K10" i="3"/>
  <c r="J10" i="3"/>
  <c r="H10" i="3"/>
  <c r="G10" i="3"/>
  <c r="E10" i="3"/>
  <c r="D10" i="3"/>
  <c r="AA9" i="3"/>
  <c r="X9" i="3"/>
  <c r="U9" i="3"/>
  <c r="R9" i="3"/>
  <c r="O9" i="3"/>
  <c r="L9" i="3"/>
  <c r="I9" i="3"/>
  <c r="F9" i="3"/>
  <c r="AA8" i="3"/>
  <c r="AA10" i="3" s="1"/>
  <c r="X8" i="3"/>
  <c r="X10" i="3" s="1"/>
  <c r="U8" i="3"/>
  <c r="U10" i="3" s="1"/>
  <c r="R8" i="3"/>
  <c r="R10" i="3" s="1"/>
  <c r="O8" i="3"/>
  <c r="O10" i="3" s="1"/>
  <c r="L8" i="3"/>
  <c r="L10" i="3" s="1"/>
  <c r="I8" i="3"/>
  <c r="I10" i="3" s="1"/>
  <c r="F8" i="3"/>
  <c r="F10" i="3" s="1"/>
  <c r="Z7" i="3"/>
  <c r="Y7" i="3"/>
  <c r="W7" i="3"/>
  <c r="V7" i="3"/>
  <c r="T7" i="3"/>
  <c r="S7" i="3"/>
  <c r="Q7" i="3"/>
  <c r="P7" i="3"/>
  <c r="N7" i="3"/>
  <c r="M7" i="3"/>
  <c r="K7" i="3"/>
  <c r="J7" i="3"/>
  <c r="H7" i="3"/>
  <c r="G7" i="3"/>
  <c r="E7" i="3"/>
  <c r="D7" i="3"/>
  <c r="AA6" i="3"/>
  <c r="AA7" i="3" s="1"/>
  <c r="X6" i="3"/>
  <c r="X7" i="3" s="1"/>
  <c r="U6" i="3"/>
  <c r="U7" i="3" s="1"/>
  <c r="R6" i="3"/>
  <c r="R7" i="3" s="1"/>
  <c r="O6" i="3"/>
  <c r="O7" i="3" s="1"/>
  <c r="L6" i="3"/>
  <c r="L7" i="3" s="1"/>
  <c r="I6" i="3"/>
  <c r="I7" i="3" s="1"/>
  <c r="F6" i="3"/>
  <c r="F7" i="3" s="1"/>
  <c r="F79" i="3" l="1"/>
  <c r="O55" i="3"/>
  <c r="M56" i="3" s="1"/>
  <c r="H55" i="3"/>
  <c r="N55" i="3"/>
  <c r="T55" i="3"/>
  <c r="I79" i="3"/>
  <c r="V55" i="3"/>
  <c r="K55" i="3"/>
  <c r="X40" i="3"/>
  <c r="L55" i="3"/>
  <c r="J56" i="3" s="1"/>
  <c r="G55" i="3"/>
  <c r="S55" i="3"/>
  <c r="Q55" i="3"/>
  <c r="R79" i="3"/>
  <c r="X79" i="3"/>
  <c r="Z55" i="3"/>
  <c r="Y55" i="3"/>
  <c r="P55" i="3"/>
  <c r="J55" i="3"/>
  <c r="W55" i="3"/>
  <c r="X55" i="3"/>
  <c r="V56" i="3" s="1"/>
  <c r="M55" i="3"/>
  <c r="F15" i="3"/>
  <c r="E55" i="3"/>
  <c r="D55" i="3"/>
  <c r="AA55" i="3"/>
  <c r="Y56" i="3" s="1"/>
  <c r="F55" i="3"/>
  <c r="D56" i="3" s="1"/>
  <c r="R55" i="3"/>
  <c r="P56" i="3" s="1"/>
  <c r="I55" i="3"/>
  <c r="G56" i="3" s="1"/>
  <c r="U55" i="3"/>
  <c r="S56" i="3" s="1"/>
  <c r="AB56" i="3" l="1"/>
  <c r="M57" i="3" s="1"/>
  <c r="S57" i="3" l="1"/>
  <c r="V57" i="3"/>
  <c r="G57" i="3"/>
  <c r="J57" i="3"/>
  <c r="D57" i="3"/>
  <c r="Y57" i="3"/>
  <c r="P57" i="3"/>
</calcChain>
</file>

<file path=xl/sharedStrings.xml><?xml version="1.0" encoding="utf-8"?>
<sst xmlns="http://schemas.openxmlformats.org/spreadsheetml/2006/main" count="608" uniqueCount="234">
  <si>
    <t>BANCO DE OCCIDENTE</t>
  </si>
  <si>
    <t>BANCO POPULAR</t>
  </si>
  <si>
    <t>BANCOLOMBIA</t>
  </si>
  <si>
    <t>código de barras</t>
  </si>
  <si>
    <t>Recaudo referenciado</t>
  </si>
  <si>
    <t>Recaudo manual</t>
  </si>
  <si>
    <t>Web service</t>
  </si>
  <si>
    <t>Variables evaluadas</t>
  </si>
  <si>
    <t>SI - incluído</t>
  </si>
  <si>
    <t>Servicios como operador de información</t>
  </si>
  <si>
    <t>NO</t>
  </si>
  <si>
    <t>Conversores a la medida</t>
  </si>
  <si>
    <t>3 o más</t>
  </si>
  <si>
    <t>Periodo</t>
  </si>
  <si>
    <t>saldo</t>
  </si>
  <si>
    <t>remuneración</t>
  </si>
  <si>
    <t>CITIBANK</t>
  </si>
  <si>
    <t>SI</t>
  </si>
  <si>
    <t>revisión periódica</t>
  </si>
  <si>
    <t>Mensual</t>
  </si>
  <si>
    <t xml:space="preserve">$25000 MM </t>
  </si>
  <si>
    <t>Negociables para exoneración via reciprocidad</t>
  </si>
  <si>
    <t>en el sector Público</t>
  </si>
  <si>
    <t>con administradoras de Parafiscalidad</t>
  </si>
  <si>
    <t>22 días</t>
  </si>
  <si>
    <t>$9600 MM</t>
  </si>
  <si>
    <t>$7460 MM</t>
  </si>
  <si>
    <t>20 días</t>
  </si>
  <si>
    <t>Efectiva Anual</t>
  </si>
  <si>
    <t>ndv</t>
  </si>
  <si>
    <t>EA</t>
  </si>
  <si>
    <t>nomimal diaria vencida</t>
  </si>
  <si>
    <t>enero</t>
  </si>
  <si>
    <t>febrero</t>
  </si>
  <si>
    <t>marzo</t>
  </si>
  <si>
    <t>Bolsa anual</t>
  </si>
  <si>
    <t>SI - Incluído</t>
  </si>
  <si>
    <t>$2000 MM</t>
  </si>
  <si>
    <t>0,50% EA</t>
  </si>
  <si>
    <t>$9000 MM</t>
  </si>
  <si>
    <t>no remunerada</t>
  </si>
  <si>
    <t>SI - incluído Mi pago amigo</t>
  </si>
  <si>
    <t>$60244 MM</t>
  </si>
  <si>
    <t>0,10 EA</t>
  </si>
  <si>
    <t xml:space="preserve">Recaudo PSE, Recaudos referenciados físicos y NO Operador de Información Le 21 de 1982 </t>
  </si>
  <si>
    <t>No disponible - en desarrollo</t>
  </si>
  <si>
    <t xml:space="preserve">2 o 3 </t>
  </si>
  <si>
    <t>2 o 3</t>
  </si>
  <si>
    <t>chequeras, giros al exterior, Serv. Operador de información Ley 21 de 1982</t>
  </si>
  <si>
    <t>$36165 MM</t>
  </si>
  <si>
    <t>0,50% EA desde $1</t>
  </si>
  <si>
    <t>BRC STANDARD &amp; POOR´S</t>
  </si>
  <si>
    <t>FITCH RATINGS</t>
  </si>
  <si>
    <t>AAA</t>
  </si>
  <si>
    <t>AAA                                        BRC1+</t>
  </si>
  <si>
    <t>AA                                        BRC1</t>
  </si>
  <si>
    <t>AA+                                        BRC1</t>
  </si>
  <si>
    <t>Sin resultados</t>
  </si>
  <si>
    <t>BB+</t>
  </si>
  <si>
    <t>BBB</t>
  </si>
  <si>
    <t>% Cobertura nacional para recaudos presenciales</t>
  </si>
  <si>
    <t>Diferencia costo de oportunidad SCUN tasa EA y remuneración</t>
  </si>
  <si>
    <t>Botón PSE</t>
  </si>
  <si>
    <t>con entidades educativas</t>
  </si>
  <si>
    <t>COBERTURA TOTAL DE OFICINAS Y CORRESPONSALES BANCARIOS</t>
  </si>
  <si>
    <t>Reporte de Inclusión Financiera - indicadores de Cobertura</t>
  </si>
  <si>
    <t>https://bancadelasoportunidades.gov.co/es/cobertura</t>
  </si>
  <si>
    <t>Superintendencia Financiera de Colombia (SFC) y el Programa Banca de las Oportunidades (BdO)</t>
  </si>
  <si>
    <t>Fecha de corte</t>
  </si>
  <si>
    <t>Última actualización</t>
  </si>
  <si>
    <t xml:space="preserve"> ESAP</t>
  </si>
  <si>
    <t>UBICACIÓN</t>
  </si>
  <si>
    <t>BC-ESTABLECIMIENTO BANCARIO (Propuestas de Servicios Bancarios Ofertados)</t>
  </si>
  <si>
    <t>BANAGRARIO</t>
  </si>
  <si>
    <t>BANCO CAJA SOCIAL</t>
  </si>
  <si>
    <t>BANCO DE BOGOTA</t>
  </si>
  <si>
    <t>BANCO GNB SUDAMERIS</t>
  </si>
  <si>
    <t>TERRITORIAL</t>
  </si>
  <si>
    <t>DEPARTAMENTO</t>
  </si>
  <si>
    <t>CORRESPONSAL</t>
  </si>
  <si>
    <t>OFICINA</t>
  </si>
  <si>
    <t>TOTAL</t>
  </si>
  <si>
    <t>CENTRAL</t>
  </si>
  <si>
    <t>Bogotá, D.C.</t>
  </si>
  <si>
    <t>Subtotal</t>
  </si>
  <si>
    <t>1. ANTIOQUIA</t>
  </si>
  <si>
    <t>Antioquia</t>
  </si>
  <si>
    <t>Chocó</t>
  </si>
  <si>
    <t>2. ATLÁNTICO</t>
  </si>
  <si>
    <t>Atlántico</t>
  </si>
  <si>
    <t>Cesar</t>
  </si>
  <si>
    <t>La Guajira</t>
  </si>
  <si>
    <t>Magdalena</t>
  </si>
  <si>
    <t>3. BOLÍVAR</t>
  </si>
  <si>
    <t>Archipiélago de San Andrés, Providencia y Santa Catalina</t>
  </si>
  <si>
    <t>Bolívar</t>
  </si>
  <si>
    <t>Córdoba</t>
  </si>
  <si>
    <t>Sucre</t>
  </si>
  <si>
    <t>4. BOYACÁ</t>
  </si>
  <si>
    <t>Boyacá</t>
  </si>
  <si>
    <t>Casanare</t>
  </si>
  <si>
    <t>5. CALDAS</t>
  </si>
  <si>
    <t>Caldas</t>
  </si>
  <si>
    <t>6. CAUCA</t>
  </si>
  <si>
    <t>Cauca</t>
  </si>
  <si>
    <t>7. CUNDINAMARCA</t>
  </si>
  <si>
    <t>Cundinamarca</t>
  </si>
  <si>
    <t>8. HUILA</t>
  </si>
  <si>
    <t>Caquetá</t>
  </si>
  <si>
    <t>Huila</t>
  </si>
  <si>
    <t>Putumayo</t>
  </si>
  <si>
    <t>9. META</t>
  </si>
  <si>
    <t>Amazonas</t>
  </si>
  <si>
    <t>Guainía</t>
  </si>
  <si>
    <t>Guaviare</t>
  </si>
  <si>
    <t>Meta</t>
  </si>
  <si>
    <t>Vaupés</t>
  </si>
  <si>
    <t>Vichada</t>
  </si>
  <si>
    <t>10.NORTE DE SANTANDER</t>
  </si>
  <si>
    <t>Arauca</t>
  </si>
  <si>
    <t>Norte de Santander</t>
  </si>
  <si>
    <t>11. NARIÑO</t>
  </si>
  <si>
    <t>Nariño</t>
  </si>
  <si>
    <t>12. QUINDIO</t>
  </si>
  <si>
    <t>Quindío</t>
  </si>
  <si>
    <t>Risaralda</t>
  </si>
  <si>
    <t>13. SANTANDER</t>
  </si>
  <si>
    <t>Santander</t>
  </si>
  <si>
    <t>14. TOLIMA</t>
  </si>
  <si>
    <t>Tolima</t>
  </si>
  <si>
    <t>15. VALLE DEL CAUCA</t>
  </si>
  <si>
    <t>Valle del Cauca</t>
  </si>
  <si>
    <t>TOTAL COBERTURA</t>
  </si>
  <si>
    <t>Oferta Nacional</t>
  </si>
  <si>
    <t>100% Territoriales ESAP y 100% departamentos con un 18,6% de la oferta Nacional a marzo de 2021</t>
  </si>
  <si>
    <t>100% Territoriales y 87,5% departamentos con un 3,9% de la oferta nacional a marzo de 2021</t>
  </si>
  <si>
    <t>100% Territoriales ESAP y 100% departamentos con un 14,9% de la oferta Nacional a marzo de 2021</t>
  </si>
  <si>
    <t>100% Territoriales ESAP y 100% departamentos con un 28,9% de la oferta Nacional a marzo de 2021</t>
  </si>
  <si>
    <t>100% Territoriales ESAP y 65,6% departamentos con un 0,2% de la oferta Nacional a marzo de 2021</t>
  </si>
  <si>
    <t>100% Territoriales ESAP y 90,6% departamentos con un 0,4% de la oferta Nacional a marzo de 2021</t>
  </si>
  <si>
    <t>100% Territoriales ESAP y 100% departamentos con un 22,2% de la oferta Nacional a marzo de 2021</t>
  </si>
  <si>
    <t>100% Territoriales ESAP y 100% departamentos con un 11% de la oferta Nacional a marzo de 2021</t>
  </si>
  <si>
    <t>COBERTURA COMPLETA DE REQUERIMIENTOS ESAP</t>
  </si>
  <si>
    <t>nómina y servicios preferenciales</t>
  </si>
  <si>
    <t>operaciones mensuales inferiores en varios aspectos,  Serv. Operador de información Ley 21 de 1982</t>
  </si>
  <si>
    <t>operaciones mensuales inferiores en varios aspectos , NO Operador de información Ley 21</t>
  </si>
  <si>
    <t>operaciones mensuales inferiores en varios aspectos, Serv. Operador de información Ley 21 de 1982</t>
  </si>
  <si>
    <t>SI - 5 entidades</t>
  </si>
  <si>
    <t>SI - 8 entidades</t>
  </si>
  <si>
    <t>SI - 412 entidades</t>
  </si>
  <si>
    <t># de referencias por recaudo</t>
  </si>
  <si>
    <t>SI - 2 entidades</t>
  </si>
  <si>
    <t>sin información</t>
  </si>
  <si>
    <t>sin informción</t>
  </si>
  <si>
    <t>SI - sin informacióhn</t>
  </si>
  <si>
    <t>SI -  sin información</t>
  </si>
  <si>
    <t>SI - sin información</t>
  </si>
  <si>
    <t>Costo de oportunidad anual (remuneración propuesta vs remuneración SCUN)</t>
  </si>
  <si>
    <t>Requerimientos ESAP y tasación</t>
  </si>
  <si>
    <t xml:space="preserve">Experiencia en entidades públicas educativas y administradoras de parafiscales </t>
  </si>
  <si>
    <t>Cobertura geográfica</t>
  </si>
  <si>
    <t>Web service                     (10%)</t>
  </si>
  <si>
    <t>Botón de pagos Pagos PSE                                     (10%)</t>
  </si>
  <si>
    <t>Ponderación</t>
  </si>
  <si>
    <t>Operador de Información y financiero Recaudo Ley 21 de 1982                                  (30%)</t>
  </si>
  <si>
    <t>Total Corresponsales + Oficinas Bancarias a nivel nacional</t>
  </si>
  <si>
    <t>Incluya Web service</t>
  </si>
  <si>
    <t>Incluya Botón de pagos Pagos PSE</t>
  </si>
  <si>
    <t>Beneficios a funcionarios y usuarios                               ( 0%)</t>
  </si>
  <si>
    <t>Acompañamiento integral</t>
  </si>
  <si>
    <t>Acompañamiento, soporte y capacitación</t>
  </si>
  <si>
    <t>Servicios o productos no cubiertos con  reciprocidad</t>
  </si>
  <si>
    <t>n.a.</t>
  </si>
  <si>
    <t xml:space="preserve">n.a. </t>
  </si>
  <si>
    <t>Costo de oportunidad mensual (remuneración propuesta vs remuneración SCUN)</t>
  </si>
  <si>
    <t xml:space="preserve">COSTO DE OPORTUNIDAD ESAP </t>
  </si>
  <si>
    <t>Costo cero para volumetrías anuales vía Reciprocidad con remuneración en cuenta</t>
  </si>
  <si>
    <t>Cumplimiento de condiciones de volumetrías</t>
  </si>
  <si>
    <t>Desarrollos tecnológicos a la medida</t>
  </si>
  <si>
    <t>Desarrollos tecnológicos a la medida                                    (10%)</t>
  </si>
  <si>
    <t>Experiencia en entidades públicas educativas y administradoras de parafiscales                   (5%)</t>
  </si>
  <si>
    <t>Costo cero para volumetrías anuales vía Reciprocidad con remuneración en cuenta                       (5%)</t>
  </si>
  <si>
    <t>Cumplimiento de condiciones de Volumetrías                    (5%)</t>
  </si>
  <si>
    <t xml:space="preserve">F A C T O R E S      R E L E V A N T E S      A      T E N E R      E N      C U E N T A </t>
  </si>
  <si>
    <t>PORCENTAJE  DEL RECAUDO DE INGRESOS ATENDIDOS CON LA PROPUESTA</t>
  </si>
  <si>
    <t>Cobertura geográfica        (10%)</t>
  </si>
  <si>
    <t>Beneficios a los funcionarios</t>
  </si>
  <si>
    <t>T O T A L</t>
  </si>
  <si>
    <t>Mejor calificación de riesgo vigente                  (5%)</t>
  </si>
  <si>
    <t>Mejor calificación de riesgo vigente</t>
  </si>
  <si>
    <t>Incluye Botón de pagos Pagos PSE</t>
  </si>
  <si>
    <t>Operador de información Ley 21 de 1982</t>
  </si>
  <si>
    <t>Mejor calificación de riesgo vigente                           (5%)</t>
  </si>
  <si>
    <t>%</t>
  </si>
  <si>
    <t>tasa</t>
  </si>
  <si>
    <t>*ndv - nominal diaria vencida</t>
  </si>
  <si>
    <t>equivale a:</t>
  </si>
  <si>
    <t>Tasa promedio 1er. Trimestre 2021</t>
  </si>
  <si>
    <t>Peso o ponderación</t>
  </si>
  <si>
    <t>mes</t>
  </si>
  <si>
    <t>Promedio</t>
  </si>
  <si>
    <t>Cálculo de la tasa ndv promedio para el primer trimestre 2021</t>
  </si>
  <si>
    <t>PONDERACIÓN DE LOS REQUERIMIENTOS ESAP</t>
  </si>
  <si>
    <t>Recaudo No PILA y pagos</t>
  </si>
  <si>
    <t>Recaudo No PILA y pagos                                   (5%)</t>
  </si>
  <si>
    <t>pagos y tokens</t>
  </si>
  <si>
    <t>Acompañamiento, soporte y capacitación                             (5%)</t>
  </si>
  <si>
    <t>Recaudo No PILA y pagos                                  (5%)</t>
  </si>
  <si>
    <t>Servicios o productos no cubiertos en la reciprocidad propuesta</t>
  </si>
  <si>
    <t>*Calculo realizado con las tasas vigentes de remuneración del SCUN para el 1er. trimestre de 2021, la cual es variable y depende la tasa interbancaria que define el Banco de la República y que a mayo 14 de 2021 está en 1,75% y la tasa de remuneración ofrecida por los proponentes que también es variable y depende de la tasa interbancaria, la cual durante el último año ha decrecido significativamente producto de la situación actual de pandemia y recesión económica.</t>
  </si>
  <si>
    <t>Pagos y tokens</t>
  </si>
  <si>
    <t>Cobertura Departamental</t>
  </si>
  <si>
    <t>giros al exterior, Serv. Operador de información Ley 21 de 1982</t>
  </si>
  <si>
    <t>Variable o criterio evaluado</t>
  </si>
  <si>
    <t>Operador de Información Ley 21 de 1982 (30%)</t>
  </si>
  <si>
    <t>Botón de pagos Pagos PSE (10%)</t>
  </si>
  <si>
    <t>Desarrollos tecnológicos a la medida (10%)</t>
  </si>
  <si>
    <t>acompañamiento, soporte y capacitación (5%)</t>
  </si>
  <si>
    <t>Costo cero para volumetrías anuales vía Reciprocidad con remuneración en cuenta (5%)</t>
  </si>
  <si>
    <t>Web service (10%)</t>
  </si>
  <si>
    <t>Proponente</t>
  </si>
  <si>
    <t>Recaudo ESAP atendido con la propuesta</t>
  </si>
  <si>
    <t>Resultado acumulado</t>
  </si>
  <si>
    <t>Documento Técnico de Soporte - Análisis propuestas bancos 2021</t>
  </si>
  <si>
    <t>Este DTS es un anexo al Informe del análisis realizado a las propuestas recibidas para elegir operador bancario, financiero y de información  para la operaciones transaccionales de la ESAP.  Los documentos soporte de este análisis como la ficha técnica, invitaciones, alcances y propuestas se encuentran debidamente documentados para consulta en la Subdirección Nacional de Gestión Corporativa - SNGC.</t>
  </si>
  <si>
    <t>BANCO 1</t>
  </si>
  <si>
    <t>BANCO 2</t>
  </si>
  <si>
    <t>BANCO 3</t>
  </si>
  <si>
    <t>BANCO 4</t>
  </si>
  <si>
    <t>BANCO 5</t>
  </si>
  <si>
    <t>BANCO 6</t>
  </si>
  <si>
    <t>BANCO 7</t>
  </si>
  <si>
    <t>BANCO 8</t>
  </si>
  <si>
    <t>Tasa de Oportunidad por remuneración a ESAP en CUN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</si>
</sst>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0.0%"/>
    <numFmt numFmtId="168" formatCode="0.0000000"/>
    <numFmt numFmtId="169" formatCode="0.000000%"/>
    <numFmt numFmtId="170" formatCode="0.000000"/>
  </numFmts>
  <fonts count="34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9"/>
      <color theme="1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b/>
      <sz val="12"/>
      <color theme="0"/>
      <name val="Century Gothic"/>
      <family val="2"/>
      <scheme val="minor"/>
    </font>
    <font>
      <b/>
      <sz val="11"/>
      <color rgb="FF000000"/>
      <name val="Century Gothic"/>
      <family val="2"/>
      <scheme val="minor"/>
    </font>
    <font>
      <b/>
      <sz val="9"/>
      <color theme="0"/>
      <name val="Century Gothic"/>
      <family val="2"/>
      <scheme val="minor"/>
    </font>
    <font>
      <b/>
      <sz val="8"/>
      <color theme="0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rgb="FF000000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rgb="FF4A4A4A"/>
      <name val="Open Sans"/>
      <family val="2"/>
    </font>
    <font>
      <b/>
      <sz val="10"/>
      <color theme="0"/>
      <name val="Century Gothic"/>
      <family val="2"/>
      <scheme val="minor"/>
    </font>
    <font>
      <b/>
      <sz val="9"/>
      <color rgb="FF000000"/>
      <name val="Century Gothic"/>
      <family val="2"/>
      <scheme val="minor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8"/>
      <color rgb="FFFFFF00"/>
      <name val="Arial"/>
      <family val="2"/>
    </font>
    <font>
      <b/>
      <sz val="8"/>
      <color rgb="FFFFFF00"/>
      <name val="Century Gothic"/>
      <family val="2"/>
      <scheme val="minor"/>
    </font>
    <font>
      <b/>
      <sz val="12"/>
      <color rgb="FFFFFF00"/>
      <name val="Arial"/>
      <family val="2"/>
    </font>
    <font>
      <b/>
      <sz val="12"/>
      <color theme="9" tint="0.59999389629810485"/>
      <name val="Arial"/>
      <family val="2"/>
    </font>
    <font>
      <sz val="10"/>
      <color theme="0"/>
      <name val="Century Gothic"/>
      <family val="2"/>
      <scheme val="minor"/>
    </font>
    <font>
      <sz val="9"/>
      <color theme="0"/>
      <name val="Century Gothic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entury Gothic"/>
      <family val="2"/>
      <scheme val="minor"/>
    </font>
    <font>
      <sz val="8"/>
      <color rgb="FFFFFF00"/>
      <name val="Arial"/>
      <family val="2"/>
    </font>
    <font>
      <b/>
      <sz val="9"/>
      <color theme="0"/>
      <name val="Arial"/>
      <family val="2"/>
    </font>
    <font>
      <b/>
      <sz val="11"/>
      <color theme="4"/>
      <name val="Century Gothic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EFC3"/>
        <bgColor indexed="64"/>
      </patternFill>
    </fill>
    <fill>
      <patternFill patternType="solid">
        <fgColor rgb="FFE1FCC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27">
    <xf numFmtId="0" fontId="0" fillId="0" borderId="0" xfId="0"/>
    <xf numFmtId="0" fontId="3" fillId="5" borderId="15" xfId="0" applyFont="1" applyFill="1" applyBorder="1" applyAlignment="1">
      <alignment vertical="center"/>
    </xf>
    <xf numFmtId="3" fontId="0" fillId="0" borderId="15" xfId="0" applyNumberFormat="1" applyBorder="1"/>
    <xf numFmtId="3" fontId="4" fillId="13" borderId="15" xfId="0" applyNumberFormat="1" applyFont="1" applyFill="1" applyBorder="1"/>
    <xf numFmtId="3" fontId="0" fillId="13" borderId="15" xfId="0" applyNumberFormat="1" applyFill="1" applyBorder="1"/>
    <xf numFmtId="3" fontId="0" fillId="2" borderId="15" xfId="0" applyNumberFormat="1" applyFill="1" applyBorder="1"/>
    <xf numFmtId="0" fontId="9" fillId="5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5" borderId="15" xfId="0" applyFont="1" applyFill="1" applyBorder="1" applyAlignment="1">
      <alignment horizontal="center" vertical="center"/>
    </xf>
    <xf numFmtId="14" fontId="12" fillId="0" borderId="0" xfId="0" applyNumberFormat="1" applyFont="1"/>
    <xf numFmtId="0" fontId="12" fillId="0" borderId="15" xfId="0" applyFont="1" applyBorder="1"/>
    <xf numFmtId="0" fontId="12" fillId="13" borderId="15" xfId="0" applyFont="1" applyFill="1" applyBorder="1" applyAlignment="1">
      <alignment vertical="center"/>
    </xf>
    <xf numFmtId="0" fontId="11" fillId="14" borderId="15" xfId="0" applyFont="1" applyFill="1" applyBorder="1"/>
    <xf numFmtId="3" fontId="4" fillId="16" borderId="15" xfId="0" applyNumberFormat="1" applyFont="1" applyFill="1" applyBorder="1"/>
    <xf numFmtId="3" fontId="15" fillId="14" borderId="15" xfId="3" applyNumberFormat="1" applyFont="1" applyFill="1" applyBorder="1"/>
    <xf numFmtId="3" fontId="15" fillId="14" borderId="15" xfId="0" applyNumberFormat="1" applyFont="1" applyFill="1" applyBorder="1"/>
    <xf numFmtId="3" fontId="0" fillId="0" borderId="0" xfId="0" applyNumberFormat="1"/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15" borderId="1" xfId="0" applyFont="1" applyFill="1" applyBorder="1" applyAlignment="1">
      <alignment horizontal="center" vertical="center" wrapText="1"/>
    </xf>
    <xf numFmtId="9" fontId="17" fillId="15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7" fillId="15" borderId="1" xfId="0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18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10" fontId="17" fillId="15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165" fontId="19" fillId="4" borderId="1" xfId="1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165" fontId="19" fillId="0" borderId="1" xfId="1" applyFont="1" applyFill="1" applyBorder="1" applyAlignment="1">
      <alignment horizontal="center" vertical="center"/>
    </xf>
    <xf numFmtId="9" fontId="19" fillId="0" borderId="1" xfId="2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166" fontId="19" fillId="0" borderId="1" xfId="1" applyNumberFormat="1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9" fontId="17" fillId="15" borderId="1" xfId="0" applyNumberFormat="1" applyFont="1" applyFill="1" applyBorder="1" applyAlignment="1">
      <alignment horizontal="center" vertical="center" wrapText="1"/>
    </xf>
    <xf numFmtId="9" fontId="19" fillId="4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/>
    </xf>
    <xf numFmtId="9" fontId="19" fillId="0" borderId="1" xfId="1" applyNumberFormat="1" applyFont="1" applyFill="1" applyBorder="1" applyAlignment="1">
      <alignment horizontal="center" vertical="center"/>
    </xf>
    <xf numFmtId="9" fontId="19" fillId="0" borderId="1" xfId="0" applyNumberFormat="1" applyFont="1" applyBorder="1" applyAlignment="1">
      <alignment horizontal="center" vertical="center"/>
    </xf>
    <xf numFmtId="9" fontId="19" fillId="0" borderId="1" xfId="0" applyNumberFormat="1" applyFont="1" applyFill="1" applyBorder="1" applyAlignment="1">
      <alignment horizontal="center" vertical="center" wrapText="1"/>
    </xf>
    <xf numFmtId="10" fontId="20" fillId="4" borderId="1" xfId="0" applyNumberFormat="1" applyFont="1" applyFill="1" applyBorder="1" applyAlignment="1">
      <alignment horizontal="center" vertical="center" wrapText="1"/>
    </xf>
    <xf numFmtId="9" fontId="19" fillId="2" borderId="1" xfId="0" applyNumberFormat="1" applyFont="1" applyFill="1" applyBorder="1" applyAlignment="1">
      <alignment horizontal="center" vertical="center"/>
    </xf>
    <xf numFmtId="9" fontId="19" fillId="0" borderId="1" xfId="0" applyNumberFormat="1" applyFont="1" applyBorder="1" applyAlignment="1">
      <alignment horizontal="center" vertical="center" wrapText="1"/>
    </xf>
    <xf numFmtId="10" fontId="22" fillId="15" borderId="1" xfId="0" applyNumberFormat="1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4" fillId="15" borderId="1" xfId="0" applyFont="1" applyFill="1" applyBorder="1" applyAlignment="1">
      <alignment horizontal="center" vertical="center" wrapText="1"/>
    </xf>
    <xf numFmtId="10" fontId="25" fillId="15" borderId="1" xfId="0" applyNumberFormat="1" applyFont="1" applyFill="1" applyBorder="1" applyAlignment="1">
      <alignment horizontal="center" vertical="center" wrapText="1"/>
    </xf>
    <xf numFmtId="10" fontId="26" fillId="15" borderId="1" xfId="0" applyNumberFormat="1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9" fontId="17" fillId="15" borderId="1" xfId="0" applyNumberFormat="1" applyFont="1" applyFill="1" applyBorder="1" applyAlignment="1">
      <alignment horizontal="center" vertical="center" wrapText="1"/>
    </xf>
    <xf numFmtId="10" fontId="17" fillId="15" borderId="1" xfId="0" applyNumberFormat="1" applyFont="1" applyFill="1" applyBorder="1" applyAlignment="1">
      <alignment horizontal="center" vertical="center" wrapText="1"/>
    </xf>
    <xf numFmtId="168" fontId="12" fillId="19" borderId="1" xfId="0" applyNumberFormat="1" applyFont="1" applyFill="1" applyBorder="1" applyAlignment="1">
      <alignment vertical="center"/>
    </xf>
    <xf numFmtId="0" fontId="12" fillId="19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27" fillId="20" borderId="1" xfId="0" applyFont="1" applyFill="1" applyBorder="1" applyAlignment="1">
      <alignment horizontal="center" vertical="center"/>
    </xf>
    <xf numFmtId="168" fontId="12" fillId="19" borderId="1" xfId="0" applyNumberFormat="1" applyFont="1" applyFill="1" applyBorder="1" applyAlignment="1">
      <alignment horizontal="center" vertical="center" wrapText="1"/>
    </xf>
    <xf numFmtId="168" fontId="12" fillId="19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27" fillId="20" borderId="18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/>
    </xf>
    <xf numFmtId="0" fontId="28" fillId="20" borderId="1" xfId="0" applyFont="1" applyFill="1" applyBorder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right" vertical="center"/>
    </xf>
    <xf numFmtId="0" fontId="2" fillId="19" borderId="1" xfId="0" applyFont="1" applyFill="1" applyBorder="1" applyAlignment="1">
      <alignment horizontal="right" vertical="center" wrapText="1"/>
    </xf>
    <xf numFmtId="9" fontId="12" fillId="19" borderId="1" xfId="0" applyNumberFormat="1" applyFont="1" applyFill="1" applyBorder="1" applyAlignment="1">
      <alignment vertical="center"/>
    </xf>
    <xf numFmtId="9" fontId="14" fillId="20" borderId="1" xfId="2" applyFont="1" applyFill="1" applyBorder="1" applyAlignment="1">
      <alignment horizontal="right" vertical="center" wrapText="1"/>
    </xf>
    <xf numFmtId="9" fontId="29" fillId="0" borderId="1" xfId="0" applyNumberFormat="1" applyFont="1" applyBorder="1" applyAlignment="1">
      <alignment horizontal="center" vertical="center"/>
    </xf>
    <xf numFmtId="169" fontId="19" fillId="0" borderId="1" xfId="2" applyNumberFormat="1" applyFont="1" applyFill="1" applyBorder="1" applyAlignment="1">
      <alignment horizontal="center" vertical="center"/>
    </xf>
    <xf numFmtId="169" fontId="19" fillId="0" borderId="1" xfId="2" applyNumberFormat="1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30" fillId="19" borderId="1" xfId="0" applyFont="1" applyFill="1" applyBorder="1" applyAlignment="1">
      <alignment vertical="center"/>
    </xf>
    <xf numFmtId="170" fontId="0" fillId="19" borderId="1" xfId="0" applyNumberFormat="1" applyFont="1" applyFill="1" applyBorder="1" applyAlignment="1">
      <alignment vertical="center"/>
    </xf>
    <xf numFmtId="170" fontId="4" fillId="19" borderId="1" xfId="0" applyNumberFormat="1" applyFont="1" applyFill="1" applyBorder="1" applyAlignment="1">
      <alignment vertical="center"/>
    </xf>
    <xf numFmtId="169" fontId="4" fillId="19" borderId="1" xfId="2" applyNumberFormat="1" applyFont="1" applyFill="1" applyBorder="1" applyAlignment="1">
      <alignment vertical="center"/>
    </xf>
    <xf numFmtId="168" fontId="30" fillId="19" borderId="1" xfId="0" applyNumberFormat="1" applyFont="1" applyFill="1" applyBorder="1" applyAlignment="1">
      <alignment vertical="center"/>
    </xf>
    <xf numFmtId="0" fontId="5" fillId="0" borderId="0" xfId="4"/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166" fontId="19" fillId="0" borderId="1" xfId="1" applyNumberFormat="1" applyFont="1" applyFill="1" applyBorder="1" applyAlignment="1">
      <alignment horizontal="center" vertical="center"/>
    </xf>
    <xf numFmtId="0" fontId="31" fillId="15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 wrapText="1"/>
    </xf>
    <xf numFmtId="167" fontId="21" fillId="15" borderId="1" xfId="2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0" xfId="0" applyBorder="1" applyAlignment="1">
      <alignment horizontal="center" wrapText="1"/>
    </xf>
    <xf numFmtId="0" fontId="33" fillId="2" borderId="20" xfId="0" applyFont="1" applyFill="1" applyBorder="1" applyAlignment="1">
      <alignment horizontal="center"/>
    </xf>
    <xf numFmtId="0" fontId="28" fillId="20" borderId="7" xfId="0" applyFont="1" applyFill="1" applyBorder="1" applyAlignment="1">
      <alignment horizontal="left" vertical="center"/>
    </xf>
    <xf numFmtId="0" fontId="28" fillId="20" borderId="17" xfId="0" applyFont="1" applyFill="1" applyBorder="1" applyAlignment="1">
      <alignment horizontal="left" vertical="center"/>
    </xf>
    <xf numFmtId="0" fontId="28" fillId="20" borderId="6" xfId="0" applyFont="1" applyFill="1" applyBorder="1" applyAlignment="1">
      <alignment horizontal="left" vertical="center"/>
    </xf>
    <xf numFmtId="0" fontId="3" fillId="20" borderId="18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17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7" fillId="14" borderId="15" xfId="3" applyFont="1" applyFill="1" applyBorder="1" applyAlignment="1">
      <alignment horizontal="center"/>
    </xf>
    <xf numFmtId="0" fontId="14" fillId="5" borderId="9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10" borderId="13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8" fillId="12" borderId="14" xfId="0" applyFont="1" applyFill="1" applyBorder="1" applyAlignment="1">
      <alignment horizontal="center" vertical="center"/>
    </xf>
    <xf numFmtId="10" fontId="3" fillId="6" borderId="13" xfId="2" applyNumberFormat="1" applyFont="1" applyFill="1" applyBorder="1" applyAlignment="1">
      <alignment horizontal="center" vertical="center"/>
    </xf>
    <xf numFmtId="10" fontId="3" fillId="6" borderId="14" xfId="2" applyNumberFormat="1" applyFont="1" applyFill="1" applyBorder="1" applyAlignment="1">
      <alignment horizontal="center" vertical="center"/>
    </xf>
    <xf numFmtId="10" fontId="3" fillId="6" borderId="11" xfId="2" applyNumberFormat="1" applyFont="1" applyFill="1" applyBorder="1" applyAlignment="1">
      <alignment horizontal="center" vertical="center"/>
    </xf>
    <xf numFmtId="10" fontId="3" fillId="7" borderId="13" xfId="2" applyNumberFormat="1" applyFont="1" applyFill="1" applyBorder="1" applyAlignment="1">
      <alignment horizontal="center" vertical="center"/>
    </xf>
    <xf numFmtId="10" fontId="3" fillId="7" borderId="14" xfId="2" applyNumberFormat="1" applyFont="1" applyFill="1" applyBorder="1" applyAlignment="1">
      <alignment horizontal="center" vertical="center"/>
    </xf>
    <xf numFmtId="10" fontId="3" fillId="7" borderId="11" xfId="2" applyNumberFormat="1" applyFont="1" applyFill="1" applyBorder="1" applyAlignment="1">
      <alignment horizontal="center" vertical="center"/>
    </xf>
    <xf numFmtId="10" fontId="3" fillId="3" borderId="13" xfId="2" applyNumberFormat="1" applyFont="1" applyFill="1" applyBorder="1" applyAlignment="1">
      <alignment horizontal="center" vertical="center"/>
    </xf>
    <xf numFmtId="10" fontId="3" fillId="3" borderId="14" xfId="2" applyNumberFormat="1" applyFont="1" applyFill="1" applyBorder="1" applyAlignment="1">
      <alignment horizontal="center" vertical="center"/>
    </xf>
    <xf numFmtId="10" fontId="3" fillId="3" borderId="11" xfId="2" applyNumberFormat="1" applyFont="1" applyFill="1" applyBorder="1" applyAlignment="1">
      <alignment horizontal="center" vertical="center"/>
    </xf>
    <xf numFmtId="10" fontId="3" fillId="8" borderId="13" xfId="2" applyNumberFormat="1" applyFont="1" applyFill="1" applyBorder="1" applyAlignment="1">
      <alignment horizontal="center" vertical="center"/>
    </xf>
    <xf numFmtId="10" fontId="3" fillId="8" borderId="14" xfId="2" applyNumberFormat="1" applyFont="1" applyFill="1" applyBorder="1" applyAlignment="1">
      <alignment horizontal="center" vertical="center"/>
    </xf>
    <xf numFmtId="10" fontId="3" fillId="8" borderId="11" xfId="2" applyNumberFormat="1" applyFont="1" applyFill="1" applyBorder="1" applyAlignment="1">
      <alignment horizontal="center" vertical="center"/>
    </xf>
    <xf numFmtId="10" fontId="3" fillId="9" borderId="13" xfId="2" applyNumberFormat="1" applyFont="1" applyFill="1" applyBorder="1" applyAlignment="1">
      <alignment horizontal="center" vertical="center"/>
    </xf>
    <xf numFmtId="10" fontId="3" fillId="9" borderId="14" xfId="2" applyNumberFormat="1" applyFont="1" applyFill="1" applyBorder="1" applyAlignment="1">
      <alignment horizontal="center" vertical="center"/>
    </xf>
    <xf numFmtId="10" fontId="3" fillId="9" borderId="11" xfId="2" applyNumberFormat="1" applyFont="1" applyFill="1" applyBorder="1" applyAlignment="1">
      <alignment horizontal="center" vertical="center"/>
    </xf>
    <xf numFmtId="10" fontId="3" fillId="10" borderId="13" xfId="2" applyNumberFormat="1" applyFont="1" applyFill="1" applyBorder="1" applyAlignment="1">
      <alignment horizontal="center" vertical="center"/>
    </xf>
    <xf numFmtId="10" fontId="3" fillId="10" borderId="14" xfId="2" applyNumberFormat="1" applyFont="1" applyFill="1" applyBorder="1" applyAlignment="1">
      <alignment horizontal="center" vertical="center"/>
    </xf>
    <xf numFmtId="10" fontId="3" fillId="10" borderId="11" xfId="2" applyNumberFormat="1" applyFont="1" applyFill="1" applyBorder="1" applyAlignment="1">
      <alignment horizontal="center" vertical="center"/>
    </xf>
    <xf numFmtId="10" fontId="3" fillId="11" borderId="13" xfId="2" applyNumberFormat="1" applyFont="1" applyFill="1" applyBorder="1" applyAlignment="1">
      <alignment horizontal="center" vertical="center"/>
    </xf>
    <xf numFmtId="10" fontId="3" fillId="11" borderId="14" xfId="2" applyNumberFormat="1" applyFont="1" applyFill="1" applyBorder="1" applyAlignment="1">
      <alignment horizontal="center" vertical="center"/>
    </xf>
    <xf numFmtId="10" fontId="3" fillId="11" borderId="11" xfId="2" applyNumberFormat="1" applyFont="1" applyFill="1" applyBorder="1" applyAlignment="1">
      <alignment horizontal="center" vertical="center"/>
    </xf>
    <xf numFmtId="10" fontId="3" fillId="12" borderId="13" xfId="2" applyNumberFormat="1" applyFont="1" applyFill="1" applyBorder="1" applyAlignment="1">
      <alignment horizontal="center" vertical="center"/>
    </xf>
    <xf numFmtId="10" fontId="3" fillId="12" borderId="14" xfId="2" applyNumberFormat="1" applyFont="1" applyFill="1" applyBorder="1" applyAlignment="1">
      <alignment horizontal="center" vertical="center"/>
    </xf>
    <xf numFmtId="0" fontId="19" fillId="0" borderId="19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9" fontId="17" fillId="15" borderId="1" xfId="0" applyNumberFormat="1" applyFont="1" applyFill="1" applyBorder="1" applyAlignment="1">
      <alignment horizontal="center" vertical="center" wrapText="1"/>
    </xf>
    <xf numFmtId="10" fontId="17" fillId="15" borderId="1" xfId="0" applyNumberFormat="1" applyFont="1" applyFill="1" applyBorder="1" applyAlignment="1">
      <alignment horizontal="center" vertical="center" wrapText="1"/>
    </xf>
    <xf numFmtId="0" fontId="17" fillId="15" borderId="2" xfId="0" applyFont="1" applyFill="1" applyBorder="1" applyAlignment="1">
      <alignment horizontal="center" vertical="center" wrapText="1"/>
    </xf>
    <xf numFmtId="0" fontId="17" fillId="15" borderId="4" xfId="0" applyFont="1" applyFill="1" applyBorder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9" fontId="19" fillId="0" borderId="2" xfId="0" applyNumberFormat="1" applyFont="1" applyFill="1" applyBorder="1" applyAlignment="1">
      <alignment horizontal="center" vertical="center" wrapText="1"/>
    </xf>
    <xf numFmtId="9" fontId="19" fillId="0" borderId="3" xfId="0" applyNumberFormat="1" applyFont="1" applyFill="1" applyBorder="1" applyAlignment="1">
      <alignment horizontal="center" vertical="center" wrapText="1"/>
    </xf>
    <xf numFmtId="9" fontId="19" fillId="0" borderId="2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0" fontId="20" fillId="4" borderId="2" xfId="0" applyNumberFormat="1" applyFont="1" applyFill="1" applyBorder="1" applyAlignment="1">
      <alignment horizontal="center" vertical="center" wrapText="1"/>
    </xf>
    <xf numFmtId="10" fontId="20" fillId="4" borderId="4" xfId="0" applyNumberFormat="1" applyFont="1" applyFill="1" applyBorder="1" applyAlignment="1">
      <alignment horizontal="center" vertical="center" wrapText="1"/>
    </xf>
    <xf numFmtId="10" fontId="20" fillId="4" borderId="3" xfId="0" applyNumberFormat="1" applyFont="1" applyFill="1" applyBorder="1" applyAlignment="1">
      <alignment horizontal="center" vertical="center" wrapText="1"/>
    </xf>
    <xf numFmtId="9" fontId="19" fillId="0" borderId="2" xfId="0" applyNumberFormat="1" applyFont="1" applyBorder="1" applyAlignment="1">
      <alignment horizontal="center" vertical="center"/>
    </xf>
    <xf numFmtId="9" fontId="19" fillId="0" borderId="3" xfId="0" applyNumberFormat="1" applyFont="1" applyBorder="1" applyAlignment="1">
      <alignment horizontal="center" vertical="center"/>
    </xf>
    <xf numFmtId="0" fontId="22" fillId="15" borderId="1" xfId="0" applyFont="1" applyFill="1" applyBorder="1" applyAlignment="1">
      <alignment horizontal="center" vertical="center" wrapText="1"/>
    </xf>
    <xf numFmtId="0" fontId="21" fillId="15" borderId="7" xfId="0" applyFont="1" applyFill="1" applyBorder="1" applyAlignment="1">
      <alignment horizontal="center" vertical="center" wrapText="1"/>
    </xf>
    <xf numFmtId="0" fontId="21" fillId="15" borderId="17" xfId="0" applyFont="1" applyFill="1" applyBorder="1" applyAlignment="1">
      <alignment horizontal="center" vertical="center" wrapText="1"/>
    </xf>
    <xf numFmtId="0" fontId="21" fillId="15" borderId="6" xfId="0" applyFont="1" applyFill="1" applyBorder="1" applyAlignment="1">
      <alignment horizontal="center" vertical="center" wrapText="1"/>
    </xf>
    <xf numFmtId="0" fontId="32" fillId="15" borderId="7" xfId="0" applyFont="1" applyFill="1" applyBorder="1" applyAlignment="1">
      <alignment horizontal="center" vertical="center" wrapText="1"/>
    </xf>
    <xf numFmtId="0" fontId="32" fillId="15" borderId="17" xfId="0" applyFont="1" applyFill="1" applyBorder="1" applyAlignment="1">
      <alignment horizontal="center" vertical="center" wrapText="1"/>
    </xf>
    <xf numFmtId="0" fontId="32" fillId="15" borderId="6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9" fontId="19" fillId="0" borderId="1" xfId="0" applyNumberFormat="1" applyFont="1" applyBorder="1" applyAlignment="1">
      <alignment horizontal="center" vertical="center"/>
    </xf>
    <xf numFmtId="9" fontId="19" fillId="0" borderId="1" xfId="0" applyNumberFormat="1" applyFont="1" applyFill="1" applyBorder="1" applyAlignment="1">
      <alignment horizontal="center" vertical="center" wrapText="1"/>
    </xf>
    <xf numFmtId="9" fontId="19" fillId="0" borderId="1" xfId="0" applyNumberFormat="1" applyFont="1" applyBorder="1" applyAlignment="1">
      <alignment horizontal="center" vertical="center" wrapText="1"/>
    </xf>
    <xf numFmtId="0" fontId="21" fillId="15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wrapText="1"/>
    </xf>
    <xf numFmtId="10" fontId="20" fillId="4" borderId="1" xfId="0" applyNumberFormat="1" applyFont="1" applyFill="1" applyBorder="1" applyAlignment="1">
      <alignment horizontal="center" vertical="center" wrapText="1"/>
    </xf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Percent" xfId="2" builtinId="5"/>
  </cellStyles>
  <dxfs count="3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9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EFC3"/>
      <color rgb="FFE1FCC8"/>
      <color rgb="FFCAE8AA"/>
      <color rgb="FFBFE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1028700</xdr:colOff>
      <xdr:row>15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209550"/>
          <a:ext cx="5219700" cy="3076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ector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ncadelasoportunidades.gov.co/es/cobertur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workbookViewId="0">
      <selection activeCell="K13" sqref="K13"/>
    </sheetView>
  </sheetViews>
  <sheetFormatPr baseColWidth="10" defaultRowHeight="14" x14ac:dyDescent="0.15"/>
  <cols>
    <col min="7" max="7" width="14" customWidth="1"/>
  </cols>
  <sheetData>
    <row r="1" spans="1:8" x14ac:dyDescent="0.15">
      <c r="A1" s="102"/>
      <c r="B1" s="102"/>
      <c r="C1" s="102"/>
      <c r="D1" s="102"/>
      <c r="E1" s="102"/>
      <c r="F1" s="102"/>
      <c r="G1" s="102"/>
      <c r="H1" s="102"/>
    </row>
    <row r="2" spans="1:8" x14ac:dyDescent="0.15">
      <c r="A2" s="102"/>
      <c r="B2" s="102"/>
      <c r="C2" s="102"/>
      <c r="D2" s="102"/>
      <c r="E2" s="102"/>
      <c r="F2" s="102"/>
      <c r="G2" s="102"/>
      <c r="H2" s="102"/>
    </row>
    <row r="3" spans="1:8" x14ac:dyDescent="0.15">
      <c r="A3" s="102"/>
      <c r="B3" s="102"/>
      <c r="C3" s="102"/>
      <c r="D3" s="102"/>
      <c r="E3" s="102"/>
      <c r="F3" s="102"/>
      <c r="G3" s="102"/>
      <c r="H3" s="102"/>
    </row>
    <row r="4" spans="1:8" x14ac:dyDescent="0.15">
      <c r="A4" s="102"/>
      <c r="B4" s="102"/>
      <c r="C4" s="102"/>
      <c r="D4" s="102"/>
      <c r="E4" s="102"/>
      <c r="F4" s="102"/>
      <c r="G4" s="102"/>
      <c r="H4" s="102"/>
    </row>
    <row r="5" spans="1:8" x14ac:dyDescent="0.15">
      <c r="A5" s="102"/>
      <c r="B5" s="102"/>
      <c r="C5" s="102"/>
      <c r="D5" s="102"/>
      <c r="E5" s="102"/>
      <c r="F5" s="102"/>
      <c r="G5" s="102"/>
      <c r="H5" s="102"/>
    </row>
    <row r="6" spans="1:8" x14ac:dyDescent="0.15">
      <c r="A6" s="102"/>
      <c r="B6" s="102"/>
      <c r="C6" s="102"/>
      <c r="D6" s="102"/>
      <c r="E6" s="102"/>
      <c r="F6" s="102"/>
      <c r="G6" s="102"/>
      <c r="H6" s="102"/>
    </row>
    <row r="7" spans="1:8" x14ac:dyDescent="0.15">
      <c r="A7" s="102"/>
      <c r="B7" s="102"/>
      <c r="C7" s="102"/>
      <c r="D7" s="102"/>
      <c r="E7" s="102"/>
      <c r="F7" s="102"/>
      <c r="G7" s="102"/>
      <c r="H7" s="102"/>
    </row>
    <row r="8" spans="1:8" x14ac:dyDescent="0.15">
      <c r="A8" s="102"/>
      <c r="B8" s="102"/>
      <c r="C8" s="102"/>
      <c r="D8" s="102"/>
      <c r="E8" s="102"/>
      <c r="F8" s="102"/>
      <c r="G8" s="102"/>
      <c r="H8" s="102"/>
    </row>
    <row r="9" spans="1:8" x14ac:dyDescent="0.15">
      <c r="A9" s="102"/>
      <c r="B9" s="102"/>
      <c r="C9" s="102"/>
      <c r="D9" s="102"/>
      <c r="E9" s="102"/>
      <c r="F9" s="102"/>
      <c r="G9" s="102"/>
      <c r="H9" s="102"/>
    </row>
    <row r="10" spans="1:8" x14ac:dyDescent="0.15">
      <c r="A10" s="102"/>
      <c r="B10" s="102"/>
      <c r="C10" s="102"/>
      <c r="D10" s="102"/>
      <c r="E10" s="102"/>
      <c r="F10" s="102"/>
      <c r="G10" s="102"/>
      <c r="H10" s="102"/>
    </row>
    <row r="11" spans="1:8" x14ac:dyDescent="0.15">
      <c r="A11" s="102"/>
      <c r="B11" s="102"/>
      <c r="C11" s="102"/>
      <c r="D11" s="102"/>
      <c r="E11" s="102"/>
      <c r="F11" s="102"/>
      <c r="G11" s="102"/>
      <c r="H11" s="102"/>
    </row>
    <row r="12" spans="1:8" x14ac:dyDescent="0.15">
      <c r="A12" s="102"/>
      <c r="B12" s="102"/>
      <c r="C12" s="102"/>
      <c r="D12" s="102"/>
      <c r="E12" s="102"/>
      <c r="F12" s="102"/>
      <c r="G12" s="102"/>
      <c r="H12" s="102"/>
    </row>
    <row r="13" spans="1:8" x14ac:dyDescent="0.15">
      <c r="A13" s="102"/>
      <c r="B13" s="102"/>
      <c r="C13" s="102"/>
      <c r="D13" s="102"/>
      <c r="E13" s="102"/>
      <c r="F13" s="102"/>
      <c r="G13" s="102"/>
      <c r="H13" s="102"/>
    </row>
    <row r="14" spans="1:8" x14ac:dyDescent="0.15">
      <c r="A14" s="102"/>
      <c r="B14" s="102"/>
      <c r="C14" s="102"/>
      <c r="D14" s="102"/>
      <c r="E14" s="102"/>
      <c r="F14" s="102"/>
      <c r="G14" s="102"/>
      <c r="H14" s="102"/>
    </row>
    <row r="15" spans="1:8" x14ac:dyDescent="0.15">
      <c r="A15" s="102"/>
      <c r="B15" s="102"/>
      <c r="C15" s="102"/>
      <c r="D15" s="102"/>
      <c r="E15" s="102"/>
      <c r="F15" s="102"/>
      <c r="G15" s="102"/>
      <c r="H15" s="102"/>
    </row>
    <row r="16" spans="1:8" x14ac:dyDescent="0.15">
      <c r="A16" s="102"/>
      <c r="B16" s="102"/>
      <c r="C16" s="102"/>
      <c r="D16" s="102"/>
      <c r="E16" s="102"/>
      <c r="F16" s="102"/>
      <c r="G16" s="102"/>
      <c r="H16" s="102"/>
    </row>
    <row r="17" spans="1:8" x14ac:dyDescent="0.15">
      <c r="A17" s="102"/>
      <c r="B17" s="102"/>
      <c r="C17" s="102"/>
      <c r="D17" s="102"/>
      <c r="E17" s="102"/>
      <c r="F17" s="102"/>
      <c r="G17" s="102"/>
      <c r="H17" s="102"/>
    </row>
    <row r="18" spans="1:8" x14ac:dyDescent="0.15">
      <c r="A18" s="102"/>
      <c r="B18" s="104" t="s">
        <v>223</v>
      </c>
      <c r="C18" s="104"/>
      <c r="D18" s="104"/>
      <c r="E18" s="104"/>
      <c r="F18" s="104"/>
      <c r="G18" s="104"/>
      <c r="H18" s="102"/>
    </row>
    <row r="19" spans="1:8" x14ac:dyDescent="0.15">
      <c r="A19" s="102"/>
      <c r="B19" s="102"/>
      <c r="C19" s="102"/>
      <c r="D19" s="102"/>
      <c r="E19" s="102"/>
      <c r="F19" s="102"/>
      <c r="G19" s="102"/>
      <c r="H19" s="102"/>
    </row>
    <row r="20" spans="1:8" x14ac:dyDescent="0.15">
      <c r="A20" s="102"/>
      <c r="B20" s="103" t="s">
        <v>224</v>
      </c>
      <c r="C20" s="103"/>
      <c r="D20" s="103"/>
      <c r="E20" s="103"/>
      <c r="F20" s="103"/>
      <c r="G20" s="103"/>
      <c r="H20" s="102"/>
    </row>
    <row r="21" spans="1:8" x14ac:dyDescent="0.15">
      <c r="A21" s="102"/>
      <c r="B21" s="103"/>
      <c r="C21" s="103"/>
      <c r="D21" s="103"/>
      <c r="E21" s="103"/>
      <c r="F21" s="103"/>
      <c r="G21" s="103"/>
      <c r="H21" s="102"/>
    </row>
    <row r="22" spans="1:8" x14ac:dyDescent="0.15">
      <c r="A22" s="102"/>
      <c r="B22" s="103"/>
      <c r="C22" s="103"/>
      <c r="D22" s="103"/>
      <c r="E22" s="103"/>
      <c r="F22" s="103"/>
      <c r="G22" s="103"/>
      <c r="H22" s="102"/>
    </row>
    <row r="23" spans="1:8" x14ac:dyDescent="0.15">
      <c r="A23" s="102"/>
      <c r="B23" s="103"/>
      <c r="C23" s="103"/>
      <c r="D23" s="103"/>
      <c r="E23" s="103"/>
      <c r="F23" s="103"/>
      <c r="G23" s="103"/>
      <c r="H23" s="102"/>
    </row>
    <row r="24" spans="1:8" x14ac:dyDescent="0.15">
      <c r="A24" s="102"/>
      <c r="B24" s="103"/>
      <c r="C24" s="103"/>
      <c r="D24" s="103"/>
      <c r="E24" s="103"/>
      <c r="F24" s="103"/>
      <c r="G24" s="103"/>
      <c r="H24" s="102"/>
    </row>
    <row r="25" spans="1:8" x14ac:dyDescent="0.15">
      <c r="A25" s="102"/>
      <c r="B25" s="103"/>
      <c r="C25" s="103"/>
      <c r="D25" s="103"/>
      <c r="E25" s="103"/>
      <c r="F25" s="103"/>
      <c r="G25" s="103"/>
      <c r="H25" s="102"/>
    </row>
    <row r="26" spans="1:8" x14ac:dyDescent="0.15">
      <c r="A26" s="102"/>
      <c r="B26" s="102"/>
      <c r="C26" s="102"/>
      <c r="D26" s="102"/>
      <c r="E26" s="102"/>
      <c r="F26" s="102"/>
      <c r="G26" s="102"/>
      <c r="H26" s="102"/>
    </row>
  </sheetData>
  <sheetProtection algorithmName="SHA-512" hashValue="xaTXcQEeWA5kGD3C6Mm+DVpvTk6hzdSk6X+Nsm1z81/FFP45TJzEB7zwj8yPI3a+nNVWzfITTrCoW8dCbHhC8g==" saltValue="be3kU2f6cexmD3h4hf8L8A==" spinCount="100000" sheet="1" objects="1" scenarios="1"/>
  <mergeCells count="2">
    <mergeCell ref="B20:G25"/>
    <mergeCell ref="B18:G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B2:E13"/>
  <sheetViews>
    <sheetView zoomScale="130" zoomScaleNormal="130" workbookViewId="0">
      <selection activeCell="E19" sqref="E19"/>
    </sheetView>
  </sheetViews>
  <sheetFormatPr baseColWidth="10" defaultColWidth="11" defaultRowHeight="14" x14ac:dyDescent="0.15"/>
  <cols>
    <col min="1" max="1" width="11" style="20"/>
    <col min="2" max="2" width="12.6640625" style="20" customWidth="1"/>
    <col min="3" max="3" width="13.1640625" style="20" customWidth="1"/>
    <col min="4" max="4" width="5.5" style="20" customWidth="1"/>
    <col min="5" max="5" width="22.1640625" style="20" bestFit="1" customWidth="1"/>
    <col min="6" max="6" width="14.1640625" style="20" customWidth="1"/>
    <col min="7" max="16384" width="11" style="20"/>
  </cols>
  <sheetData>
    <row r="2" spans="2:5" ht="43.5" customHeight="1" x14ac:dyDescent="0.15">
      <c r="B2" s="109" t="s">
        <v>201</v>
      </c>
      <c r="C2" s="110"/>
      <c r="D2" s="111"/>
    </row>
    <row r="3" spans="2:5" ht="24" customHeight="1" x14ac:dyDescent="0.15">
      <c r="B3" s="78" t="s">
        <v>199</v>
      </c>
      <c r="C3" s="78" t="s">
        <v>193</v>
      </c>
      <c r="D3" s="78" t="s">
        <v>194</v>
      </c>
    </row>
    <row r="4" spans="2:5" x14ac:dyDescent="0.15">
      <c r="B4" s="71" t="s">
        <v>32</v>
      </c>
      <c r="C4" s="90">
        <v>4.6709999999999998E-3</v>
      </c>
      <c r="D4" s="69" t="s">
        <v>29</v>
      </c>
      <c r="E4" s="70"/>
    </row>
    <row r="5" spans="2:5" x14ac:dyDescent="0.15">
      <c r="B5" s="71" t="s">
        <v>33</v>
      </c>
      <c r="C5" s="90">
        <v>4.7000000000000002E-3</v>
      </c>
      <c r="D5" s="69" t="s">
        <v>29</v>
      </c>
      <c r="E5" s="70"/>
    </row>
    <row r="6" spans="2:5" x14ac:dyDescent="0.15">
      <c r="B6" s="71" t="s">
        <v>34</v>
      </c>
      <c r="C6" s="90">
        <v>4.5999999999999999E-3</v>
      </c>
      <c r="D6" s="69" t="s">
        <v>29</v>
      </c>
      <c r="E6" s="70"/>
    </row>
    <row r="7" spans="2:5" x14ac:dyDescent="0.15">
      <c r="B7" s="77" t="s">
        <v>200</v>
      </c>
      <c r="C7" s="91">
        <f>AVERAGE(C4:C6)</f>
        <v>4.6570000000000005E-3</v>
      </c>
      <c r="D7" s="89" t="s">
        <v>29</v>
      </c>
      <c r="E7" s="70"/>
    </row>
    <row r="8" spans="2:5" x14ac:dyDescent="0.15">
      <c r="B8" s="105" t="s">
        <v>195</v>
      </c>
      <c r="C8" s="106"/>
      <c r="D8" s="107"/>
      <c r="E8" s="70"/>
    </row>
    <row r="9" spans="2:5" x14ac:dyDescent="0.15">
      <c r="B9" s="70"/>
      <c r="C9" s="70"/>
      <c r="D9" s="70"/>
      <c r="E9" s="70"/>
    </row>
    <row r="10" spans="2:5" x14ac:dyDescent="0.15">
      <c r="B10" s="70"/>
      <c r="C10" s="70"/>
      <c r="D10" s="70"/>
      <c r="E10" s="70"/>
    </row>
    <row r="11" spans="2:5" ht="16.5" customHeight="1" x14ac:dyDescent="0.15">
      <c r="B11" s="108" t="s">
        <v>233</v>
      </c>
      <c r="C11" s="108"/>
      <c r="D11" s="108"/>
      <c r="E11" s="108"/>
    </row>
    <row r="12" spans="2:5" ht="42" x14ac:dyDescent="0.15">
      <c r="B12" s="72" t="s">
        <v>197</v>
      </c>
      <c r="C12" s="92">
        <v>4.6570000000000003E-5</v>
      </c>
      <c r="D12" s="93" t="s">
        <v>29</v>
      </c>
      <c r="E12" s="68" t="s">
        <v>31</v>
      </c>
    </row>
    <row r="13" spans="2:5" x14ac:dyDescent="0.15">
      <c r="B13" s="73" t="s">
        <v>196</v>
      </c>
      <c r="C13" s="92">
        <f>+((1+C12)^360)-1</f>
        <v>1.690612767433386E-2</v>
      </c>
      <c r="D13" s="93" t="s">
        <v>30</v>
      </c>
      <c r="E13" s="68" t="s">
        <v>28</v>
      </c>
    </row>
  </sheetData>
  <mergeCells count="3">
    <mergeCell ref="B8:D8"/>
    <mergeCell ref="B11:E11"/>
    <mergeCell ref="B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2:E16"/>
  <sheetViews>
    <sheetView zoomScale="120" zoomScaleNormal="120" workbookViewId="0">
      <selection activeCell="B2" sqref="B2:C16"/>
    </sheetView>
  </sheetViews>
  <sheetFormatPr baseColWidth="10" defaultColWidth="11" defaultRowHeight="12" x14ac:dyDescent="0.15"/>
  <cols>
    <col min="1" max="1" width="11" style="75"/>
    <col min="2" max="2" width="49" style="75" customWidth="1"/>
    <col min="3" max="3" width="6" style="75" customWidth="1"/>
    <col min="4" max="4" width="5.6640625" style="75" customWidth="1"/>
    <col min="5" max="6" width="12.83203125" style="75" customWidth="1"/>
    <col min="7" max="7" width="19.6640625" style="75" customWidth="1"/>
    <col min="8" max="16384" width="11" style="75"/>
  </cols>
  <sheetData>
    <row r="2" spans="2:5" s="74" customFormat="1" ht="14" x14ac:dyDescent="0.15">
      <c r="B2" s="108" t="s">
        <v>202</v>
      </c>
      <c r="C2" s="108" t="s">
        <v>198</v>
      </c>
    </row>
    <row r="3" spans="2:5" s="74" customFormat="1" ht="13" x14ac:dyDescent="0.15">
      <c r="B3" s="79" t="s">
        <v>213</v>
      </c>
      <c r="C3" s="79" t="s">
        <v>193</v>
      </c>
    </row>
    <row r="4" spans="2:5" ht="13" x14ac:dyDescent="0.15">
      <c r="B4" s="81" t="s">
        <v>191</v>
      </c>
      <c r="C4" s="83">
        <v>0.3</v>
      </c>
    </row>
    <row r="5" spans="2:5" ht="13" x14ac:dyDescent="0.15">
      <c r="B5" s="81" t="s">
        <v>160</v>
      </c>
      <c r="C5" s="83">
        <v>0.1</v>
      </c>
      <c r="E5" s="76"/>
    </row>
    <row r="6" spans="2:5" ht="13" x14ac:dyDescent="0.15">
      <c r="B6" s="82" t="s">
        <v>6</v>
      </c>
      <c r="C6" s="83">
        <v>0.1</v>
      </c>
      <c r="E6" s="76"/>
    </row>
    <row r="7" spans="2:5" ht="13" x14ac:dyDescent="0.15">
      <c r="B7" s="81" t="s">
        <v>62</v>
      </c>
      <c r="C7" s="83">
        <v>0.1</v>
      </c>
      <c r="E7" s="76"/>
    </row>
    <row r="8" spans="2:5" ht="13" x14ac:dyDescent="0.15">
      <c r="B8" s="82" t="s">
        <v>178</v>
      </c>
      <c r="C8" s="83">
        <v>0.1</v>
      </c>
      <c r="E8" s="76"/>
    </row>
    <row r="9" spans="2:5" ht="26" x14ac:dyDescent="0.15">
      <c r="B9" s="82" t="s">
        <v>159</v>
      </c>
      <c r="C9" s="83">
        <v>0.05</v>
      </c>
      <c r="E9" s="76"/>
    </row>
    <row r="10" spans="2:5" ht="13" x14ac:dyDescent="0.15">
      <c r="B10" s="82" t="s">
        <v>189</v>
      </c>
      <c r="C10" s="83">
        <v>0.05</v>
      </c>
      <c r="E10" s="76"/>
    </row>
    <row r="11" spans="2:5" ht="13" x14ac:dyDescent="0.15">
      <c r="B11" s="81" t="s">
        <v>203</v>
      </c>
      <c r="C11" s="83">
        <v>0.05</v>
      </c>
      <c r="E11" s="76"/>
    </row>
    <row r="12" spans="2:5" ht="13" x14ac:dyDescent="0.15">
      <c r="B12" s="81" t="s">
        <v>170</v>
      </c>
      <c r="C12" s="83">
        <v>0.05</v>
      </c>
      <c r="E12" s="76"/>
    </row>
    <row r="13" spans="2:5" ht="26" x14ac:dyDescent="0.15">
      <c r="B13" s="82" t="s">
        <v>176</v>
      </c>
      <c r="C13" s="83">
        <v>0.05</v>
      </c>
    </row>
    <row r="14" spans="2:5" ht="13" x14ac:dyDescent="0.15">
      <c r="B14" s="81" t="s">
        <v>177</v>
      </c>
      <c r="C14" s="83">
        <v>0.05</v>
      </c>
    </row>
    <row r="15" spans="2:5" ht="13" x14ac:dyDescent="0.15">
      <c r="B15" s="81" t="s">
        <v>186</v>
      </c>
      <c r="C15" s="83">
        <v>0</v>
      </c>
    </row>
    <row r="16" spans="2:5" ht="13" x14ac:dyDescent="0.15">
      <c r="B16" s="80" t="s">
        <v>81</v>
      </c>
      <c r="C16" s="84">
        <f>SUM(C4:C15)</f>
        <v>1.0000000000000002</v>
      </c>
    </row>
  </sheetData>
  <sheetProtection autoFilter="0"/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AB89"/>
  <sheetViews>
    <sheetView topLeftCell="A4" workbookViewId="0">
      <pane xSplit="12" ySplit="11" topLeftCell="M36" activePane="bottomRight" state="frozen"/>
      <selection activeCell="A4" sqref="A4"/>
      <selection pane="topRight" activeCell="M4" sqref="M4"/>
      <selection pane="bottomLeft" activeCell="A15" sqref="A15"/>
      <selection pane="bottomRight" activeCell="B85" sqref="B85"/>
    </sheetView>
  </sheetViews>
  <sheetFormatPr baseColWidth="10" defaultRowHeight="14" x14ac:dyDescent="0.15"/>
  <cols>
    <col min="1" max="1" width="1.5" customWidth="1"/>
    <col min="2" max="2" width="11.1640625" style="9" customWidth="1"/>
    <col min="3" max="3" width="15.1640625" style="9" customWidth="1"/>
    <col min="4" max="27" width="5.6640625" customWidth="1"/>
  </cols>
  <sheetData>
    <row r="1" spans="2:27" hidden="1" x14ac:dyDescent="0.15"/>
    <row r="2" spans="2:27" hidden="1" x14ac:dyDescent="0.15"/>
    <row r="3" spans="2:27" ht="26.25" hidden="1" customHeight="1" x14ac:dyDescent="0.15">
      <c r="B3" s="112" t="s">
        <v>70</v>
      </c>
      <c r="C3" s="143" t="s">
        <v>71</v>
      </c>
      <c r="D3" s="114" t="s">
        <v>72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2:27" ht="20.25" customHeight="1" x14ac:dyDescent="0.15">
      <c r="B4" s="113"/>
      <c r="C4" s="144"/>
      <c r="D4" s="145" t="s">
        <v>73</v>
      </c>
      <c r="E4" s="146"/>
      <c r="F4" s="147"/>
      <c r="G4" s="148" t="s">
        <v>74</v>
      </c>
      <c r="H4" s="149"/>
      <c r="I4" s="150"/>
      <c r="J4" s="151" t="s">
        <v>75</v>
      </c>
      <c r="K4" s="152"/>
      <c r="L4" s="153"/>
      <c r="M4" s="154" t="s">
        <v>0</v>
      </c>
      <c r="N4" s="155"/>
      <c r="O4" s="156"/>
      <c r="P4" s="157" t="s">
        <v>76</v>
      </c>
      <c r="Q4" s="158"/>
      <c r="R4" s="159"/>
      <c r="S4" s="160" t="s">
        <v>1</v>
      </c>
      <c r="T4" s="161"/>
      <c r="U4" s="162"/>
      <c r="V4" s="163" t="s">
        <v>2</v>
      </c>
      <c r="W4" s="164"/>
      <c r="X4" s="165"/>
      <c r="Y4" s="166" t="s">
        <v>16</v>
      </c>
      <c r="Z4" s="167"/>
      <c r="AA4" s="167"/>
    </row>
    <row r="5" spans="2:27" s="7" customFormat="1" ht="21.75" customHeight="1" x14ac:dyDescent="0.15">
      <c r="B5" s="11" t="s">
        <v>77</v>
      </c>
      <c r="C5" s="11" t="s">
        <v>78</v>
      </c>
      <c r="D5" s="6" t="s">
        <v>79</v>
      </c>
      <c r="E5" s="6" t="s">
        <v>80</v>
      </c>
      <c r="F5" s="6" t="s">
        <v>81</v>
      </c>
      <c r="G5" s="6" t="s">
        <v>79</v>
      </c>
      <c r="H5" s="6" t="s">
        <v>80</v>
      </c>
      <c r="I5" s="6" t="s">
        <v>81</v>
      </c>
      <c r="J5" s="6" t="s">
        <v>79</v>
      </c>
      <c r="K5" s="6" t="s">
        <v>80</v>
      </c>
      <c r="L5" s="6" t="s">
        <v>81</v>
      </c>
      <c r="M5" s="6" t="s">
        <v>79</v>
      </c>
      <c r="N5" s="6" t="s">
        <v>80</v>
      </c>
      <c r="O5" s="6" t="s">
        <v>81</v>
      </c>
      <c r="P5" s="6" t="s">
        <v>80</v>
      </c>
      <c r="Q5" s="6" t="s">
        <v>79</v>
      </c>
      <c r="R5" s="6" t="s">
        <v>81</v>
      </c>
      <c r="S5" s="6" t="s">
        <v>79</v>
      </c>
      <c r="T5" s="6" t="s">
        <v>80</v>
      </c>
      <c r="U5" s="6" t="s">
        <v>81</v>
      </c>
      <c r="V5" s="6" t="s">
        <v>79</v>
      </c>
      <c r="W5" s="6" t="s">
        <v>80</v>
      </c>
      <c r="X5" s="6" t="s">
        <v>81</v>
      </c>
      <c r="Y5" s="6" t="s">
        <v>79</v>
      </c>
      <c r="Z5" s="6" t="s">
        <v>80</v>
      </c>
      <c r="AA5" s="6" t="s">
        <v>81</v>
      </c>
    </row>
    <row r="6" spans="2:27" ht="21.75" customHeight="1" x14ac:dyDescent="0.15">
      <c r="B6" s="139" t="s">
        <v>82</v>
      </c>
      <c r="C6" s="13" t="s">
        <v>83</v>
      </c>
      <c r="D6" s="2">
        <v>1613</v>
      </c>
      <c r="E6" s="2">
        <v>13</v>
      </c>
      <c r="F6" s="2">
        <f>D6+E6</f>
        <v>1626</v>
      </c>
      <c r="G6" s="2">
        <v>848</v>
      </c>
      <c r="H6" s="2">
        <v>111</v>
      </c>
      <c r="I6" s="2">
        <f>G6+H6</f>
        <v>959</v>
      </c>
      <c r="J6" s="2">
        <v>3514</v>
      </c>
      <c r="K6" s="2">
        <v>156</v>
      </c>
      <c r="L6" s="2">
        <f>J6+K6</f>
        <v>3670</v>
      </c>
      <c r="M6" s="2">
        <v>4168</v>
      </c>
      <c r="N6" s="5">
        <v>56</v>
      </c>
      <c r="O6" s="5">
        <f>M6+N6</f>
        <v>4224</v>
      </c>
      <c r="P6" s="2">
        <v>52</v>
      </c>
      <c r="Q6" s="2">
        <v>0</v>
      </c>
      <c r="R6" s="2">
        <f>P6+Q6</f>
        <v>52</v>
      </c>
      <c r="S6" s="2">
        <v>35</v>
      </c>
      <c r="T6" s="2">
        <v>49</v>
      </c>
      <c r="U6" s="2">
        <f>S6+T6</f>
        <v>84</v>
      </c>
      <c r="V6" s="2">
        <v>1581</v>
      </c>
      <c r="W6" s="2">
        <v>159</v>
      </c>
      <c r="X6" s="2">
        <f>V6+W6</f>
        <v>1740</v>
      </c>
      <c r="Y6" s="2">
        <v>1903</v>
      </c>
      <c r="Z6" s="2">
        <v>3</v>
      </c>
      <c r="AA6" s="2">
        <f>Y6+Z6</f>
        <v>1906</v>
      </c>
    </row>
    <row r="7" spans="2:27" ht="21.75" customHeight="1" x14ac:dyDescent="0.15">
      <c r="B7" s="141"/>
      <c r="C7" s="14" t="s">
        <v>84</v>
      </c>
      <c r="D7" s="3">
        <f>+D6</f>
        <v>1613</v>
      </c>
      <c r="E7" s="3">
        <f t="shared" ref="E7:AA7" si="0">+E6</f>
        <v>13</v>
      </c>
      <c r="F7" s="3">
        <f t="shared" si="0"/>
        <v>1626</v>
      </c>
      <c r="G7" s="3">
        <f t="shared" si="0"/>
        <v>848</v>
      </c>
      <c r="H7" s="3">
        <f t="shared" si="0"/>
        <v>111</v>
      </c>
      <c r="I7" s="3">
        <f t="shared" si="0"/>
        <v>959</v>
      </c>
      <c r="J7" s="3">
        <f t="shared" si="0"/>
        <v>3514</v>
      </c>
      <c r="K7" s="3">
        <f t="shared" si="0"/>
        <v>156</v>
      </c>
      <c r="L7" s="3">
        <f t="shared" si="0"/>
        <v>3670</v>
      </c>
      <c r="M7" s="3">
        <f t="shared" si="0"/>
        <v>4168</v>
      </c>
      <c r="N7" s="3">
        <f t="shared" si="0"/>
        <v>56</v>
      </c>
      <c r="O7" s="16">
        <f t="shared" si="0"/>
        <v>4224</v>
      </c>
      <c r="P7" s="3">
        <f t="shared" si="0"/>
        <v>52</v>
      </c>
      <c r="Q7" s="3">
        <f t="shared" si="0"/>
        <v>0</v>
      </c>
      <c r="R7" s="3">
        <f t="shared" si="0"/>
        <v>52</v>
      </c>
      <c r="S7" s="3">
        <f t="shared" si="0"/>
        <v>35</v>
      </c>
      <c r="T7" s="3">
        <f t="shared" si="0"/>
        <v>49</v>
      </c>
      <c r="U7" s="3">
        <f t="shared" si="0"/>
        <v>84</v>
      </c>
      <c r="V7" s="3">
        <f t="shared" si="0"/>
        <v>1581</v>
      </c>
      <c r="W7" s="3">
        <f t="shared" si="0"/>
        <v>159</v>
      </c>
      <c r="X7" s="3">
        <f t="shared" si="0"/>
        <v>1740</v>
      </c>
      <c r="Y7" s="3">
        <f t="shared" si="0"/>
        <v>1903</v>
      </c>
      <c r="Z7" s="3">
        <f t="shared" si="0"/>
        <v>3</v>
      </c>
      <c r="AA7" s="3">
        <f t="shared" si="0"/>
        <v>1906</v>
      </c>
    </row>
    <row r="8" spans="2:27" x14ac:dyDescent="0.15">
      <c r="B8" s="139" t="s">
        <v>85</v>
      </c>
      <c r="C8" s="13" t="s">
        <v>86</v>
      </c>
      <c r="D8" s="2">
        <v>1389</v>
      </c>
      <c r="E8" s="2">
        <v>103</v>
      </c>
      <c r="F8" s="2">
        <f>D8+E8</f>
        <v>1492</v>
      </c>
      <c r="G8" s="2">
        <v>167</v>
      </c>
      <c r="H8" s="2">
        <v>29</v>
      </c>
      <c r="I8" s="2">
        <f>G8+H8</f>
        <v>196</v>
      </c>
      <c r="J8" s="2">
        <v>632</v>
      </c>
      <c r="K8" s="2">
        <v>73</v>
      </c>
      <c r="L8" s="2">
        <f>J8+K8</f>
        <v>705</v>
      </c>
      <c r="M8" s="2">
        <v>2197</v>
      </c>
      <c r="N8" s="2">
        <v>23</v>
      </c>
      <c r="O8" s="2">
        <f>M8+N8</f>
        <v>2220</v>
      </c>
      <c r="P8" s="2">
        <v>8</v>
      </c>
      <c r="Q8" s="2">
        <v>0</v>
      </c>
      <c r="R8" s="2">
        <f>P8+Q8</f>
        <v>8</v>
      </c>
      <c r="S8" s="2">
        <v>14</v>
      </c>
      <c r="T8" s="2">
        <v>22</v>
      </c>
      <c r="U8" s="2">
        <f>S8+T8</f>
        <v>36</v>
      </c>
      <c r="V8" s="2">
        <v>3560</v>
      </c>
      <c r="W8" s="2">
        <v>146</v>
      </c>
      <c r="X8" s="2">
        <f>V8+W8</f>
        <v>3706</v>
      </c>
      <c r="Y8" s="2">
        <v>1188</v>
      </c>
      <c r="Z8" s="2">
        <v>1</v>
      </c>
      <c r="AA8" s="2">
        <f>Y8+Z8</f>
        <v>1189</v>
      </c>
    </row>
    <row r="9" spans="2:27" x14ac:dyDescent="0.15">
      <c r="B9" s="140"/>
      <c r="C9" s="13" t="s">
        <v>87</v>
      </c>
      <c r="D9" s="2">
        <v>197</v>
      </c>
      <c r="E9" s="2">
        <v>9</v>
      </c>
      <c r="F9" s="2">
        <f t="shared" ref="F9:F53" si="1">D9+E9</f>
        <v>206</v>
      </c>
      <c r="G9" s="2">
        <v>1</v>
      </c>
      <c r="H9" s="2">
        <v>0</v>
      </c>
      <c r="I9" s="2">
        <f t="shared" ref="I9:I53" si="2">G9+H9</f>
        <v>1</v>
      </c>
      <c r="J9" s="2">
        <v>33</v>
      </c>
      <c r="K9" s="2">
        <v>3</v>
      </c>
      <c r="L9" s="2">
        <f t="shared" ref="L9:L53" si="3">J9+K9</f>
        <v>36</v>
      </c>
      <c r="M9" s="2">
        <v>112</v>
      </c>
      <c r="N9" s="2">
        <v>0</v>
      </c>
      <c r="O9" s="2">
        <f t="shared" ref="O9:O53" si="4">M9+N9</f>
        <v>112</v>
      </c>
      <c r="P9" s="2">
        <v>0</v>
      </c>
      <c r="Q9" s="2">
        <v>0</v>
      </c>
      <c r="R9" s="2">
        <f t="shared" ref="R9:R53" si="5">P9+Q9</f>
        <v>0</v>
      </c>
      <c r="S9" s="2">
        <v>0</v>
      </c>
      <c r="T9" s="2">
        <v>1</v>
      </c>
      <c r="U9" s="2">
        <f t="shared" ref="U9:U53" si="6">S9+T9</f>
        <v>1</v>
      </c>
      <c r="V9" s="2">
        <v>121</v>
      </c>
      <c r="W9" s="2">
        <v>1</v>
      </c>
      <c r="X9" s="2">
        <f t="shared" ref="X9:X53" si="7">V9+W9</f>
        <v>122</v>
      </c>
      <c r="Y9" s="2">
        <v>53</v>
      </c>
      <c r="Z9" s="2">
        <v>0</v>
      </c>
      <c r="AA9" s="2">
        <f t="shared" ref="AA9:AA53" si="8">Y9+Z9</f>
        <v>53</v>
      </c>
    </row>
    <row r="10" spans="2:27" x14ac:dyDescent="0.15">
      <c r="B10" s="141"/>
      <c r="C10" s="14" t="s">
        <v>84</v>
      </c>
      <c r="D10" s="3">
        <f>D8+D9</f>
        <v>1586</v>
      </c>
      <c r="E10" s="3">
        <f t="shared" ref="E10:AA10" si="9">E8+E9</f>
        <v>112</v>
      </c>
      <c r="F10" s="3">
        <f t="shared" si="9"/>
        <v>1698</v>
      </c>
      <c r="G10" s="3">
        <f t="shared" si="9"/>
        <v>168</v>
      </c>
      <c r="H10" s="3">
        <f t="shared" si="9"/>
        <v>29</v>
      </c>
      <c r="I10" s="3">
        <f t="shared" si="9"/>
        <v>197</v>
      </c>
      <c r="J10" s="3">
        <f t="shared" si="9"/>
        <v>665</v>
      </c>
      <c r="K10" s="3">
        <f t="shared" si="9"/>
        <v>76</v>
      </c>
      <c r="L10" s="3">
        <f t="shared" si="9"/>
        <v>741</v>
      </c>
      <c r="M10" s="3">
        <f t="shared" si="9"/>
        <v>2309</v>
      </c>
      <c r="N10" s="3">
        <f t="shared" si="9"/>
        <v>23</v>
      </c>
      <c r="O10" s="3">
        <f t="shared" si="9"/>
        <v>2332</v>
      </c>
      <c r="P10" s="3">
        <f t="shared" si="9"/>
        <v>8</v>
      </c>
      <c r="Q10" s="3">
        <f t="shared" si="9"/>
        <v>0</v>
      </c>
      <c r="R10" s="3">
        <f t="shared" si="9"/>
        <v>8</v>
      </c>
      <c r="S10" s="3">
        <f t="shared" si="9"/>
        <v>14</v>
      </c>
      <c r="T10" s="3">
        <f t="shared" si="9"/>
        <v>23</v>
      </c>
      <c r="U10" s="3">
        <f t="shared" si="9"/>
        <v>37</v>
      </c>
      <c r="V10" s="3">
        <f t="shared" si="9"/>
        <v>3681</v>
      </c>
      <c r="W10" s="3">
        <f t="shared" si="9"/>
        <v>147</v>
      </c>
      <c r="X10" s="16">
        <f t="shared" si="9"/>
        <v>3828</v>
      </c>
      <c r="Y10" s="3">
        <f t="shared" si="9"/>
        <v>1241</v>
      </c>
      <c r="Z10" s="3">
        <f t="shared" si="9"/>
        <v>1</v>
      </c>
      <c r="AA10" s="3">
        <f t="shared" si="9"/>
        <v>1242</v>
      </c>
    </row>
    <row r="11" spans="2:27" x14ac:dyDescent="0.15">
      <c r="B11" s="139" t="s">
        <v>88</v>
      </c>
      <c r="C11" s="13" t="s">
        <v>89</v>
      </c>
      <c r="D11" s="2">
        <v>618</v>
      </c>
      <c r="E11" s="2">
        <v>13</v>
      </c>
      <c r="F11" s="2">
        <f>D11+E11</f>
        <v>631</v>
      </c>
      <c r="G11" s="2">
        <v>53</v>
      </c>
      <c r="H11" s="2">
        <v>10</v>
      </c>
      <c r="I11" s="2">
        <f>G11+H11</f>
        <v>63</v>
      </c>
      <c r="J11" s="2">
        <v>316</v>
      </c>
      <c r="K11" s="2">
        <v>29</v>
      </c>
      <c r="L11" s="2">
        <f>J11+K11</f>
        <v>345</v>
      </c>
      <c r="M11" s="2">
        <v>1070</v>
      </c>
      <c r="N11" s="2">
        <v>13</v>
      </c>
      <c r="O11" s="2">
        <f>M11+N11</f>
        <v>1083</v>
      </c>
      <c r="P11" s="2">
        <v>5</v>
      </c>
      <c r="Q11" s="2">
        <v>0</v>
      </c>
      <c r="R11" s="2">
        <f>P11+Q11</f>
        <v>5</v>
      </c>
      <c r="S11" s="2">
        <v>4</v>
      </c>
      <c r="T11" s="2">
        <v>9</v>
      </c>
      <c r="U11" s="2">
        <f>S11+T11</f>
        <v>13</v>
      </c>
      <c r="V11" s="2">
        <v>576</v>
      </c>
      <c r="W11" s="2">
        <v>31</v>
      </c>
      <c r="X11" s="2">
        <f>V11+W11</f>
        <v>607</v>
      </c>
      <c r="Y11" s="2">
        <v>426</v>
      </c>
      <c r="Z11" s="2">
        <v>0</v>
      </c>
      <c r="AA11" s="2">
        <f>Y11+Z11</f>
        <v>426</v>
      </c>
    </row>
    <row r="12" spans="2:27" x14ac:dyDescent="0.15">
      <c r="B12" s="140"/>
      <c r="C12" s="13" t="s">
        <v>90</v>
      </c>
      <c r="D12" s="2">
        <v>146</v>
      </c>
      <c r="E12" s="2">
        <v>20</v>
      </c>
      <c r="F12" s="2">
        <f>D12+E12</f>
        <v>166</v>
      </c>
      <c r="G12" s="2">
        <v>39</v>
      </c>
      <c r="H12" s="2">
        <v>1</v>
      </c>
      <c r="I12" s="2">
        <f>G12+H12</f>
        <v>40</v>
      </c>
      <c r="J12" s="2">
        <v>144</v>
      </c>
      <c r="K12" s="2">
        <v>10</v>
      </c>
      <c r="L12" s="2">
        <f>J12+K12</f>
        <v>154</v>
      </c>
      <c r="M12" s="2">
        <v>562</v>
      </c>
      <c r="N12" s="2">
        <v>3</v>
      </c>
      <c r="O12" s="2">
        <f>M12+N12</f>
        <v>565</v>
      </c>
      <c r="P12" s="2">
        <v>0</v>
      </c>
      <c r="Q12" s="2">
        <v>0</v>
      </c>
      <c r="R12" s="2">
        <f>P12+Q12</f>
        <v>0</v>
      </c>
      <c r="S12" s="2">
        <v>1</v>
      </c>
      <c r="T12" s="2">
        <v>2</v>
      </c>
      <c r="U12" s="2">
        <f>S12+T12</f>
        <v>3</v>
      </c>
      <c r="V12" s="2">
        <v>380</v>
      </c>
      <c r="W12" s="2">
        <v>10</v>
      </c>
      <c r="X12" s="2">
        <f>V12+W12</f>
        <v>390</v>
      </c>
      <c r="Y12" s="2">
        <v>127</v>
      </c>
      <c r="Z12" s="2">
        <v>0</v>
      </c>
      <c r="AA12" s="2">
        <f>Y12+Z12</f>
        <v>127</v>
      </c>
    </row>
    <row r="13" spans="2:27" x14ac:dyDescent="0.15">
      <c r="B13" s="140"/>
      <c r="C13" s="13" t="s">
        <v>91</v>
      </c>
      <c r="D13" s="2">
        <v>147</v>
      </c>
      <c r="E13" s="2">
        <v>6</v>
      </c>
      <c r="F13" s="2">
        <f>D13+E13</f>
        <v>153</v>
      </c>
      <c r="G13" s="2">
        <v>5</v>
      </c>
      <c r="H13" s="2">
        <v>0</v>
      </c>
      <c r="I13" s="2">
        <f>G13+H13</f>
        <v>5</v>
      </c>
      <c r="J13" s="2">
        <v>55</v>
      </c>
      <c r="K13" s="2">
        <v>4</v>
      </c>
      <c r="L13" s="2">
        <f>J13+K13</f>
        <v>59</v>
      </c>
      <c r="M13" s="2">
        <v>302</v>
      </c>
      <c r="N13" s="2">
        <v>1</v>
      </c>
      <c r="O13" s="2">
        <f>M13+N13</f>
        <v>303</v>
      </c>
      <c r="P13" s="2">
        <v>1</v>
      </c>
      <c r="Q13" s="2">
        <v>0</v>
      </c>
      <c r="R13" s="2">
        <f>P13+Q13</f>
        <v>1</v>
      </c>
      <c r="S13" s="2">
        <v>1</v>
      </c>
      <c r="T13" s="2">
        <v>2</v>
      </c>
      <c r="U13" s="2">
        <f>S13+T13</f>
        <v>3</v>
      </c>
      <c r="V13" s="2">
        <v>111</v>
      </c>
      <c r="W13" s="2">
        <v>8</v>
      </c>
      <c r="X13" s="2">
        <f>V13+W13</f>
        <v>119</v>
      </c>
      <c r="Y13" s="2">
        <v>65</v>
      </c>
      <c r="Z13" s="2">
        <v>0</v>
      </c>
      <c r="AA13" s="2">
        <f>Y13+Z13</f>
        <v>65</v>
      </c>
    </row>
    <row r="14" spans="2:27" x14ac:dyDescent="0.15">
      <c r="B14" s="140"/>
      <c r="C14" s="13" t="s">
        <v>92</v>
      </c>
      <c r="D14" s="2">
        <v>270</v>
      </c>
      <c r="E14" s="2">
        <v>14</v>
      </c>
      <c r="F14" s="2">
        <f>D14+E14</f>
        <v>284</v>
      </c>
      <c r="G14" s="2">
        <v>24</v>
      </c>
      <c r="H14" s="2">
        <v>2</v>
      </c>
      <c r="I14" s="2">
        <f>G14+H14</f>
        <v>26</v>
      </c>
      <c r="J14" s="2">
        <v>100</v>
      </c>
      <c r="K14" s="2">
        <v>9</v>
      </c>
      <c r="L14" s="2">
        <f>J14+K14</f>
        <v>109</v>
      </c>
      <c r="M14" s="2">
        <v>529</v>
      </c>
      <c r="N14" s="2">
        <v>2</v>
      </c>
      <c r="O14" s="2">
        <f>M14+N14</f>
        <v>531</v>
      </c>
      <c r="P14" s="2">
        <v>3</v>
      </c>
      <c r="Q14" s="2">
        <v>0</v>
      </c>
      <c r="R14" s="2">
        <f>P14+Q14</f>
        <v>3</v>
      </c>
      <c r="S14" s="2">
        <v>1</v>
      </c>
      <c r="T14" s="2">
        <v>2</v>
      </c>
      <c r="U14" s="2">
        <f>S14+T14</f>
        <v>3</v>
      </c>
      <c r="V14" s="2">
        <v>303</v>
      </c>
      <c r="W14" s="2">
        <v>9</v>
      </c>
      <c r="X14" s="2">
        <f>V14+W14</f>
        <v>312</v>
      </c>
      <c r="Y14" s="2">
        <v>160</v>
      </c>
      <c r="Z14" s="2">
        <v>0</v>
      </c>
      <c r="AA14" s="2">
        <f>Y14+Z14</f>
        <v>160</v>
      </c>
    </row>
    <row r="15" spans="2:27" x14ac:dyDescent="0.15">
      <c r="B15" s="141"/>
      <c r="C15" s="14" t="s">
        <v>84</v>
      </c>
      <c r="D15" s="3">
        <f>D11+D12+D13+D14</f>
        <v>1181</v>
      </c>
      <c r="E15" s="3">
        <f>E11+E12+E13+E14</f>
        <v>53</v>
      </c>
      <c r="F15" s="3">
        <f t="shared" ref="F15:AA15" si="10">F11+F12+F13+F14</f>
        <v>1234</v>
      </c>
      <c r="G15" s="3">
        <f t="shared" si="10"/>
        <v>121</v>
      </c>
      <c r="H15" s="3">
        <f t="shared" si="10"/>
        <v>13</v>
      </c>
      <c r="I15" s="3">
        <f t="shared" si="10"/>
        <v>134</v>
      </c>
      <c r="J15" s="3">
        <f t="shared" si="10"/>
        <v>615</v>
      </c>
      <c r="K15" s="3">
        <f t="shared" si="10"/>
        <v>52</v>
      </c>
      <c r="L15" s="3">
        <f t="shared" si="10"/>
        <v>667</v>
      </c>
      <c r="M15" s="3">
        <f t="shared" si="10"/>
        <v>2463</v>
      </c>
      <c r="N15" s="3">
        <f t="shared" si="10"/>
        <v>19</v>
      </c>
      <c r="O15" s="16">
        <f t="shared" si="10"/>
        <v>2482</v>
      </c>
      <c r="P15" s="3">
        <f t="shared" si="10"/>
        <v>9</v>
      </c>
      <c r="Q15" s="3">
        <f t="shared" si="10"/>
        <v>0</v>
      </c>
      <c r="R15" s="3">
        <f t="shared" si="10"/>
        <v>9</v>
      </c>
      <c r="S15" s="3">
        <f t="shared" si="10"/>
        <v>7</v>
      </c>
      <c r="T15" s="3">
        <f t="shared" si="10"/>
        <v>15</v>
      </c>
      <c r="U15" s="3">
        <f t="shared" si="10"/>
        <v>22</v>
      </c>
      <c r="V15" s="3">
        <f t="shared" si="10"/>
        <v>1370</v>
      </c>
      <c r="W15" s="3">
        <f t="shared" si="10"/>
        <v>58</v>
      </c>
      <c r="X15" s="3">
        <f t="shared" si="10"/>
        <v>1428</v>
      </c>
      <c r="Y15" s="3">
        <f t="shared" si="10"/>
        <v>778</v>
      </c>
      <c r="Z15" s="3">
        <f t="shared" si="10"/>
        <v>0</v>
      </c>
      <c r="AA15" s="3">
        <f t="shared" si="10"/>
        <v>778</v>
      </c>
    </row>
    <row r="16" spans="2:27" x14ac:dyDescent="0.15">
      <c r="B16" s="139" t="s">
        <v>93</v>
      </c>
      <c r="C16" s="13" t="s">
        <v>94</v>
      </c>
      <c r="D16" s="2">
        <v>34</v>
      </c>
      <c r="E16" s="2">
        <v>2</v>
      </c>
      <c r="F16" s="2">
        <f>D16+E16</f>
        <v>36</v>
      </c>
      <c r="G16" s="2">
        <v>2</v>
      </c>
      <c r="H16" s="2">
        <v>1</v>
      </c>
      <c r="I16" s="2">
        <f>G16+H16</f>
        <v>3</v>
      </c>
      <c r="J16" s="2">
        <v>8</v>
      </c>
      <c r="K16" s="2">
        <v>2</v>
      </c>
      <c r="L16" s="2">
        <f>J16+K16</f>
        <v>10</v>
      </c>
      <c r="M16" s="2">
        <v>35</v>
      </c>
      <c r="N16" s="2">
        <v>1</v>
      </c>
      <c r="O16" s="2">
        <f>M16+N16</f>
        <v>36</v>
      </c>
      <c r="P16" s="2">
        <v>0</v>
      </c>
      <c r="Q16" s="2">
        <v>0</v>
      </c>
      <c r="R16" s="2">
        <f>P16+Q16</f>
        <v>0</v>
      </c>
      <c r="S16" s="2">
        <v>0</v>
      </c>
      <c r="T16" s="2">
        <v>1</v>
      </c>
      <c r="U16" s="2">
        <f>S16+T16</f>
        <v>1</v>
      </c>
      <c r="V16" s="2">
        <v>9</v>
      </c>
      <c r="W16" s="2">
        <v>1</v>
      </c>
      <c r="X16" s="2">
        <f>V16+W16</f>
        <v>10</v>
      </c>
      <c r="Y16" s="2">
        <v>20</v>
      </c>
      <c r="Z16" s="2">
        <v>0</v>
      </c>
      <c r="AA16" s="2">
        <f>Y16+Z16</f>
        <v>20</v>
      </c>
    </row>
    <row r="17" spans="2:27" x14ac:dyDescent="0.15">
      <c r="B17" s="140"/>
      <c r="C17" s="13" t="s">
        <v>95</v>
      </c>
      <c r="D17" s="2">
        <v>729</v>
      </c>
      <c r="E17" s="2">
        <v>17</v>
      </c>
      <c r="F17" s="2">
        <f>D17+E17</f>
        <v>746</v>
      </c>
      <c r="G17" s="2">
        <v>22</v>
      </c>
      <c r="H17" s="2">
        <v>5</v>
      </c>
      <c r="I17" s="2">
        <f>G17+H17</f>
        <v>27</v>
      </c>
      <c r="J17" s="2">
        <v>130</v>
      </c>
      <c r="K17" s="2">
        <v>11</v>
      </c>
      <c r="L17" s="2">
        <f>J17+K17</f>
        <v>141</v>
      </c>
      <c r="M17" s="2">
        <v>772</v>
      </c>
      <c r="N17" s="2">
        <v>9</v>
      </c>
      <c r="O17" s="2">
        <f>M17+N17</f>
        <v>781</v>
      </c>
      <c r="P17" s="2">
        <v>3</v>
      </c>
      <c r="Q17" s="2">
        <v>0</v>
      </c>
      <c r="R17" s="2">
        <f>P17+Q17</f>
        <v>3</v>
      </c>
      <c r="S17" s="2">
        <v>7</v>
      </c>
      <c r="T17" s="2">
        <v>7</v>
      </c>
      <c r="U17" s="2">
        <f>S17+T17</f>
        <v>14</v>
      </c>
      <c r="V17" s="2">
        <v>458</v>
      </c>
      <c r="W17" s="2">
        <v>20</v>
      </c>
      <c r="X17" s="2">
        <f>V17+W17</f>
        <v>478</v>
      </c>
      <c r="Y17" s="2">
        <v>230</v>
      </c>
      <c r="Z17" s="2">
        <v>1</v>
      </c>
      <c r="AA17" s="2">
        <f>Y17+Z17</f>
        <v>231</v>
      </c>
    </row>
    <row r="18" spans="2:27" x14ac:dyDescent="0.15">
      <c r="B18" s="140"/>
      <c r="C18" s="13" t="s">
        <v>96</v>
      </c>
      <c r="D18" s="2">
        <v>599</v>
      </c>
      <c r="E18" s="2">
        <v>25</v>
      </c>
      <c r="F18" s="2">
        <f>D18+E18</f>
        <v>624</v>
      </c>
      <c r="G18" s="2">
        <v>50</v>
      </c>
      <c r="H18" s="2">
        <v>2</v>
      </c>
      <c r="I18" s="2">
        <f>G18+H18</f>
        <v>52</v>
      </c>
      <c r="J18" s="2">
        <v>126</v>
      </c>
      <c r="K18" s="2">
        <v>11</v>
      </c>
      <c r="L18" s="2">
        <f>J18+K18</f>
        <v>137</v>
      </c>
      <c r="M18" s="2">
        <v>515</v>
      </c>
      <c r="N18" s="2">
        <v>3</v>
      </c>
      <c r="O18" s="2">
        <f>M18+N18</f>
        <v>518</v>
      </c>
      <c r="P18" s="2">
        <v>1</v>
      </c>
      <c r="Q18" s="2">
        <v>0</v>
      </c>
      <c r="R18" s="2">
        <f>P18+Q18</f>
        <v>1</v>
      </c>
      <c r="S18" s="2">
        <v>0</v>
      </c>
      <c r="T18" s="2">
        <v>3</v>
      </c>
      <c r="U18" s="2">
        <f>S18+T18</f>
        <v>3</v>
      </c>
      <c r="V18" s="2">
        <v>446</v>
      </c>
      <c r="W18" s="2">
        <v>14</v>
      </c>
      <c r="X18" s="2">
        <f>V18+W18</f>
        <v>460</v>
      </c>
      <c r="Y18" s="2">
        <v>140</v>
      </c>
      <c r="Z18" s="2">
        <v>0</v>
      </c>
      <c r="AA18" s="2">
        <f>Y18+Z18</f>
        <v>140</v>
      </c>
    </row>
    <row r="19" spans="2:27" x14ac:dyDescent="0.15">
      <c r="B19" s="140"/>
      <c r="C19" s="13" t="s">
        <v>97</v>
      </c>
      <c r="D19" s="2">
        <v>384</v>
      </c>
      <c r="E19" s="2">
        <v>20</v>
      </c>
      <c r="F19" s="2">
        <f>D19+E19</f>
        <v>404</v>
      </c>
      <c r="G19" s="2">
        <v>20</v>
      </c>
      <c r="H19" s="2">
        <v>1</v>
      </c>
      <c r="I19" s="2">
        <f>G19+H19</f>
        <v>21</v>
      </c>
      <c r="J19" s="2">
        <v>54</v>
      </c>
      <c r="K19" s="2">
        <v>4</v>
      </c>
      <c r="L19" s="2">
        <f>J19+K19</f>
        <v>58</v>
      </c>
      <c r="M19" s="2">
        <v>300</v>
      </c>
      <c r="N19" s="2">
        <v>1</v>
      </c>
      <c r="O19" s="2">
        <f>M19+N19</f>
        <v>301</v>
      </c>
      <c r="P19" s="2">
        <v>1</v>
      </c>
      <c r="Q19" s="2">
        <v>0</v>
      </c>
      <c r="R19" s="2">
        <f>P19+Q19</f>
        <v>1</v>
      </c>
      <c r="S19" s="2">
        <v>1</v>
      </c>
      <c r="T19" s="2">
        <v>1</v>
      </c>
      <c r="U19" s="2">
        <f>S19+T19</f>
        <v>2</v>
      </c>
      <c r="V19" s="2">
        <v>277</v>
      </c>
      <c r="W19" s="2">
        <v>8</v>
      </c>
      <c r="X19" s="2">
        <f>V19+W19</f>
        <v>285</v>
      </c>
      <c r="Y19" s="2">
        <v>80</v>
      </c>
      <c r="Z19" s="2">
        <v>0</v>
      </c>
      <c r="AA19" s="2">
        <f>Y19+Z19</f>
        <v>80</v>
      </c>
    </row>
    <row r="20" spans="2:27" x14ac:dyDescent="0.15">
      <c r="B20" s="141"/>
      <c r="C20" s="14" t="s">
        <v>84</v>
      </c>
      <c r="D20" s="3">
        <f>D16+D17+D18+D19</f>
        <v>1746</v>
      </c>
      <c r="E20" s="3">
        <f t="shared" ref="E20:AA20" si="11">E16+E17+E18+E19</f>
        <v>64</v>
      </c>
      <c r="F20" s="16">
        <f t="shared" si="11"/>
        <v>1810</v>
      </c>
      <c r="G20" s="3">
        <f t="shared" si="11"/>
        <v>94</v>
      </c>
      <c r="H20" s="3">
        <f t="shared" si="11"/>
        <v>9</v>
      </c>
      <c r="I20" s="3">
        <f t="shared" si="11"/>
        <v>103</v>
      </c>
      <c r="J20" s="3">
        <f t="shared" si="11"/>
        <v>318</v>
      </c>
      <c r="K20" s="3">
        <f t="shared" si="11"/>
        <v>28</v>
      </c>
      <c r="L20" s="3">
        <f t="shared" si="11"/>
        <v>346</v>
      </c>
      <c r="M20" s="3">
        <f t="shared" si="11"/>
        <v>1622</v>
      </c>
      <c r="N20" s="3">
        <f t="shared" si="11"/>
        <v>14</v>
      </c>
      <c r="O20" s="3">
        <f t="shared" si="11"/>
        <v>1636</v>
      </c>
      <c r="P20" s="3">
        <f t="shared" si="11"/>
        <v>5</v>
      </c>
      <c r="Q20" s="3">
        <f t="shared" si="11"/>
        <v>0</v>
      </c>
      <c r="R20" s="3">
        <f t="shared" si="11"/>
        <v>5</v>
      </c>
      <c r="S20" s="3">
        <f t="shared" si="11"/>
        <v>8</v>
      </c>
      <c r="T20" s="3">
        <f t="shared" si="11"/>
        <v>12</v>
      </c>
      <c r="U20" s="3">
        <f t="shared" si="11"/>
        <v>20</v>
      </c>
      <c r="V20" s="3">
        <f t="shared" si="11"/>
        <v>1190</v>
      </c>
      <c r="W20" s="3">
        <f t="shared" si="11"/>
        <v>43</v>
      </c>
      <c r="X20" s="3">
        <f t="shared" si="11"/>
        <v>1233</v>
      </c>
      <c r="Y20" s="3">
        <f t="shared" si="11"/>
        <v>470</v>
      </c>
      <c r="Z20" s="3">
        <f t="shared" si="11"/>
        <v>1</v>
      </c>
      <c r="AA20" s="3">
        <f t="shared" si="11"/>
        <v>471</v>
      </c>
    </row>
    <row r="21" spans="2:27" x14ac:dyDescent="0.15">
      <c r="B21" s="139" t="s">
        <v>98</v>
      </c>
      <c r="C21" s="13" t="s">
        <v>99</v>
      </c>
      <c r="D21" s="2">
        <v>560</v>
      </c>
      <c r="E21" s="2">
        <v>68</v>
      </c>
      <c r="F21" s="2">
        <f>D21+E21</f>
        <v>628</v>
      </c>
      <c r="G21" s="2">
        <v>105</v>
      </c>
      <c r="H21" s="2">
        <v>7</v>
      </c>
      <c r="I21" s="2">
        <f>G21+H21</f>
        <v>112</v>
      </c>
      <c r="J21" s="2">
        <v>450</v>
      </c>
      <c r="K21" s="2">
        <v>18</v>
      </c>
      <c r="L21" s="2">
        <f>J21+K21</f>
        <v>468</v>
      </c>
      <c r="M21" s="2">
        <v>794</v>
      </c>
      <c r="N21" s="2">
        <v>5</v>
      </c>
      <c r="O21" s="2">
        <f>M21+N21</f>
        <v>799</v>
      </c>
      <c r="P21" s="2">
        <v>3</v>
      </c>
      <c r="Q21" s="2">
        <v>0</v>
      </c>
      <c r="R21" s="2">
        <f>P21+Q21</f>
        <v>3</v>
      </c>
      <c r="S21" s="2">
        <v>1</v>
      </c>
      <c r="T21" s="2">
        <v>7</v>
      </c>
      <c r="U21" s="2">
        <f>S21+T21</f>
        <v>8</v>
      </c>
      <c r="V21" s="2">
        <v>611</v>
      </c>
      <c r="W21" s="2">
        <v>13</v>
      </c>
      <c r="X21" s="2">
        <f>V21+W21</f>
        <v>624</v>
      </c>
      <c r="Y21" s="2">
        <v>300</v>
      </c>
      <c r="Z21" s="2">
        <v>0</v>
      </c>
      <c r="AA21" s="2">
        <f>Y21+Z21</f>
        <v>300</v>
      </c>
    </row>
    <row r="22" spans="2:27" x14ac:dyDescent="0.15">
      <c r="B22" s="140"/>
      <c r="C22" s="13" t="s">
        <v>100</v>
      </c>
      <c r="D22" s="2">
        <v>174</v>
      </c>
      <c r="E22" s="2">
        <v>15</v>
      </c>
      <c r="F22" s="2">
        <f>D22+E22</f>
        <v>189</v>
      </c>
      <c r="G22" s="2">
        <v>21</v>
      </c>
      <c r="H22" s="2">
        <v>1</v>
      </c>
      <c r="I22" s="2">
        <f>G22+H22</f>
        <v>22</v>
      </c>
      <c r="J22" s="2">
        <v>115</v>
      </c>
      <c r="K22" s="2">
        <v>5</v>
      </c>
      <c r="L22" s="2">
        <f>J22+K22</f>
        <v>120</v>
      </c>
      <c r="M22" s="2">
        <v>250</v>
      </c>
      <c r="N22" s="2">
        <v>2</v>
      </c>
      <c r="O22" s="2">
        <f>M22+N22</f>
        <v>252</v>
      </c>
      <c r="P22" s="2">
        <v>1</v>
      </c>
      <c r="Q22" s="2">
        <v>0</v>
      </c>
      <c r="R22" s="2">
        <f>P22+Q22</f>
        <v>1</v>
      </c>
      <c r="S22" s="2">
        <v>0</v>
      </c>
      <c r="T22" s="2">
        <v>2</v>
      </c>
      <c r="U22" s="2">
        <f>S22+T22</f>
        <v>2</v>
      </c>
      <c r="V22" s="2">
        <v>122</v>
      </c>
      <c r="W22" s="2">
        <v>9</v>
      </c>
      <c r="X22" s="2">
        <f>V22+W22</f>
        <v>131</v>
      </c>
      <c r="Y22" s="2">
        <v>104</v>
      </c>
      <c r="Z22" s="2">
        <v>0</v>
      </c>
      <c r="AA22" s="2">
        <f>Y22+Z22</f>
        <v>104</v>
      </c>
    </row>
    <row r="23" spans="2:27" x14ac:dyDescent="0.15">
      <c r="B23" s="141"/>
      <c r="C23" s="14" t="s">
        <v>84</v>
      </c>
      <c r="D23" s="3">
        <f>D21+D22</f>
        <v>734</v>
      </c>
      <c r="E23" s="3">
        <f t="shared" ref="E23:AA23" si="12">E21+E22</f>
        <v>83</v>
      </c>
      <c r="F23" s="3">
        <f t="shared" si="12"/>
        <v>817</v>
      </c>
      <c r="G23" s="3">
        <f t="shared" si="12"/>
        <v>126</v>
      </c>
      <c r="H23" s="3">
        <f t="shared" si="12"/>
        <v>8</v>
      </c>
      <c r="I23" s="3">
        <f t="shared" si="12"/>
        <v>134</v>
      </c>
      <c r="J23" s="3">
        <f t="shared" si="12"/>
        <v>565</v>
      </c>
      <c r="K23" s="3">
        <f t="shared" si="12"/>
        <v>23</v>
      </c>
      <c r="L23" s="3">
        <f t="shared" si="12"/>
        <v>588</v>
      </c>
      <c r="M23" s="3">
        <f t="shared" si="12"/>
        <v>1044</v>
      </c>
      <c r="N23" s="3">
        <f t="shared" si="12"/>
        <v>7</v>
      </c>
      <c r="O23" s="16">
        <f t="shared" si="12"/>
        <v>1051</v>
      </c>
      <c r="P23" s="3">
        <f t="shared" si="12"/>
        <v>4</v>
      </c>
      <c r="Q23" s="3">
        <f t="shared" si="12"/>
        <v>0</v>
      </c>
      <c r="R23" s="3">
        <f t="shared" si="12"/>
        <v>4</v>
      </c>
      <c r="S23" s="3">
        <f t="shared" si="12"/>
        <v>1</v>
      </c>
      <c r="T23" s="3">
        <f t="shared" si="12"/>
        <v>9</v>
      </c>
      <c r="U23" s="3">
        <f t="shared" si="12"/>
        <v>10</v>
      </c>
      <c r="V23" s="3">
        <f t="shared" si="12"/>
        <v>733</v>
      </c>
      <c r="W23" s="3">
        <f t="shared" si="12"/>
        <v>22</v>
      </c>
      <c r="X23" s="3">
        <f t="shared" si="12"/>
        <v>755</v>
      </c>
      <c r="Y23" s="3">
        <f t="shared" si="12"/>
        <v>404</v>
      </c>
      <c r="Z23" s="3">
        <f t="shared" si="12"/>
        <v>0</v>
      </c>
      <c r="AA23" s="3">
        <f t="shared" si="12"/>
        <v>404</v>
      </c>
    </row>
    <row r="24" spans="2:27" x14ac:dyDescent="0.15">
      <c r="B24" s="139" t="s">
        <v>101</v>
      </c>
      <c r="C24" s="13" t="s">
        <v>102</v>
      </c>
      <c r="D24" s="2">
        <v>84</v>
      </c>
      <c r="E24" s="2">
        <v>22</v>
      </c>
      <c r="F24" s="2">
        <f>D24+E24</f>
        <v>106</v>
      </c>
      <c r="G24" s="2">
        <v>42</v>
      </c>
      <c r="H24" s="2">
        <v>7</v>
      </c>
      <c r="I24" s="2">
        <f>G24+H24</f>
        <v>49</v>
      </c>
      <c r="J24" s="2">
        <v>86</v>
      </c>
      <c r="K24" s="2">
        <v>10</v>
      </c>
      <c r="L24" s="2">
        <f>J24+K24</f>
        <v>96</v>
      </c>
      <c r="M24" s="2">
        <v>339</v>
      </c>
      <c r="N24" s="2">
        <v>2</v>
      </c>
      <c r="O24" s="2">
        <f>M24+N24</f>
        <v>341</v>
      </c>
      <c r="P24" s="2">
        <v>2</v>
      </c>
      <c r="Q24" s="2">
        <v>0</v>
      </c>
      <c r="R24" s="2">
        <f>P24+Q24</f>
        <v>2</v>
      </c>
      <c r="S24" s="2">
        <v>3</v>
      </c>
      <c r="T24" s="2">
        <v>4</v>
      </c>
      <c r="U24" s="2">
        <f>S24+T24</f>
        <v>7</v>
      </c>
      <c r="V24" s="2">
        <v>399</v>
      </c>
      <c r="W24" s="2">
        <v>14</v>
      </c>
      <c r="X24" s="2">
        <f>V24+W24</f>
        <v>413</v>
      </c>
      <c r="Y24" s="2">
        <v>144</v>
      </c>
      <c r="Z24" s="2">
        <v>0</v>
      </c>
      <c r="AA24" s="2">
        <f>Y24+Z24</f>
        <v>144</v>
      </c>
    </row>
    <row r="25" spans="2:27" x14ac:dyDescent="0.15">
      <c r="B25" s="141"/>
      <c r="C25" s="14" t="s">
        <v>84</v>
      </c>
      <c r="D25" s="3">
        <f>+D24</f>
        <v>84</v>
      </c>
      <c r="E25" s="3">
        <f t="shared" ref="E25:AA25" si="13">+E24</f>
        <v>22</v>
      </c>
      <c r="F25" s="3">
        <f t="shared" si="13"/>
        <v>106</v>
      </c>
      <c r="G25" s="3">
        <f t="shared" si="13"/>
        <v>42</v>
      </c>
      <c r="H25" s="3">
        <f t="shared" si="13"/>
        <v>7</v>
      </c>
      <c r="I25" s="3">
        <f t="shared" si="13"/>
        <v>49</v>
      </c>
      <c r="J25" s="3">
        <f t="shared" si="13"/>
        <v>86</v>
      </c>
      <c r="K25" s="3">
        <f t="shared" si="13"/>
        <v>10</v>
      </c>
      <c r="L25" s="3">
        <f t="shared" si="13"/>
        <v>96</v>
      </c>
      <c r="M25" s="3">
        <f t="shared" si="13"/>
        <v>339</v>
      </c>
      <c r="N25" s="3">
        <f t="shared" si="13"/>
        <v>2</v>
      </c>
      <c r="O25" s="3">
        <f t="shared" si="13"/>
        <v>341</v>
      </c>
      <c r="P25" s="3">
        <f t="shared" si="13"/>
        <v>2</v>
      </c>
      <c r="Q25" s="3">
        <f t="shared" si="13"/>
        <v>0</v>
      </c>
      <c r="R25" s="3">
        <f t="shared" si="13"/>
        <v>2</v>
      </c>
      <c r="S25" s="3">
        <f t="shared" si="13"/>
        <v>3</v>
      </c>
      <c r="T25" s="3">
        <f t="shared" si="13"/>
        <v>4</v>
      </c>
      <c r="U25" s="3">
        <f t="shared" si="13"/>
        <v>7</v>
      </c>
      <c r="V25" s="3">
        <f t="shared" si="13"/>
        <v>399</v>
      </c>
      <c r="W25" s="3">
        <f t="shared" si="13"/>
        <v>14</v>
      </c>
      <c r="X25" s="16">
        <f t="shared" si="13"/>
        <v>413</v>
      </c>
      <c r="Y25" s="3">
        <f t="shared" si="13"/>
        <v>144</v>
      </c>
      <c r="Z25" s="3">
        <f t="shared" si="13"/>
        <v>0</v>
      </c>
      <c r="AA25" s="3">
        <f t="shared" si="13"/>
        <v>144</v>
      </c>
    </row>
    <row r="26" spans="2:27" x14ac:dyDescent="0.15">
      <c r="B26" s="139" t="s">
        <v>103</v>
      </c>
      <c r="C26" s="13" t="s">
        <v>104</v>
      </c>
      <c r="D26" s="2">
        <v>521</v>
      </c>
      <c r="E26" s="2">
        <v>36</v>
      </c>
      <c r="F26" s="2">
        <f>D26+E26</f>
        <v>557</v>
      </c>
      <c r="G26" s="2">
        <v>18</v>
      </c>
      <c r="H26" s="2">
        <v>2</v>
      </c>
      <c r="I26" s="2">
        <f>G26+H26</f>
        <v>20</v>
      </c>
      <c r="J26" s="2">
        <v>184</v>
      </c>
      <c r="K26" s="2">
        <v>6</v>
      </c>
      <c r="L26" s="2">
        <f>J26+K26</f>
        <v>190</v>
      </c>
      <c r="M26" s="2">
        <v>388</v>
      </c>
      <c r="N26" s="2">
        <v>4</v>
      </c>
      <c r="O26" s="2">
        <f>M26+N26</f>
        <v>392</v>
      </c>
      <c r="P26" s="2">
        <v>1</v>
      </c>
      <c r="Q26" s="2">
        <v>0</v>
      </c>
      <c r="R26" s="2">
        <f>P26+Q26</f>
        <v>1</v>
      </c>
      <c r="S26" s="2">
        <v>1</v>
      </c>
      <c r="T26" s="2">
        <v>2</v>
      </c>
      <c r="U26" s="2">
        <f>S26+T26</f>
        <v>3</v>
      </c>
      <c r="V26" s="2">
        <v>371</v>
      </c>
      <c r="W26" s="2">
        <v>7</v>
      </c>
      <c r="X26" s="2">
        <f>V26+W26</f>
        <v>378</v>
      </c>
      <c r="Y26" s="2">
        <v>109</v>
      </c>
      <c r="Z26" s="2">
        <v>0</v>
      </c>
      <c r="AA26" s="2">
        <f>Y26+Z26</f>
        <v>109</v>
      </c>
    </row>
    <row r="27" spans="2:27" x14ac:dyDescent="0.15">
      <c r="B27" s="141"/>
      <c r="C27" s="14" t="s">
        <v>84</v>
      </c>
      <c r="D27" s="3">
        <f>+D26</f>
        <v>521</v>
      </c>
      <c r="E27" s="3">
        <f t="shared" ref="E27:Y27" si="14">+E26</f>
        <v>36</v>
      </c>
      <c r="F27" s="16">
        <f t="shared" si="14"/>
        <v>557</v>
      </c>
      <c r="G27" s="3">
        <f t="shared" si="14"/>
        <v>18</v>
      </c>
      <c r="H27" s="3">
        <f t="shared" si="14"/>
        <v>2</v>
      </c>
      <c r="I27" s="3">
        <f t="shared" si="14"/>
        <v>20</v>
      </c>
      <c r="J27" s="3">
        <f t="shared" si="14"/>
        <v>184</v>
      </c>
      <c r="K27" s="3">
        <f t="shared" si="14"/>
        <v>6</v>
      </c>
      <c r="L27" s="3">
        <f t="shared" si="14"/>
        <v>190</v>
      </c>
      <c r="M27" s="3">
        <f t="shared" si="14"/>
        <v>388</v>
      </c>
      <c r="N27" s="3">
        <f t="shared" si="14"/>
        <v>4</v>
      </c>
      <c r="O27" s="3">
        <f t="shared" si="14"/>
        <v>392</v>
      </c>
      <c r="P27" s="3">
        <f t="shared" si="14"/>
        <v>1</v>
      </c>
      <c r="Q27" s="3">
        <f t="shared" si="14"/>
        <v>0</v>
      </c>
      <c r="R27" s="3">
        <f t="shared" si="14"/>
        <v>1</v>
      </c>
      <c r="S27" s="3">
        <f t="shared" si="14"/>
        <v>1</v>
      </c>
      <c r="T27" s="3">
        <f t="shared" si="14"/>
        <v>2</v>
      </c>
      <c r="U27" s="3">
        <f t="shared" si="14"/>
        <v>3</v>
      </c>
      <c r="V27" s="3">
        <f t="shared" si="14"/>
        <v>371</v>
      </c>
      <c r="W27" s="3">
        <f t="shared" si="14"/>
        <v>7</v>
      </c>
      <c r="X27" s="3">
        <f t="shared" si="14"/>
        <v>378</v>
      </c>
      <c r="Y27" s="3">
        <f t="shared" si="14"/>
        <v>109</v>
      </c>
      <c r="Z27" s="3">
        <v>0</v>
      </c>
      <c r="AA27" s="4">
        <f>Y27+Z27</f>
        <v>109</v>
      </c>
    </row>
    <row r="28" spans="2:27" x14ac:dyDescent="0.15">
      <c r="B28" s="139" t="s">
        <v>105</v>
      </c>
      <c r="C28" s="13" t="s">
        <v>106</v>
      </c>
      <c r="D28" s="2">
        <v>729</v>
      </c>
      <c r="E28" s="2">
        <v>74</v>
      </c>
      <c r="F28" s="2">
        <f>D28+E28</f>
        <v>803</v>
      </c>
      <c r="G28" s="2">
        <v>312</v>
      </c>
      <c r="H28" s="2">
        <v>16</v>
      </c>
      <c r="I28" s="2">
        <f>G28+H28</f>
        <v>328</v>
      </c>
      <c r="J28" s="2">
        <v>700</v>
      </c>
      <c r="K28" s="2">
        <v>50</v>
      </c>
      <c r="L28" s="2">
        <f>J28+K28</f>
        <v>750</v>
      </c>
      <c r="M28" s="2">
        <v>1172</v>
      </c>
      <c r="N28" s="2">
        <v>7</v>
      </c>
      <c r="O28" s="2">
        <f>M28+N28</f>
        <v>1179</v>
      </c>
      <c r="P28" s="2">
        <v>6</v>
      </c>
      <c r="Q28" s="2">
        <v>0</v>
      </c>
      <c r="R28" s="2">
        <f>P28+Q28</f>
        <v>6</v>
      </c>
      <c r="S28" s="2">
        <v>3</v>
      </c>
      <c r="T28" s="2">
        <v>20</v>
      </c>
      <c r="U28" s="2">
        <f>S28+T28</f>
        <v>23</v>
      </c>
      <c r="V28" s="2">
        <v>988</v>
      </c>
      <c r="W28" s="2">
        <v>40</v>
      </c>
      <c r="X28" s="2">
        <f>V28+W28</f>
        <v>1028</v>
      </c>
      <c r="Y28" s="2">
        <v>466</v>
      </c>
      <c r="Z28" s="2">
        <v>0</v>
      </c>
      <c r="AA28" s="2">
        <f>Y28+Z28</f>
        <v>466</v>
      </c>
    </row>
    <row r="29" spans="2:27" x14ac:dyDescent="0.15">
      <c r="B29" s="141"/>
      <c r="C29" s="14" t="s">
        <v>84</v>
      </c>
      <c r="D29" s="3">
        <f>+D28</f>
        <v>729</v>
      </c>
      <c r="E29" s="3">
        <f t="shared" ref="E29:AA29" si="15">+E28</f>
        <v>74</v>
      </c>
      <c r="F29" s="3">
        <f t="shared" si="15"/>
        <v>803</v>
      </c>
      <c r="G29" s="3">
        <f t="shared" si="15"/>
        <v>312</v>
      </c>
      <c r="H29" s="3">
        <f t="shared" si="15"/>
        <v>16</v>
      </c>
      <c r="I29" s="3">
        <f t="shared" si="15"/>
        <v>328</v>
      </c>
      <c r="J29" s="3">
        <f t="shared" si="15"/>
        <v>700</v>
      </c>
      <c r="K29" s="3">
        <f t="shared" si="15"/>
        <v>50</v>
      </c>
      <c r="L29" s="3">
        <f t="shared" si="15"/>
        <v>750</v>
      </c>
      <c r="M29" s="3">
        <f t="shared" si="15"/>
        <v>1172</v>
      </c>
      <c r="N29" s="3">
        <f t="shared" si="15"/>
        <v>7</v>
      </c>
      <c r="O29" s="16">
        <f t="shared" si="15"/>
        <v>1179</v>
      </c>
      <c r="P29" s="3">
        <f t="shared" si="15"/>
        <v>6</v>
      </c>
      <c r="Q29" s="3">
        <f t="shared" si="15"/>
        <v>0</v>
      </c>
      <c r="R29" s="3">
        <f t="shared" si="15"/>
        <v>6</v>
      </c>
      <c r="S29" s="3">
        <f t="shared" si="15"/>
        <v>3</v>
      </c>
      <c r="T29" s="3">
        <f t="shared" si="15"/>
        <v>20</v>
      </c>
      <c r="U29" s="3">
        <f t="shared" si="15"/>
        <v>23</v>
      </c>
      <c r="V29" s="3">
        <f t="shared" si="15"/>
        <v>988</v>
      </c>
      <c r="W29" s="3">
        <f t="shared" si="15"/>
        <v>40</v>
      </c>
      <c r="X29" s="3">
        <f t="shared" si="15"/>
        <v>1028</v>
      </c>
      <c r="Y29" s="3">
        <f t="shared" si="15"/>
        <v>466</v>
      </c>
      <c r="Z29" s="3">
        <f t="shared" si="15"/>
        <v>0</v>
      </c>
      <c r="AA29" s="3">
        <f t="shared" si="15"/>
        <v>466</v>
      </c>
    </row>
    <row r="30" spans="2:27" x14ac:dyDescent="0.15">
      <c r="B30" s="139" t="s">
        <v>107</v>
      </c>
      <c r="C30" s="13" t="s">
        <v>108</v>
      </c>
      <c r="D30" s="2">
        <v>192</v>
      </c>
      <c r="E30" s="2">
        <v>14</v>
      </c>
      <c r="F30" s="2">
        <f>D30+E30</f>
        <v>206</v>
      </c>
      <c r="G30" s="2">
        <v>23</v>
      </c>
      <c r="H30" s="2">
        <v>1</v>
      </c>
      <c r="I30" s="2">
        <f>G30+H30</f>
        <v>24</v>
      </c>
      <c r="J30" s="2">
        <v>61</v>
      </c>
      <c r="K30" s="2">
        <v>6</v>
      </c>
      <c r="L30" s="2">
        <f>J30+K30</f>
        <v>67</v>
      </c>
      <c r="M30" s="2">
        <v>204</v>
      </c>
      <c r="N30" s="2">
        <v>1</v>
      </c>
      <c r="O30" s="2">
        <f>M30+N30</f>
        <v>205</v>
      </c>
      <c r="P30" s="2">
        <v>0</v>
      </c>
      <c r="Q30" s="2">
        <v>0</v>
      </c>
      <c r="R30" s="2">
        <f>P30+Q30</f>
        <v>0</v>
      </c>
      <c r="S30" s="2">
        <v>0</v>
      </c>
      <c r="T30" s="2">
        <v>1</v>
      </c>
      <c r="U30" s="2">
        <f>S30+T30</f>
        <v>1</v>
      </c>
      <c r="V30" s="2">
        <v>107</v>
      </c>
      <c r="W30" s="2">
        <v>3</v>
      </c>
      <c r="X30" s="2">
        <f>V30+W30</f>
        <v>110</v>
      </c>
      <c r="Y30" s="2">
        <v>21</v>
      </c>
      <c r="Z30" s="2">
        <v>0</v>
      </c>
      <c r="AA30" s="2">
        <f>Y30+Z30</f>
        <v>21</v>
      </c>
    </row>
    <row r="31" spans="2:27" x14ac:dyDescent="0.15">
      <c r="B31" s="140"/>
      <c r="C31" s="13" t="s">
        <v>109</v>
      </c>
      <c r="D31" s="2">
        <v>421</v>
      </c>
      <c r="E31" s="2">
        <v>39</v>
      </c>
      <c r="F31" s="2">
        <f>D31+E31</f>
        <v>460</v>
      </c>
      <c r="G31" s="2">
        <v>88</v>
      </c>
      <c r="H31" s="2">
        <v>4</v>
      </c>
      <c r="I31" s="2">
        <f>G31+H31</f>
        <v>92</v>
      </c>
      <c r="J31" s="2">
        <v>337</v>
      </c>
      <c r="K31" s="2">
        <v>10</v>
      </c>
      <c r="L31" s="2">
        <f>J31+K31</f>
        <v>347</v>
      </c>
      <c r="M31" s="2">
        <v>578</v>
      </c>
      <c r="N31" s="2">
        <v>4</v>
      </c>
      <c r="O31" s="2">
        <f>M31+N31</f>
        <v>582</v>
      </c>
      <c r="P31" s="2">
        <v>1</v>
      </c>
      <c r="Q31" s="2">
        <v>0</v>
      </c>
      <c r="R31" s="2">
        <f>P31+Q31</f>
        <v>1</v>
      </c>
      <c r="S31" s="2">
        <v>1</v>
      </c>
      <c r="T31" s="2">
        <v>4</v>
      </c>
      <c r="U31" s="2">
        <f>S31+T31</f>
        <v>5</v>
      </c>
      <c r="V31" s="2">
        <v>453</v>
      </c>
      <c r="W31" s="2">
        <v>15</v>
      </c>
      <c r="X31" s="2">
        <f>V31+W31</f>
        <v>468</v>
      </c>
      <c r="Y31" s="2">
        <v>149</v>
      </c>
      <c r="Z31" s="2">
        <v>0</v>
      </c>
      <c r="AA31" s="2">
        <f>Y31+Z31</f>
        <v>149</v>
      </c>
    </row>
    <row r="32" spans="2:27" x14ac:dyDescent="0.15">
      <c r="B32" s="140"/>
      <c r="C32" s="13" t="s">
        <v>110</v>
      </c>
      <c r="D32" s="2">
        <v>148</v>
      </c>
      <c r="E32" s="2">
        <v>9</v>
      </c>
      <c r="F32" s="2">
        <f>D32+E32</f>
        <v>157</v>
      </c>
      <c r="G32" s="2">
        <v>6</v>
      </c>
      <c r="H32" s="2">
        <v>0</v>
      </c>
      <c r="I32" s="2">
        <f>G32+H32</f>
        <v>6</v>
      </c>
      <c r="J32" s="2">
        <v>21</v>
      </c>
      <c r="K32" s="2">
        <v>2</v>
      </c>
      <c r="L32" s="2">
        <f>J32+K32</f>
        <v>23</v>
      </c>
      <c r="M32" s="2">
        <v>112</v>
      </c>
      <c r="N32" s="2">
        <v>0</v>
      </c>
      <c r="O32" s="2">
        <f>M32+N32</f>
        <v>112</v>
      </c>
      <c r="P32" s="2">
        <v>0</v>
      </c>
      <c r="Q32" s="2">
        <v>0</v>
      </c>
      <c r="R32" s="2">
        <f>P32+Q32</f>
        <v>0</v>
      </c>
      <c r="S32" s="2">
        <v>0</v>
      </c>
      <c r="T32" s="2">
        <v>3</v>
      </c>
      <c r="U32" s="2">
        <f>S32+T32</f>
        <v>3</v>
      </c>
      <c r="V32" s="2">
        <v>78</v>
      </c>
      <c r="W32" s="2">
        <v>2</v>
      </c>
      <c r="X32" s="2">
        <f>V32+W32</f>
        <v>80</v>
      </c>
      <c r="Y32" s="2">
        <v>18</v>
      </c>
      <c r="Z32" s="2">
        <v>0</v>
      </c>
      <c r="AA32" s="2">
        <f>Y32+Z32</f>
        <v>18</v>
      </c>
    </row>
    <row r="33" spans="2:27" x14ac:dyDescent="0.15">
      <c r="B33" s="141"/>
      <c r="C33" s="14" t="s">
        <v>84</v>
      </c>
      <c r="D33" s="3">
        <f>+D30+D31+D32</f>
        <v>761</v>
      </c>
      <c r="E33" s="3">
        <f t="shared" ref="E33:AA33" si="16">+E30+E31+E32</f>
        <v>62</v>
      </c>
      <c r="F33" s="3">
        <f t="shared" si="16"/>
        <v>823</v>
      </c>
      <c r="G33" s="3">
        <f t="shared" si="16"/>
        <v>117</v>
      </c>
      <c r="H33" s="3">
        <f t="shared" si="16"/>
        <v>5</v>
      </c>
      <c r="I33" s="3">
        <f t="shared" si="16"/>
        <v>122</v>
      </c>
      <c r="J33" s="3">
        <f t="shared" si="16"/>
        <v>419</v>
      </c>
      <c r="K33" s="3">
        <f t="shared" si="16"/>
        <v>18</v>
      </c>
      <c r="L33" s="3">
        <f t="shared" si="16"/>
        <v>437</v>
      </c>
      <c r="M33" s="3">
        <f t="shared" si="16"/>
        <v>894</v>
      </c>
      <c r="N33" s="3">
        <f t="shared" si="16"/>
        <v>5</v>
      </c>
      <c r="O33" s="16">
        <f t="shared" si="16"/>
        <v>899</v>
      </c>
      <c r="P33" s="3">
        <f t="shared" si="16"/>
        <v>1</v>
      </c>
      <c r="Q33" s="3">
        <f t="shared" si="16"/>
        <v>0</v>
      </c>
      <c r="R33" s="3">
        <f t="shared" si="16"/>
        <v>1</v>
      </c>
      <c r="S33" s="3">
        <f t="shared" si="16"/>
        <v>1</v>
      </c>
      <c r="T33" s="3">
        <f t="shared" si="16"/>
        <v>8</v>
      </c>
      <c r="U33" s="3">
        <f t="shared" si="16"/>
        <v>9</v>
      </c>
      <c r="V33" s="3">
        <f t="shared" si="16"/>
        <v>638</v>
      </c>
      <c r="W33" s="3">
        <f t="shared" si="16"/>
        <v>20</v>
      </c>
      <c r="X33" s="3">
        <f t="shared" si="16"/>
        <v>658</v>
      </c>
      <c r="Y33" s="3">
        <f t="shared" si="16"/>
        <v>188</v>
      </c>
      <c r="Z33" s="3">
        <f t="shared" si="16"/>
        <v>0</v>
      </c>
      <c r="AA33" s="3">
        <f t="shared" si="16"/>
        <v>188</v>
      </c>
    </row>
    <row r="34" spans="2:27" x14ac:dyDescent="0.15">
      <c r="B34" s="139" t="s">
        <v>111</v>
      </c>
      <c r="C34" s="13" t="s">
        <v>112</v>
      </c>
      <c r="D34" s="2">
        <v>16</v>
      </c>
      <c r="E34" s="2">
        <v>1</v>
      </c>
      <c r="F34" s="2">
        <f t="shared" ref="F34:F39" si="17">D34+E34</f>
        <v>17</v>
      </c>
      <c r="G34" s="2">
        <v>2</v>
      </c>
      <c r="H34" s="2">
        <v>0</v>
      </c>
      <c r="I34" s="2">
        <f t="shared" ref="I34:I39" si="18">G34+H34</f>
        <v>2</v>
      </c>
      <c r="J34" s="2">
        <v>6</v>
      </c>
      <c r="K34" s="2">
        <v>1</v>
      </c>
      <c r="L34" s="2">
        <f t="shared" ref="L34:L39" si="19">J34+K34</f>
        <v>7</v>
      </c>
      <c r="M34" s="2">
        <v>20</v>
      </c>
      <c r="N34" s="2">
        <v>1</v>
      </c>
      <c r="O34" s="2">
        <f t="shared" ref="O34:O39" si="20">M34+N34</f>
        <v>21</v>
      </c>
      <c r="P34" s="2">
        <v>0</v>
      </c>
      <c r="Q34" s="2">
        <v>0</v>
      </c>
      <c r="R34" s="2">
        <f t="shared" ref="R34:R39" si="21">P34+Q34</f>
        <v>0</v>
      </c>
      <c r="S34" s="2">
        <v>0</v>
      </c>
      <c r="T34" s="2">
        <v>1</v>
      </c>
      <c r="U34" s="2">
        <f t="shared" ref="U34:U39" si="22">S34+T34</f>
        <v>1</v>
      </c>
      <c r="V34" s="2">
        <v>2</v>
      </c>
      <c r="W34" s="2">
        <v>1</v>
      </c>
      <c r="X34" s="2">
        <f t="shared" ref="X34:X39" si="23">V34+W34</f>
        <v>3</v>
      </c>
      <c r="Y34" s="2">
        <v>7</v>
      </c>
      <c r="Z34" s="2">
        <v>0</v>
      </c>
      <c r="AA34" s="2">
        <f t="shared" ref="AA34:AA39" si="24">Y34+Z34</f>
        <v>7</v>
      </c>
    </row>
    <row r="35" spans="2:27" x14ac:dyDescent="0.15">
      <c r="B35" s="140"/>
      <c r="C35" s="13" t="s">
        <v>113</v>
      </c>
      <c r="D35" s="2">
        <v>6</v>
      </c>
      <c r="E35" s="2">
        <v>1</v>
      </c>
      <c r="F35" s="2">
        <f t="shared" si="17"/>
        <v>7</v>
      </c>
      <c r="G35" s="2">
        <v>0</v>
      </c>
      <c r="H35" s="2">
        <v>0</v>
      </c>
      <c r="I35" s="2">
        <f t="shared" si="18"/>
        <v>0</v>
      </c>
      <c r="J35" s="2">
        <v>1</v>
      </c>
      <c r="K35" s="2">
        <v>0</v>
      </c>
      <c r="L35" s="2">
        <f t="shared" si="19"/>
        <v>1</v>
      </c>
      <c r="M35" s="2">
        <v>7</v>
      </c>
      <c r="N35" s="2">
        <v>0</v>
      </c>
      <c r="O35" s="2">
        <f t="shared" si="20"/>
        <v>7</v>
      </c>
      <c r="P35" s="2">
        <v>0</v>
      </c>
      <c r="Q35" s="2">
        <v>0</v>
      </c>
      <c r="R35" s="2">
        <f t="shared" si="21"/>
        <v>0</v>
      </c>
      <c r="S35" s="2">
        <v>0</v>
      </c>
      <c r="T35" s="2">
        <v>0</v>
      </c>
      <c r="U35" s="2">
        <f t="shared" si="22"/>
        <v>0</v>
      </c>
      <c r="V35" s="2">
        <v>11</v>
      </c>
      <c r="W35" s="2">
        <v>1</v>
      </c>
      <c r="X35" s="2">
        <f t="shared" si="23"/>
        <v>12</v>
      </c>
      <c r="Y35" s="2">
        <v>2</v>
      </c>
      <c r="Z35" s="2">
        <v>0</v>
      </c>
      <c r="AA35" s="2">
        <f t="shared" si="24"/>
        <v>2</v>
      </c>
    </row>
    <row r="36" spans="2:27" x14ac:dyDescent="0.15">
      <c r="B36" s="140"/>
      <c r="C36" s="13" t="s">
        <v>114</v>
      </c>
      <c r="D36" s="2">
        <v>30</v>
      </c>
      <c r="E36" s="2">
        <v>2</v>
      </c>
      <c r="F36" s="2">
        <f t="shared" si="17"/>
        <v>32</v>
      </c>
      <c r="G36" s="2">
        <v>0</v>
      </c>
      <c r="H36" s="2">
        <v>0</v>
      </c>
      <c r="I36" s="2">
        <f t="shared" si="18"/>
        <v>0</v>
      </c>
      <c r="J36" s="2">
        <v>9</v>
      </c>
      <c r="K36" s="2">
        <v>1</v>
      </c>
      <c r="L36" s="2">
        <f t="shared" si="19"/>
        <v>10</v>
      </c>
      <c r="M36" s="2">
        <v>24</v>
      </c>
      <c r="N36" s="2">
        <v>0</v>
      </c>
      <c r="O36" s="2">
        <f t="shared" si="20"/>
        <v>24</v>
      </c>
      <c r="P36" s="2">
        <v>0</v>
      </c>
      <c r="Q36" s="2">
        <v>0</v>
      </c>
      <c r="R36" s="2">
        <f t="shared" si="21"/>
        <v>0</v>
      </c>
      <c r="S36" s="2">
        <v>0</v>
      </c>
      <c r="T36" s="2">
        <v>1</v>
      </c>
      <c r="U36" s="2">
        <f t="shared" si="22"/>
        <v>1</v>
      </c>
      <c r="V36" s="2">
        <v>18</v>
      </c>
      <c r="W36" s="2">
        <v>1</v>
      </c>
      <c r="X36" s="2">
        <f t="shared" si="23"/>
        <v>19</v>
      </c>
      <c r="Y36" s="2">
        <v>7</v>
      </c>
      <c r="Z36" s="2">
        <v>0</v>
      </c>
      <c r="AA36" s="2">
        <f t="shared" si="24"/>
        <v>7</v>
      </c>
    </row>
    <row r="37" spans="2:27" x14ac:dyDescent="0.15">
      <c r="B37" s="140"/>
      <c r="C37" s="13" t="s">
        <v>115</v>
      </c>
      <c r="D37" s="2">
        <v>266</v>
      </c>
      <c r="E37" s="2">
        <v>25</v>
      </c>
      <c r="F37" s="2">
        <f t="shared" si="17"/>
        <v>291</v>
      </c>
      <c r="G37" s="2">
        <v>59</v>
      </c>
      <c r="H37" s="2">
        <v>5</v>
      </c>
      <c r="I37" s="2">
        <f t="shared" si="18"/>
        <v>64</v>
      </c>
      <c r="J37" s="2">
        <v>433</v>
      </c>
      <c r="K37" s="2">
        <v>21</v>
      </c>
      <c r="L37" s="2">
        <f t="shared" si="19"/>
        <v>454</v>
      </c>
      <c r="M37" s="2">
        <v>588</v>
      </c>
      <c r="N37" s="2">
        <v>5</v>
      </c>
      <c r="O37" s="2">
        <f t="shared" si="20"/>
        <v>593</v>
      </c>
      <c r="P37" s="2">
        <v>1</v>
      </c>
      <c r="Q37" s="2">
        <v>0</v>
      </c>
      <c r="R37" s="2">
        <f t="shared" si="21"/>
        <v>1</v>
      </c>
      <c r="S37" s="2">
        <v>2</v>
      </c>
      <c r="T37" s="2">
        <v>4</v>
      </c>
      <c r="U37" s="2">
        <f t="shared" si="22"/>
        <v>6</v>
      </c>
      <c r="V37" s="2">
        <v>426</v>
      </c>
      <c r="W37" s="2">
        <v>11</v>
      </c>
      <c r="X37" s="2">
        <f t="shared" si="23"/>
        <v>437</v>
      </c>
      <c r="Y37" s="2">
        <v>222</v>
      </c>
      <c r="Z37" s="2">
        <v>0</v>
      </c>
      <c r="AA37" s="2">
        <f t="shared" si="24"/>
        <v>222</v>
      </c>
    </row>
    <row r="38" spans="2:27" x14ac:dyDescent="0.15">
      <c r="B38" s="140"/>
      <c r="C38" s="13" t="s">
        <v>116</v>
      </c>
      <c r="D38" s="2">
        <v>8</v>
      </c>
      <c r="E38" s="2">
        <v>1</v>
      </c>
      <c r="F38" s="2">
        <f t="shared" si="17"/>
        <v>9</v>
      </c>
      <c r="G38" s="2">
        <v>0</v>
      </c>
      <c r="H38" s="2">
        <v>0</v>
      </c>
      <c r="I38" s="2">
        <f t="shared" si="18"/>
        <v>0</v>
      </c>
      <c r="J38" s="2">
        <v>3</v>
      </c>
      <c r="K38" s="2">
        <v>0</v>
      </c>
      <c r="L38" s="2">
        <f t="shared" si="19"/>
        <v>3</v>
      </c>
      <c r="M38" s="2">
        <v>4</v>
      </c>
      <c r="N38" s="2">
        <v>0</v>
      </c>
      <c r="O38" s="2">
        <f t="shared" si="20"/>
        <v>4</v>
      </c>
      <c r="P38" s="2">
        <v>0</v>
      </c>
      <c r="Q38" s="2">
        <v>0</v>
      </c>
      <c r="R38" s="2">
        <f t="shared" si="21"/>
        <v>0</v>
      </c>
      <c r="S38" s="2">
        <v>0</v>
      </c>
      <c r="T38" s="2">
        <v>0</v>
      </c>
      <c r="U38" s="2">
        <f t="shared" si="22"/>
        <v>0</v>
      </c>
      <c r="V38" s="2">
        <v>8</v>
      </c>
      <c r="W38" s="2">
        <v>0</v>
      </c>
      <c r="X38" s="2">
        <f t="shared" si="23"/>
        <v>8</v>
      </c>
      <c r="Y38" s="2">
        <v>4</v>
      </c>
      <c r="Z38" s="2">
        <v>0</v>
      </c>
      <c r="AA38" s="2">
        <f t="shared" si="24"/>
        <v>4</v>
      </c>
    </row>
    <row r="39" spans="2:27" x14ac:dyDescent="0.15">
      <c r="B39" s="140"/>
      <c r="C39" s="13" t="s">
        <v>117</v>
      </c>
      <c r="D39" s="2">
        <v>23</v>
      </c>
      <c r="E39" s="2">
        <v>4</v>
      </c>
      <c r="F39" s="2">
        <f t="shared" si="17"/>
        <v>27</v>
      </c>
      <c r="G39" s="2">
        <v>0</v>
      </c>
      <c r="H39" s="2">
        <v>0</v>
      </c>
      <c r="I39" s="2">
        <f t="shared" si="18"/>
        <v>0</v>
      </c>
      <c r="J39" s="2">
        <v>6</v>
      </c>
      <c r="K39" s="2">
        <v>1</v>
      </c>
      <c r="L39" s="2">
        <f t="shared" si="19"/>
        <v>7</v>
      </c>
      <c r="M39" s="2">
        <v>14</v>
      </c>
      <c r="N39" s="2">
        <v>0</v>
      </c>
      <c r="O39" s="2">
        <f t="shared" si="20"/>
        <v>14</v>
      </c>
      <c r="P39" s="2">
        <v>0</v>
      </c>
      <c r="Q39" s="2">
        <v>0</v>
      </c>
      <c r="R39" s="2">
        <f t="shared" si="21"/>
        <v>0</v>
      </c>
      <c r="S39" s="2">
        <v>0</v>
      </c>
      <c r="T39" s="2">
        <v>0</v>
      </c>
      <c r="U39" s="2">
        <f t="shared" si="22"/>
        <v>0</v>
      </c>
      <c r="V39" s="2">
        <v>10</v>
      </c>
      <c r="W39" s="2">
        <v>1</v>
      </c>
      <c r="X39" s="2">
        <f t="shared" si="23"/>
        <v>11</v>
      </c>
      <c r="Y39" s="2">
        <v>7</v>
      </c>
      <c r="Z39" s="2">
        <v>0</v>
      </c>
      <c r="AA39" s="2">
        <f t="shared" si="24"/>
        <v>7</v>
      </c>
    </row>
    <row r="40" spans="2:27" x14ac:dyDescent="0.15">
      <c r="B40" s="141"/>
      <c r="C40" s="14" t="s">
        <v>84</v>
      </c>
      <c r="D40" s="3">
        <f>+D34+D35+D36+D37+D38+D39</f>
        <v>349</v>
      </c>
      <c r="E40" s="3">
        <f t="shared" ref="E40:AA40" si="25">+E34+E35+E36+E37+E38+E39</f>
        <v>34</v>
      </c>
      <c r="F40" s="3">
        <f t="shared" si="25"/>
        <v>383</v>
      </c>
      <c r="G40" s="3">
        <f t="shared" si="25"/>
        <v>61</v>
      </c>
      <c r="H40" s="3">
        <f t="shared" si="25"/>
        <v>5</v>
      </c>
      <c r="I40" s="3">
        <f t="shared" si="25"/>
        <v>66</v>
      </c>
      <c r="J40" s="3">
        <f t="shared" si="25"/>
        <v>458</v>
      </c>
      <c r="K40" s="3">
        <f t="shared" si="25"/>
        <v>24</v>
      </c>
      <c r="L40" s="3">
        <f t="shared" si="25"/>
        <v>482</v>
      </c>
      <c r="M40" s="3">
        <f t="shared" si="25"/>
        <v>657</v>
      </c>
      <c r="N40" s="3">
        <f t="shared" si="25"/>
        <v>6</v>
      </c>
      <c r="O40" s="16">
        <f t="shared" si="25"/>
        <v>663</v>
      </c>
      <c r="P40" s="3">
        <f t="shared" si="25"/>
        <v>1</v>
      </c>
      <c r="Q40" s="3">
        <f t="shared" si="25"/>
        <v>0</v>
      </c>
      <c r="R40" s="3">
        <f t="shared" si="25"/>
        <v>1</v>
      </c>
      <c r="S40" s="3">
        <f t="shared" si="25"/>
        <v>2</v>
      </c>
      <c r="T40" s="3">
        <f t="shared" si="25"/>
        <v>6</v>
      </c>
      <c r="U40" s="3">
        <f t="shared" si="25"/>
        <v>8</v>
      </c>
      <c r="V40" s="3">
        <f t="shared" si="25"/>
        <v>475</v>
      </c>
      <c r="W40" s="3">
        <f t="shared" si="25"/>
        <v>15</v>
      </c>
      <c r="X40" s="3">
        <f t="shared" si="25"/>
        <v>490</v>
      </c>
      <c r="Y40" s="3">
        <f t="shared" si="25"/>
        <v>249</v>
      </c>
      <c r="Z40" s="3">
        <f t="shared" si="25"/>
        <v>0</v>
      </c>
      <c r="AA40" s="3">
        <f t="shared" si="25"/>
        <v>249</v>
      </c>
    </row>
    <row r="41" spans="2:27" x14ac:dyDescent="0.15">
      <c r="B41" s="139" t="s">
        <v>118</v>
      </c>
      <c r="C41" s="13" t="s">
        <v>119</v>
      </c>
      <c r="D41" s="2">
        <v>124</v>
      </c>
      <c r="E41" s="2">
        <v>7</v>
      </c>
      <c r="F41" s="2">
        <f t="shared" si="1"/>
        <v>131</v>
      </c>
      <c r="G41" s="2">
        <v>11</v>
      </c>
      <c r="H41" s="2">
        <v>1</v>
      </c>
      <c r="I41" s="2">
        <f t="shared" si="2"/>
        <v>12</v>
      </c>
      <c r="J41" s="2">
        <v>57</v>
      </c>
      <c r="K41" s="2">
        <v>1</v>
      </c>
      <c r="L41" s="2">
        <f t="shared" si="3"/>
        <v>58</v>
      </c>
      <c r="M41" s="2">
        <v>119</v>
      </c>
      <c r="N41" s="2">
        <v>0</v>
      </c>
      <c r="O41" s="2">
        <f t="shared" si="4"/>
        <v>119</v>
      </c>
      <c r="P41" s="2">
        <v>0</v>
      </c>
      <c r="Q41" s="2">
        <v>0</v>
      </c>
      <c r="R41" s="2">
        <f t="shared" si="5"/>
        <v>0</v>
      </c>
      <c r="S41" s="2">
        <v>0</v>
      </c>
      <c r="T41" s="2">
        <v>1</v>
      </c>
      <c r="U41" s="2">
        <f t="shared" si="6"/>
        <v>1</v>
      </c>
      <c r="V41" s="2">
        <v>62</v>
      </c>
      <c r="W41" s="2">
        <v>1</v>
      </c>
      <c r="X41" s="2">
        <f t="shared" si="7"/>
        <v>63</v>
      </c>
      <c r="Y41" s="2">
        <v>29</v>
      </c>
      <c r="Z41" s="2">
        <v>0</v>
      </c>
      <c r="AA41" s="2">
        <f t="shared" si="8"/>
        <v>29</v>
      </c>
    </row>
    <row r="42" spans="2:27" x14ac:dyDescent="0.15">
      <c r="B42" s="140"/>
      <c r="C42" s="13" t="s">
        <v>120</v>
      </c>
      <c r="D42" s="2">
        <v>366</v>
      </c>
      <c r="E42" s="2">
        <v>31</v>
      </c>
      <c r="F42" s="2">
        <f t="shared" si="1"/>
        <v>397</v>
      </c>
      <c r="G42" s="2">
        <v>60</v>
      </c>
      <c r="H42" s="2">
        <v>5</v>
      </c>
      <c r="I42" s="2">
        <f t="shared" si="2"/>
        <v>65</v>
      </c>
      <c r="J42" s="2">
        <v>224</v>
      </c>
      <c r="K42" s="2">
        <v>11</v>
      </c>
      <c r="L42" s="2">
        <f t="shared" si="3"/>
        <v>235</v>
      </c>
      <c r="M42" s="2">
        <v>652</v>
      </c>
      <c r="N42" s="2">
        <v>2</v>
      </c>
      <c r="O42" s="2">
        <f t="shared" si="4"/>
        <v>654</v>
      </c>
      <c r="P42" s="2">
        <v>2</v>
      </c>
      <c r="Q42" s="2">
        <v>0</v>
      </c>
      <c r="R42" s="2">
        <f t="shared" si="5"/>
        <v>2</v>
      </c>
      <c r="S42" s="2">
        <v>1</v>
      </c>
      <c r="T42" s="2">
        <v>3</v>
      </c>
      <c r="U42" s="2">
        <f t="shared" si="6"/>
        <v>4</v>
      </c>
      <c r="V42" s="2">
        <v>513</v>
      </c>
      <c r="W42" s="2">
        <v>12</v>
      </c>
      <c r="X42" s="2">
        <f t="shared" si="7"/>
        <v>525</v>
      </c>
      <c r="Y42" s="2">
        <v>214</v>
      </c>
      <c r="Z42" s="2">
        <v>0</v>
      </c>
      <c r="AA42" s="2">
        <f t="shared" si="8"/>
        <v>214</v>
      </c>
    </row>
    <row r="43" spans="2:27" x14ac:dyDescent="0.15">
      <c r="B43" s="141"/>
      <c r="C43" s="14" t="s">
        <v>84</v>
      </c>
      <c r="D43" s="3">
        <f>D41+D42</f>
        <v>490</v>
      </c>
      <c r="E43" s="3">
        <f t="shared" ref="E43:AA43" si="26">E41+E42</f>
        <v>38</v>
      </c>
      <c r="F43" s="3">
        <f t="shared" si="26"/>
        <v>528</v>
      </c>
      <c r="G43" s="3">
        <f t="shared" si="26"/>
        <v>71</v>
      </c>
      <c r="H43" s="3">
        <f t="shared" si="26"/>
        <v>6</v>
      </c>
      <c r="I43" s="3">
        <f t="shared" si="26"/>
        <v>77</v>
      </c>
      <c r="J43" s="3">
        <f t="shared" si="26"/>
        <v>281</v>
      </c>
      <c r="K43" s="3">
        <f t="shared" si="26"/>
        <v>12</v>
      </c>
      <c r="L43" s="3">
        <f t="shared" si="26"/>
        <v>293</v>
      </c>
      <c r="M43" s="3">
        <f t="shared" si="26"/>
        <v>771</v>
      </c>
      <c r="N43" s="3">
        <f t="shared" si="26"/>
        <v>2</v>
      </c>
      <c r="O43" s="16">
        <f t="shared" si="26"/>
        <v>773</v>
      </c>
      <c r="P43" s="3">
        <f t="shared" si="26"/>
        <v>2</v>
      </c>
      <c r="Q43" s="3">
        <f t="shared" si="26"/>
        <v>0</v>
      </c>
      <c r="R43" s="3">
        <f t="shared" si="26"/>
        <v>2</v>
      </c>
      <c r="S43" s="3">
        <f t="shared" si="26"/>
        <v>1</v>
      </c>
      <c r="T43" s="3">
        <f t="shared" si="26"/>
        <v>4</v>
      </c>
      <c r="U43" s="3">
        <f t="shared" si="26"/>
        <v>5</v>
      </c>
      <c r="V43" s="3">
        <f t="shared" si="26"/>
        <v>575</v>
      </c>
      <c r="W43" s="3">
        <f t="shared" si="26"/>
        <v>13</v>
      </c>
      <c r="X43" s="3">
        <f t="shared" si="26"/>
        <v>588</v>
      </c>
      <c r="Y43" s="3">
        <f t="shared" si="26"/>
        <v>243</v>
      </c>
      <c r="Z43" s="3">
        <f t="shared" si="26"/>
        <v>0</v>
      </c>
      <c r="AA43" s="3">
        <f t="shared" si="26"/>
        <v>243</v>
      </c>
    </row>
    <row r="44" spans="2:27" x14ac:dyDescent="0.15">
      <c r="B44" s="139" t="s">
        <v>121</v>
      </c>
      <c r="C44" s="13" t="s">
        <v>122</v>
      </c>
      <c r="D44" s="2">
        <v>505</v>
      </c>
      <c r="E44" s="2">
        <v>39</v>
      </c>
      <c r="F44" s="2">
        <f t="shared" si="1"/>
        <v>544</v>
      </c>
      <c r="G44" s="2">
        <v>74</v>
      </c>
      <c r="H44" s="2">
        <v>4</v>
      </c>
      <c r="I44" s="2">
        <f t="shared" si="2"/>
        <v>78</v>
      </c>
      <c r="J44" s="2">
        <v>264</v>
      </c>
      <c r="K44" s="2">
        <v>8</v>
      </c>
      <c r="L44" s="2">
        <f t="shared" si="3"/>
        <v>272</v>
      </c>
      <c r="M44" s="2">
        <v>529</v>
      </c>
      <c r="N44" s="2">
        <v>3</v>
      </c>
      <c r="O44" s="2">
        <f t="shared" si="4"/>
        <v>532</v>
      </c>
      <c r="P44" s="2">
        <v>1</v>
      </c>
      <c r="Q44" s="2">
        <v>0</v>
      </c>
      <c r="R44" s="2">
        <f t="shared" si="5"/>
        <v>1</v>
      </c>
      <c r="S44" s="2">
        <v>1</v>
      </c>
      <c r="T44" s="2">
        <v>5</v>
      </c>
      <c r="U44" s="2">
        <f t="shared" si="6"/>
        <v>6</v>
      </c>
      <c r="V44" s="2">
        <v>423</v>
      </c>
      <c r="W44" s="2">
        <v>10</v>
      </c>
      <c r="X44" s="2">
        <f t="shared" si="7"/>
        <v>433</v>
      </c>
      <c r="Y44" s="2">
        <v>178</v>
      </c>
      <c r="Z44" s="2">
        <v>0</v>
      </c>
      <c r="AA44" s="2">
        <f t="shared" si="8"/>
        <v>178</v>
      </c>
    </row>
    <row r="45" spans="2:27" x14ac:dyDescent="0.15">
      <c r="B45" s="141"/>
      <c r="C45" s="14" t="s">
        <v>84</v>
      </c>
      <c r="D45" s="3">
        <f>+D44</f>
        <v>505</v>
      </c>
      <c r="E45" s="3">
        <f t="shared" ref="E45:AA45" si="27">+E44</f>
        <v>39</v>
      </c>
      <c r="F45" s="3">
        <f t="shared" si="27"/>
        <v>544</v>
      </c>
      <c r="G45" s="3">
        <f t="shared" si="27"/>
        <v>74</v>
      </c>
      <c r="H45" s="3">
        <f t="shared" si="27"/>
        <v>4</v>
      </c>
      <c r="I45" s="3">
        <f t="shared" si="27"/>
        <v>78</v>
      </c>
      <c r="J45" s="3">
        <f t="shared" si="27"/>
        <v>264</v>
      </c>
      <c r="K45" s="3">
        <f t="shared" si="27"/>
        <v>8</v>
      </c>
      <c r="L45" s="3">
        <f t="shared" si="27"/>
        <v>272</v>
      </c>
      <c r="M45" s="3">
        <f t="shared" si="27"/>
        <v>529</v>
      </c>
      <c r="N45" s="3">
        <f t="shared" si="27"/>
        <v>3</v>
      </c>
      <c r="O45" s="16">
        <f t="shared" si="27"/>
        <v>532</v>
      </c>
      <c r="P45" s="3">
        <f t="shared" si="27"/>
        <v>1</v>
      </c>
      <c r="Q45" s="3">
        <f t="shared" si="27"/>
        <v>0</v>
      </c>
      <c r="R45" s="3">
        <f t="shared" si="27"/>
        <v>1</v>
      </c>
      <c r="S45" s="3">
        <f t="shared" si="27"/>
        <v>1</v>
      </c>
      <c r="T45" s="3">
        <f t="shared" si="27"/>
        <v>5</v>
      </c>
      <c r="U45" s="3">
        <f t="shared" si="27"/>
        <v>6</v>
      </c>
      <c r="V45" s="3">
        <f t="shared" si="27"/>
        <v>423</v>
      </c>
      <c r="W45" s="3">
        <f t="shared" si="27"/>
        <v>10</v>
      </c>
      <c r="X45" s="3">
        <f t="shared" si="27"/>
        <v>433</v>
      </c>
      <c r="Y45" s="3">
        <f t="shared" si="27"/>
        <v>178</v>
      </c>
      <c r="Z45" s="3">
        <f t="shared" si="27"/>
        <v>0</v>
      </c>
      <c r="AA45" s="3">
        <f t="shared" si="27"/>
        <v>178</v>
      </c>
    </row>
    <row r="46" spans="2:27" x14ac:dyDescent="0.15">
      <c r="B46" s="139" t="s">
        <v>123</v>
      </c>
      <c r="C46" s="13" t="s">
        <v>124</v>
      </c>
      <c r="D46" s="2">
        <v>43</v>
      </c>
      <c r="E46" s="2">
        <v>11</v>
      </c>
      <c r="F46" s="2">
        <f t="shared" si="1"/>
        <v>54</v>
      </c>
      <c r="G46" s="2">
        <v>19</v>
      </c>
      <c r="H46" s="2">
        <v>2</v>
      </c>
      <c r="I46" s="2">
        <f t="shared" si="2"/>
        <v>21</v>
      </c>
      <c r="J46" s="2">
        <v>50</v>
      </c>
      <c r="K46" s="2">
        <v>7</v>
      </c>
      <c r="L46" s="2">
        <f t="shared" si="3"/>
        <v>57</v>
      </c>
      <c r="M46" s="2">
        <v>249</v>
      </c>
      <c r="N46" s="2">
        <v>2</v>
      </c>
      <c r="O46" s="2">
        <f t="shared" si="4"/>
        <v>251</v>
      </c>
      <c r="P46" s="2">
        <v>1</v>
      </c>
      <c r="Q46" s="2">
        <v>0</v>
      </c>
      <c r="R46" s="2">
        <f t="shared" si="5"/>
        <v>1</v>
      </c>
      <c r="S46" s="2">
        <v>2</v>
      </c>
      <c r="T46" s="2">
        <v>2</v>
      </c>
      <c r="U46" s="2">
        <f t="shared" si="6"/>
        <v>4</v>
      </c>
      <c r="V46" s="2">
        <v>181</v>
      </c>
      <c r="W46" s="2">
        <v>7</v>
      </c>
      <c r="X46" s="2">
        <f t="shared" si="7"/>
        <v>188</v>
      </c>
      <c r="Y46" s="2">
        <v>82</v>
      </c>
      <c r="Z46" s="2">
        <v>0</v>
      </c>
      <c r="AA46" s="2">
        <f t="shared" si="8"/>
        <v>82</v>
      </c>
    </row>
    <row r="47" spans="2:27" x14ac:dyDescent="0.15">
      <c r="B47" s="140"/>
      <c r="C47" s="13" t="s">
        <v>125</v>
      </c>
      <c r="D47" s="2">
        <v>48</v>
      </c>
      <c r="E47" s="2">
        <v>11</v>
      </c>
      <c r="F47" s="2">
        <f t="shared" si="1"/>
        <v>59</v>
      </c>
      <c r="G47" s="2">
        <v>34</v>
      </c>
      <c r="H47" s="2">
        <v>7</v>
      </c>
      <c r="I47" s="2">
        <f t="shared" si="2"/>
        <v>41</v>
      </c>
      <c r="J47" s="2">
        <v>66</v>
      </c>
      <c r="K47" s="2">
        <v>13</v>
      </c>
      <c r="L47" s="2">
        <f t="shared" si="3"/>
        <v>79</v>
      </c>
      <c r="M47" s="2">
        <v>357</v>
      </c>
      <c r="N47" s="2">
        <v>5</v>
      </c>
      <c r="O47" s="2">
        <f t="shared" si="4"/>
        <v>362</v>
      </c>
      <c r="P47" s="2">
        <v>2</v>
      </c>
      <c r="Q47" s="2">
        <v>0</v>
      </c>
      <c r="R47" s="2">
        <f t="shared" si="5"/>
        <v>2</v>
      </c>
      <c r="S47" s="2">
        <v>2</v>
      </c>
      <c r="T47" s="2">
        <v>2</v>
      </c>
      <c r="U47" s="2">
        <f t="shared" si="6"/>
        <v>4</v>
      </c>
      <c r="V47" s="2">
        <v>258</v>
      </c>
      <c r="W47" s="2">
        <v>12</v>
      </c>
      <c r="X47" s="2">
        <f t="shared" si="7"/>
        <v>270</v>
      </c>
      <c r="Y47" s="2">
        <v>124</v>
      </c>
      <c r="Z47" s="2">
        <v>0</v>
      </c>
      <c r="AA47" s="2">
        <f t="shared" si="8"/>
        <v>124</v>
      </c>
    </row>
    <row r="48" spans="2:27" x14ac:dyDescent="0.15">
      <c r="B48" s="141"/>
      <c r="C48" s="14" t="s">
        <v>84</v>
      </c>
      <c r="D48" s="3">
        <f>+D46+D47</f>
        <v>91</v>
      </c>
      <c r="E48" s="3">
        <f t="shared" ref="E48:AA48" si="28">+E46+E47</f>
        <v>22</v>
      </c>
      <c r="F48" s="3">
        <f t="shared" si="28"/>
        <v>113</v>
      </c>
      <c r="G48" s="3">
        <f t="shared" si="28"/>
        <v>53</v>
      </c>
      <c r="H48" s="3">
        <f t="shared" si="28"/>
        <v>9</v>
      </c>
      <c r="I48" s="3">
        <f t="shared" si="28"/>
        <v>62</v>
      </c>
      <c r="J48" s="3">
        <f t="shared" si="28"/>
        <v>116</v>
      </c>
      <c r="K48" s="3">
        <f t="shared" si="28"/>
        <v>20</v>
      </c>
      <c r="L48" s="3">
        <f t="shared" si="28"/>
        <v>136</v>
      </c>
      <c r="M48" s="3">
        <f t="shared" si="28"/>
        <v>606</v>
      </c>
      <c r="N48" s="3">
        <f t="shared" si="28"/>
        <v>7</v>
      </c>
      <c r="O48" s="16">
        <f t="shared" si="28"/>
        <v>613</v>
      </c>
      <c r="P48" s="3">
        <f t="shared" si="28"/>
        <v>3</v>
      </c>
      <c r="Q48" s="3">
        <f t="shared" si="28"/>
        <v>0</v>
      </c>
      <c r="R48" s="3">
        <f t="shared" si="28"/>
        <v>3</v>
      </c>
      <c r="S48" s="3">
        <f t="shared" si="28"/>
        <v>4</v>
      </c>
      <c r="T48" s="3">
        <f t="shared" si="28"/>
        <v>4</v>
      </c>
      <c r="U48" s="3">
        <f t="shared" si="28"/>
        <v>8</v>
      </c>
      <c r="V48" s="3">
        <f t="shared" si="28"/>
        <v>439</v>
      </c>
      <c r="W48" s="3">
        <f t="shared" si="28"/>
        <v>19</v>
      </c>
      <c r="X48" s="3">
        <f t="shared" si="28"/>
        <v>458</v>
      </c>
      <c r="Y48" s="3">
        <f t="shared" si="28"/>
        <v>206</v>
      </c>
      <c r="Z48" s="3">
        <f t="shared" si="28"/>
        <v>0</v>
      </c>
      <c r="AA48" s="3">
        <f t="shared" si="28"/>
        <v>206</v>
      </c>
    </row>
    <row r="49" spans="2:28" x14ac:dyDescent="0.15">
      <c r="B49" s="139" t="s">
        <v>126</v>
      </c>
      <c r="C49" s="13" t="s">
        <v>127</v>
      </c>
      <c r="D49" s="2">
        <v>275</v>
      </c>
      <c r="E49" s="2">
        <v>56</v>
      </c>
      <c r="F49" s="2">
        <f t="shared" si="1"/>
        <v>331</v>
      </c>
      <c r="G49" s="2">
        <v>202</v>
      </c>
      <c r="H49" s="2">
        <v>11</v>
      </c>
      <c r="I49" s="2">
        <f t="shared" si="2"/>
        <v>213</v>
      </c>
      <c r="J49" s="2">
        <v>596</v>
      </c>
      <c r="K49" s="2">
        <v>28</v>
      </c>
      <c r="L49" s="2">
        <f t="shared" si="3"/>
        <v>624</v>
      </c>
      <c r="M49" s="2">
        <v>1317</v>
      </c>
      <c r="N49" s="2">
        <v>10</v>
      </c>
      <c r="O49" s="2">
        <f t="shared" si="4"/>
        <v>1327</v>
      </c>
      <c r="P49" s="2">
        <v>7</v>
      </c>
      <c r="Q49" s="2">
        <v>0</v>
      </c>
      <c r="R49" s="2">
        <f t="shared" si="5"/>
        <v>7</v>
      </c>
      <c r="S49" s="2">
        <v>1</v>
      </c>
      <c r="T49" s="2">
        <v>12</v>
      </c>
      <c r="U49" s="2">
        <f t="shared" si="6"/>
        <v>13</v>
      </c>
      <c r="V49" s="2">
        <v>909</v>
      </c>
      <c r="W49" s="2">
        <v>31</v>
      </c>
      <c r="X49" s="2">
        <f t="shared" si="7"/>
        <v>940</v>
      </c>
      <c r="Y49" s="2">
        <v>436</v>
      </c>
      <c r="Z49" s="2">
        <v>0</v>
      </c>
      <c r="AA49" s="2">
        <f t="shared" si="8"/>
        <v>436</v>
      </c>
    </row>
    <row r="50" spans="2:28" x14ac:dyDescent="0.15">
      <c r="B50" s="141"/>
      <c r="C50" s="14" t="s">
        <v>84</v>
      </c>
      <c r="D50" s="3">
        <f>+D49</f>
        <v>275</v>
      </c>
      <c r="E50" s="3">
        <f t="shared" ref="E50:AA50" si="29">+E49</f>
        <v>56</v>
      </c>
      <c r="F50" s="3">
        <f t="shared" si="29"/>
        <v>331</v>
      </c>
      <c r="G50" s="3">
        <f t="shared" si="29"/>
        <v>202</v>
      </c>
      <c r="H50" s="3">
        <f t="shared" si="29"/>
        <v>11</v>
      </c>
      <c r="I50" s="3">
        <f t="shared" si="29"/>
        <v>213</v>
      </c>
      <c r="J50" s="3">
        <f t="shared" si="29"/>
        <v>596</v>
      </c>
      <c r="K50" s="3">
        <f t="shared" si="29"/>
        <v>28</v>
      </c>
      <c r="L50" s="3">
        <f t="shared" si="29"/>
        <v>624</v>
      </c>
      <c r="M50" s="3">
        <f t="shared" si="29"/>
        <v>1317</v>
      </c>
      <c r="N50" s="3">
        <f t="shared" si="29"/>
        <v>10</v>
      </c>
      <c r="O50" s="16">
        <f t="shared" si="29"/>
        <v>1327</v>
      </c>
      <c r="P50" s="3">
        <f t="shared" si="29"/>
        <v>7</v>
      </c>
      <c r="Q50" s="3">
        <f t="shared" si="29"/>
        <v>0</v>
      </c>
      <c r="R50" s="3">
        <f t="shared" si="29"/>
        <v>7</v>
      </c>
      <c r="S50" s="3">
        <f t="shared" si="29"/>
        <v>1</v>
      </c>
      <c r="T50" s="3">
        <f t="shared" si="29"/>
        <v>12</v>
      </c>
      <c r="U50" s="3">
        <f t="shared" si="29"/>
        <v>13</v>
      </c>
      <c r="V50" s="3">
        <f t="shared" si="29"/>
        <v>909</v>
      </c>
      <c r="W50" s="3">
        <f t="shared" si="29"/>
        <v>31</v>
      </c>
      <c r="X50" s="3">
        <f t="shared" si="29"/>
        <v>940</v>
      </c>
      <c r="Y50" s="3">
        <f t="shared" si="29"/>
        <v>436</v>
      </c>
      <c r="Z50" s="3">
        <f t="shared" si="29"/>
        <v>0</v>
      </c>
      <c r="AA50" s="3">
        <f t="shared" si="29"/>
        <v>436</v>
      </c>
    </row>
    <row r="51" spans="2:28" x14ac:dyDescent="0.15">
      <c r="B51" s="139" t="s">
        <v>128</v>
      </c>
      <c r="C51" s="13" t="s">
        <v>129</v>
      </c>
      <c r="D51" s="2">
        <v>550</v>
      </c>
      <c r="E51" s="2">
        <v>45</v>
      </c>
      <c r="F51" s="2">
        <f t="shared" si="1"/>
        <v>595</v>
      </c>
      <c r="G51" s="2">
        <v>97</v>
      </c>
      <c r="H51" s="2">
        <v>8</v>
      </c>
      <c r="I51" s="2">
        <f t="shared" si="2"/>
        <v>105</v>
      </c>
      <c r="J51" s="2">
        <v>675</v>
      </c>
      <c r="K51" s="2">
        <v>19</v>
      </c>
      <c r="L51" s="2">
        <f t="shared" si="3"/>
        <v>694</v>
      </c>
      <c r="M51" s="2">
        <v>667</v>
      </c>
      <c r="N51" s="2">
        <v>4</v>
      </c>
      <c r="O51" s="2">
        <f t="shared" si="4"/>
        <v>671</v>
      </c>
      <c r="P51" s="2">
        <v>1</v>
      </c>
      <c r="Q51" s="2">
        <v>0</v>
      </c>
      <c r="R51" s="2">
        <f t="shared" si="5"/>
        <v>1</v>
      </c>
      <c r="S51" s="2">
        <v>1</v>
      </c>
      <c r="T51" s="2">
        <v>8</v>
      </c>
      <c r="U51" s="2">
        <f t="shared" si="6"/>
        <v>9</v>
      </c>
      <c r="V51" s="2">
        <v>425</v>
      </c>
      <c r="W51" s="2">
        <v>20</v>
      </c>
      <c r="X51" s="2">
        <f t="shared" si="7"/>
        <v>445</v>
      </c>
      <c r="Y51" s="2">
        <v>247</v>
      </c>
      <c r="Z51" s="2">
        <v>0</v>
      </c>
      <c r="AA51" s="2">
        <f t="shared" si="8"/>
        <v>247</v>
      </c>
    </row>
    <row r="52" spans="2:28" x14ac:dyDescent="0.15">
      <c r="B52" s="141"/>
      <c r="C52" s="14" t="s">
        <v>84</v>
      </c>
      <c r="D52" s="3">
        <f>+D51</f>
        <v>550</v>
      </c>
      <c r="E52" s="3">
        <f t="shared" ref="E52:AA52" si="30">+E51</f>
        <v>45</v>
      </c>
      <c r="F52" s="3">
        <f t="shared" si="30"/>
        <v>595</v>
      </c>
      <c r="G52" s="3">
        <f t="shared" si="30"/>
        <v>97</v>
      </c>
      <c r="H52" s="3">
        <f t="shared" si="30"/>
        <v>8</v>
      </c>
      <c r="I52" s="3">
        <f t="shared" si="30"/>
        <v>105</v>
      </c>
      <c r="J52" s="3">
        <f t="shared" si="30"/>
        <v>675</v>
      </c>
      <c r="K52" s="3">
        <f t="shared" si="30"/>
        <v>19</v>
      </c>
      <c r="L52" s="16">
        <f t="shared" si="30"/>
        <v>694</v>
      </c>
      <c r="M52" s="3">
        <f t="shared" si="30"/>
        <v>667</v>
      </c>
      <c r="N52" s="3">
        <f t="shared" si="30"/>
        <v>4</v>
      </c>
      <c r="O52" s="3">
        <f t="shared" si="30"/>
        <v>671</v>
      </c>
      <c r="P52" s="3">
        <f t="shared" si="30"/>
        <v>1</v>
      </c>
      <c r="Q52" s="3">
        <f t="shared" si="30"/>
        <v>0</v>
      </c>
      <c r="R52" s="3">
        <f t="shared" si="30"/>
        <v>1</v>
      </c>
      <c r="S52" s="3">
        <f t="shared" si="30"/>
        <v>1</v>
      </c>
      <c r="T52" s="3">
        <f t="shared" si="30"/>
        <v>8</v>
      </c>
      <c r="U52" s="3">
        <f t="shared" si="30"/>
        <v>9</v>
      </c>
      <c r="V52" s="3">
        <f t="shared" si="30"/>
        <v>425</v>
      </c>
      <c r="W52" s="3">
        <f t="shared" si="30"/>
        <v>20</v>
      </c>
      <c r="X52" s="3">
        <f t="shared" si="30"/>
        <v>445</v>
      </c>
      <c r="Y52" s="3">
        <f t="shared" si="30"/>
        <v>247</v>
      </c>
      <c r="Z52" s="3">
        <f t="shared" si="30"/>
        <v>0</v>
      </c>
      <c r="AA52" s="3">
        <f t="shared" si="30"/>
        <v>247</v>
      </c>
    </row>
    <row r="53" spans="2:28" x14ac:dyDescent="0.15">
      <c r="B53" s="139" t="s">
        <v>130</v>
      </c>
      <c r="C53" s="13" t="s">
        <v>131</v>
      </c>
      <c r="D53" s="2">
        <v>1504</v>
      </c>
      <c r="E53" s="2">
        <v>34</v>
      </c>
      <c r="F53" s="2">
        <f t="shared" si="1"/>
        <v>1538</v>
      </c>
      <c r="G53" s="2">
        <v>157</v>
      </c>
      <c r="H53" s="2">
        <v>26</v>
      </c>
      <c r="I53" s="2">
        <f t="shared" si="2"/>
        <v>183</v>
      </c>
      <c r="J53" s="2">
        <v>793</v>
      </c>
      <c r="K53" s="2">
        <v>69</v>
      </c>
      <c r="L53" s="2">
        <f t="shared" si="3"/>
        <v>862</v>
      </c>
      <c r="M53" s="2">
        <v>1866</v>
      </c>
      <c r="N53" s="2">
        <v>37</v>
      </c>
      <c r="O53" s="2">
        <f t="shared" si="4"/>
        <v>1903</v>
      </c>
      <c r="P53" s="2">
        <v>8</v>
      </c>
      <c r="Q53" s="2">
        <v>0</v>
      </c>
      <c r="R53" s="2">
        <f t="shared" si="5"/>
        <v>8</v>
      </c>
      <c r="S53" s="2">
        <v>5</v>
      </c>
      <c r="T53" s="2">
        <v>23</v>
      </c>
      <c r="U53" s="2">
        <f t="shared" si="6"/>
        <v>28</v>
      </c>
      <c r="V53" s="2">
        <v>1321</v>
      </c>
      <c r="W53" s="2">
        <v>54</v>
      </c>
      <c r="X53" s="2">
        <f t="shared" si="7"/>
        <v>1375</v>
      </c>
      <c r="Y53" s="2">
        <v>734</v>
      </c>
      <c r="Z53" s="2">
        <v>2</v>
      </c>
      <c r="AA53" s="2">
        <f t="shared" si="8"/>
        <v>736</v>
      </c>
    </row>
    <row r="54" spans="2:28" x14ac:dyDescent="0.15">
      <c r="B54" s="141"/>
      <c r="C54" s="14" t="s">
        <v>84</v>
      </c>
      <c r="D54" s="3">
        <f>+D53</f>
        <v>1504</v>
      </c>
      <c r="E54" s="3">
        <f t="shared" ref="E54:AA54" si="31">+E53</f>
        <v>34</v>
      </c>
      <c r="F54" s="3">
        <f t="shared" si="31"/>
        <v>1538</v>
      </c>
      <c r="G54" s="3">
        <f t="shared" si="31"/>
        <v>157</v>
      </c>
      <c r="H54" s="3">
        <f t="shared" si="31"/>
        <v>26</v>
      </c>
      <c r="I54" s="3">
        <f t="shared" si="31"/>
        <v>183</v>
      </c>
      <c r="J54" s="3">
        <f t="shared" si="31"/>
        <v>793</v>
      </c>
      <c r="K54" s="3">
        <f t="shared" si="31"/>
        <v>69</v>
      </c>
      <c r="L54" s="3">
        <f t="shared" si="31"/>
        <v>862</v>
      </c>
      <c r="M54" s="3">
        <f t="shared" si="31"/>
        <v>1866</v>
      </c>
      <c r="N54" s="3">
        <f t="shared" si="31"/>
        <v>37</v>
      </c>
      <c r="O54" s="16">
        <f t="shared" si="31"/>
        <v>1903</v>
      </c>
      <c r="P54" s="3">
        <f t="shared" si="31"/>
        <v>8</v>
      </c>
      <c r="Q54" s="3">
        <f t="shared" si="31"/>
        <v>0</v>
      </c>
      <c r="R54" s="3">
        <f t="shared" si="31"/>
        <v>8</v>
      </c>
      <c r="S54" s="3">
        <f t="shared" si="31"/>
        <v>5</v>
      </c>
      <c r="T54" s="3">
        <f t="shared" si="31"/>
        <v>23</v>
      </c>
      <c r="U54" s="3">
        <f t="shared" si="31"/>
        <v>28</v>
      </c>
      <c r="V54" s="3">
        <f t="shared" si="31"/>
        <v>1321</v>
      </c>
      <c r="W54" s="3">
        <f t="shared" si="31"/>
        <v>54</v>
      </c>
      <c r="X54" s="3">
        <f t="shared" si="31"/>
        <v>1375</v>
      </c>
      <c r="Y54" s="3">
        <f t="shared" si="31"/>
        <v>734</v>
      </c>
      <c r="Z54" s="3">
        <f t="shared" si="31"/>
        <v>2</v>
      </c>
      <c r="AA54" s="3">
        <f t="shared" si="31"/>
        <v>736</v>
      </c>
    </row>
    <row r="55" spans="2:28" x14ac:dyDescent="0.15">
      <c r="B55" s="142" t="s">
        <v>132</v>
      </c>
      <c r="C55" s="142"/>
      <c r="D55" s="17">
        <f>+D10+D43+D45+D48+D50+D52+D54+D15+D20+D23+D25+D27+D29+D33+D40+D7</f>
        <v>12719</v>
      </c>
      <c r="E55" s="17">
        <f t="shared" ref="E55:AA55" si="32">+E10+E43+E45+E48+E50+E52+E54+E15+E20+E23+E25+E27+E29+E33+E40+E7</f>
        <v>787</v>
      </c>
      <c r="F55" s="17">
        <f t="shared" si="32"/>
        <v>13506</v>
      </c>
      <c r="G55" s="17">
        <f t="shared" si="32"/>
        <v>2561</v>
      </c>
      <c r="H55" s="17">
        <f t="shared" si="32"/>
        <v>269</v>
      </c>
      <c r="I55" s="17">
        <f t="shared" si="32"/>
        <v>2830</v>
      </c>
      <c r="J55" s="17">
        <f t="shared" si="32"/>
        <v>10249</v>
      </c>
      <c r="K55" s="17">
        <f t="shared" si="32"/>
        <v>599</v>
      </c>
      <c r="L55" s="17">
        <f t="shared" si="32"/>
        <v>10848</v>
      </c>
      <c r="M55" s="17">
        <f t="shared" si="32"/>
        <v>20812</v>
      </c>
      <c r="N55" s="17">
        <f t="shared" si="32"/>
        <v>206</v>
      </c>
      <c r="O55" s="17">
        <f t="shared" si="32"/>
        <v>21018</v>
      </c>
      <c r="P55" s="17">
        <f t="shared" si="32"/>
        <v>111</v>
      </c>
      <c r="Q55" s="17">
        <f t="shared" si="32"/>
        <v>0</v>
      </c>
      <c r="R55" s="17">
        <f t="shared" si="32"/>
        <v>111</v>
      </c>
      <c r="S55" s="17">
        <f t="shared" si="32"/>
        <v>88</v>
      </c>
      <c r="T55" s="17">
        <f t="shared" si="32"/>
        <v>204</v>
      </c>
      <c r="U55" s="17">
        <f t="shared" si="32"/>
        <v>292</v>
      </c>
      <c r="V55" s="17">
        <f t="shared" si="32"/>
        <v>15518</v>
      </c>
      <c r="W55" s="17">
        <f t="shared" si="32"/>
        <v>672</v>
      </c>
      <c r="X55" s="17">
        <f t="shared" si="32"/>
        <v>16190</v>
      </c>
      <c r="Y55" s="17">
        <f t="shared" si="32"/>
        <v>7996</v>
      </c>
      <c r="Z55" s="17">
        <f t="shared" si="32"/>
        <v>7</v>
      </c>
      <c r="AA55" s="17">
        <f t="shared" si="32"/>
        <v>8003</v>
      </c>
    </row>
    <row r="56" spans="2:28" x14ac:dyDescent="0.15">
      <c r="D56" s="116">
        <f>F55</f>
        <v>13506</v>
      </c>
      <c r="E56" s="117"/>
      <c r="F56" s="118"/>
      <c r="G56" s="119">
        <f>I55</f>
        <v>2830</v>
      </c>
      <c r="H56" s="120"/>
      <c r="I56" s="121"/>
      <c r="J56" s="122">
        <f>L55</f>
        <v>10848</v>
      </c>
      <c r="K56" s="123"/>
      <c r="L56" s="124"/>
      <c r="M56" s="125">
        <f>O55</f>
        <v>21018</v>
      </c>
      <c r="N56" s="126"/>
      <c r="O56" s="127"/>
      <c r="P56" s="128">
        <f>R55</f>
        <v>111</v>
      </c>
      <c r="Q56" s="129"/>
      <c r="R56" s="130"/>
      <c r="S56" s="131">
        <f>U55</f>
        <v>292</v>
      </c>
      <c r="T56" s="132"/>
      <c r="U56" s="133"/>
      <c r="V56" s="134">
        <f>X55</f>
        <v>16190</v>
      </c>
      <c r="W56" s="135"/>
      <c r="X56" s="136"/>
      <c r="Y56" s="137">
        <f>AA55</f>
        <v>8003</v>
      </c>
      <c r="Z56" s="138"/>
      <c r="AA56" s="138"/>
      <c r="AB56" s="19">
        <f>SUM(D56:Z56)</f>
        <v>72798</v>
      </c>
    </row>
    <row r="57" spans="2:28" x14ac:dyDescent="0.15">
      <c r="C57" s="11" t="s">
        <v>133</v>
      </c>
      <c r="D57" s="168">
        <f>D56/AB56</f>
        <v>0.18552707491964066</v>
      </c>
      <c r="E57" s="169"/>
      <c r="F57" s="170"/>
      <c r="G57" s="171">
        <f>G56/AB56</f>
        <v>3.887469435973516E-2</v>
      </c>
      <c r="H57" s="172"/>
      <c r="I57" s="173"/>
      <c r="J57" s="174">
        <f>J56/AB56</f>
        <v>0.14901508283194592</v>
      </c>
      <c r="K57" s="175"/>
      <c r="L57" s="176"/>
      <c r="M57" s="177">
        <f>M56/AB56</f>
        <v>0.28871672298689527</v>
      </c>
      <c r="N57" s="178"/>
      <c r="O57" s="179"/>
      <c r="P57" s="180">
        <f>P56/AB56</f>
        <v>1.524767163933075E-3</v>
      </c>
      <c r="Q57" s="181"/>
      <c r="R57" s="182"/>
      <c r="S57" s="183">
        <f>S56/AB56</f>
        <v>4.0110992060221435E-3</v>
      </c>
      <c r="T57" s="184"/>
      <c r="U57" s="185"/>
      <c r="V57" s="186">
        <f>V56/AB56</f>
        <v>0.22239621967636475</v>
      </c>
      <c r="W57" s="187"/>
      <c r="X57" s="188"/>
      <c r="Y57" s="189">
        <f>Y56/AB56</f>
        <v>0.10993433885546307</v>
      </c>
      <c r="Z57" s="190"/>
      <c r="AA57" s="190"/>
    </row>
    <row r="58" spans="2:28" ht="28" x14ac:dyDescent="0.15">
      <c r="C58" s="88" t="s">
        <v>211</v>
      </c>
      <c r="D58" s="168">
        <f>32/32</f>
        <v>1</v>
      </c>
      <c r="E58" s="169"/>
      <c r="F58" s="170"/>
      <c r="G58" s="171">
        <f>28/32</f>
        <v>0.875</v>
      </c>
      <c r="H58" s="172"/>
      <c r="I58" s="173"/>
      <c r="J58" s="174">
        <f>32/32</f>
        <v>1</v>
      </c>
      <c r="K58" s="175"/>
      <c r="L58" s="176"/>
      <c r="M58" s="177">
        <f>32/32</f>
        <v>1</v>
      </c>
      <c r="N58" s="178"/>
      <c r="O58" s="179"/>
      <c r="P58" s="180">
        <f>21/32</f>
        <v>0.65625</v>
      </c>
      <c r="Q58" s="181"/>
      <c r="R58" s="182"/>
      <c r="S58" s="183">
        <f>29/32</f>
        <v>0.90625</v>
      </c>
      <c r="T58" s="184"/>
      <c r="U58" s="185"/>
      <c r="V58" s="186">
        <f>32/32</f>
        <v>1</v>
      </c>
      <c r="W58" s="187"/>
      <c r="X58" s="188"/>
      <c r="Y58" s="189">
        <f>32/32</f>
        <v>1</v>
      </c>
      <c r="Z58" s="190"/>
      <c r="AA58" s="190"/>
    </row>
    <row r="60" spans="2:28" ht="16" x14ac:dyDescent="0.15">
      <c r="C60" s="112" t="s">
        <v>70</v>
      </c>
      <c r="D60" s="114" t="s">
        <v>72</v>
      </c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2:28" x14ac:dyDescent="0.15">
      <c r="C61" s="113"/>
      <c r="D61" s="116" t="s">
        <v>73</v>
      </c>
      <c r="E61" s="117"/>
      <c r="F61" s="118"/>
      <c r="G61" s="119" t="s">
        <v>74</v>
      </c>
      <c r="H61" s="120"/>
      <c r="I61" s="121"/>
      <c r="J61" s="122" t="s">
        <v>75</v>
      </c>
      <c r="K61" s="123"/>
      <c r="L61" s="124"/>
      <c r="M61" s="125" t="s">
        <v>0</v>
      </c>
      <c r="N61" s="126"/>
      <c r="O61" s="127"/>
      <c r="P61" s="128" t="s">
        <v>76</v>
      </c>
      <c r="Q61" s="129"/>
      <c r="R61" s="130"/>
      <c r="S61" s="131" t="s">
        <v>1</v>
      </c>
      <c r="T61" s="132"/>
      <c r="U61" s="133"/>
      <c r="V61" s="134" t="s">
        <v>2</v>
      </c>
      <c r="W61" s="135"/>
      <c r="X61" s="136"/>
      <c r="Y61" s="137" t="s">
        <v>16</v>
      </c>
      <c r="Z61" s="138"/>
      <c r="AA61" s="138"/>
    </row>
    <row r="62" spans="2:28" x14ac:dyDescent="0.15">
      <c r="C62" s="11" t="s">
        <v>77</v>
      </c>
      <c r="D62" s="1" t="s">
        <v>79</v>
      </c>
      <c r="E62" s="1" t="s">
        <v>80</v>
      </c>
      <c r="F62" s="1" t="s">
        <v>81</v>
      </c>
      <c r="G62" s="1" t="s">
        <v>79</v>
      </c>
      <c r="H62" s="1" t="s">
        <v>80</v>
      </c>
      <c r="I62" s="1" t="s">
        <v>81</v>
      </c>
      <c r="J62" s="1" t="s">
        <v>79</v>
      </c>
      <c r="K62" s="1" t="s">
        <v>80</v>
      </c>
      <c r="L62" s="1" t="s">
        <v>81</v>
      </c>
      <c r="M62" s="1" t="s">
        <v>79</v>
      </c>
      <c r="N62" s="1" t="s">
        <v>80</v>
      </c>
      <c r="O62" s="1" t="s">
        <v>81</v>
      </c>
      <c r="P62" s="1" t="s">
        <v>80</v>
      </c>
      <c r="Q62" s="1" t="s">
        <v>79</v>
      </c>
      <c r="R62" s="1" t="s">
        <v>81</v>
      </c>
      <c r="S62" s="1" t="s">
        <v>79</v>
      </c>
      <c r="T62" s="1" t="s">
        <v>80</v>
      </c>
      <c r="U62" s="1" t="s">
        <v>81</v>
      </c>
      <c r="V62" s="1" t="s">
        <v>79</v>
      </c>
      <c r="W62" s="1" t="s">
        <v>80</v>
      </c>
      <c r="X62" s="1" t="s">
        <v>81</v>
      </c>
      <c r="Y62" s="1" t="s">
        <v>79</v>
      </c>
      <c r="Z62" s="1" t="s">
        <v>80</v>
      </c>
      <c r="AA62" s="1" t="s">
        <v>81</v>
      </c>
    </row>
    <row r="63" spans="2:28" x14ac:dyDescent="0.15">
      <c r="C63" s="13" t="s">
        <v>82</v>
      </c>
      <c r="D63" s="2">
        <v>1613</v>
      </c>
      <c r="E63" s="2">
        <v>13</v>
      </c>
      <c r="F63" s="2">
        <f>D63+E63</f>
        <v>1626</v>
      </c>
      <c r="G63" s="2">
        <v>848</v>
      </c>
      <c r="H63" s="2">
        <v>111</v>
      </c>
      <c r="I63" s="2">
        <f>G63+H63</f>
        <v>959</v>
      </c>
      <c r="J63" s="2">
        <v>3514</v>
      </c>
      <c r="K63" s="2">
        <v>156</v>
      </c>
      <c r="L63" s="2">
        <f>J63+K63</f>
        <v>3670</v>
      </c>
      <c r="M63" s="2">
        <v>4168</v>
      </c>
      <c r="N63" s="2">
        <v>56</v>
      </c>
      <c r="O63" s="2">
        <f>M63+N63</f>
        <v>4224</v>
      </c>
      <c r="P63" s="2">
        <v>52</v>
      </c>
      <c r="Q63" s="2">
        <v>0</v>
      </c>
      <c r="R63" s="2">
        <f>P63+Q63</f>
        <v>52</v>
      </c>
      <c r="S63" s="2">
        <v>35</v>
      </c>
      <c r="T63" s="2">
        <v>49</v>
      </c>
      <c r="U63" s="2">
        <f>S63+T63</f>
        <v>84</v>
      </c>
      <c r="V63" s="2">
        <v>1581</v>
      </c>
      <c r="W63" s="2">
        <v>159</v>
      </c>
      <c r="X63" s="2">
        <f>V63+W63</f>
        <v>1740</v>
      </c>
      <c r="Y63" s="2">
        <v>1903</v>
      </c>
      <c r="Z63" s="2">
        <v>3</v>
      </c>
      <c r="AA63" s="2">
        <f>Y63+Z63</f>
        <v>1906</v>
      </c>
    </row>
    <row r="64" spans="2:28" x14ac:dyDescent="0.15">
      <c r="C64" s="13" t="s">
        <v>85</v>
      </c>
      <c r="D64" s="2">
        <v>1586</v>
      </c>
      <c r="E64" s="2">
        <v>112</v>
      </c>
      <c r="F64" s="2">
        <f t="shared" ref="F64:F79" si="33">D64+E64</f>
        <v>1698</v>
      </c>
      <c r="G64" s="2">
        <v>168</v>
      </c>
      <c r="H64" s="2">
        <v>29</v>
      </c>
      <c r="I64" s="2">
        <f t="shared" ref="I64:I79" si="34">G64+H64</f>
        <v>197</v>
      </c>
      <c r="J64" s="2">
        <v>665</v>
      </c>
      <c r="K64" s="2">
        <v>76</v>
      </c>
      <c r="L64" s="2">
        <f t="shared" ref="L64:L79" si="35">J64+K64</f>
        <v>741</v>
      </c>
      <c r="M64" s="2">
        <v>2309</v>
      </c>
      <c r="N64" s="2">
        <v>23</v>
      </c>
      <c r="O64" s="2">
        <f t="shared" ref="O64:O79" si="36">M64+N64</f>
        <v>2332</v>
      </c>
      <c r="P64" s="2">
        <v>8</v>
      </c>
      <c r="Q64" s="2">
        <v>0</v>
      </c>
      <c r="R64" s="2">
        <f t="shared" ref="R64:R79" si="37">P64+Q64</f>
        <v>8</v>
      </c>
      <c r="S64" s="2">
        <v>14</v>
      </c>
      <c r="T64" s="2">
        <v>23</v>
      </c>
      <c r="U64" s="2">
        <f t="shared" ref="U64:U79" si="38">S64+T64</f>
        <v>37</v>
      </c>
      <c r="V64" s="2">
        <v>3681</v>
      </c>
      <c r="W64" s="2">
        <v>147</v>
      </c>
      <c r="X64" s="2">
        <f t="shared" ref="X64:X79" si="39">V64+W64</f>
        <v>3828</v>
      </c>
      <c r="Y64" s="2">
        <v>1241</v>
      </c>
      <c r="Z64" s="2">
        <v>1</v>
      </c>
      <c r="AA64" s="2">
        <f t="shared" ref="AA64:AA79" si="40">Y64+Z64</f>
        <v>1242</v>
      </c>
    </row>
    <row r="65" spans="3:27" x14ac:dyDescent="0.15">
      <c r="C65" s="13" t="s">
        <v>88</v>
      </c>
      <c r="D65" s="2">
        <v>1181</v>
      </c>
      <c r="E65" s="2">
        <v>53</v>
      </c>
      <c r="F65" s="2">
        <f t="shared" si="33"/>
        <v>1234</v>
      </c>
      <c r="G65" s="2">
        <v>121</v>
      </c>
      <c r="H65" s="2">
        <v>13</v>
      </c>
      <c r="I65" s="2">
        <f t="shared" si="34"/>
        <v>134</v>
      </c>
      <c r="J65" s="2">
        <v>615</v>
      </c>
      <c r="K65" s="2">
        <v>52</v>
      </c>
      <c r="L65" s="2">
        <f t="shared" si="35"/>
        <v>667</v>
      </c>
      <c r="M65" s="2">
        <v>2463</v>
      </c>
      <c r="N65" s="2">
        <v>19</v>
      </c>
      <c r="O65" s="2">
        <f t="shared" si="36"/>
        <v>2482</v>
      </c>
      <c r="P65" s="2">
        <v>9</v>
      </c>
      <c r="Q65" s="2">
        <v>0</v>
      </c>
      <c r="R65" s="2">
        <f t="shared" si="37"/>
        <v>9</v>
      </c>
      <c r="S65" s="2">
        <v>7</v>
      </c>
      <c r="T65" s="2">
        <v>15</v>
      </c>
      <c r="U65" s="2">
        <f t="shared" si="38"/>
        <v>22</v>
      </c>
      <c r="V65" s="2">
        <v>1370</v>
      </c>
      <c r="W65" s="2">
        <v>58</v>
      </c>
      <c r="X65" s="2">
        <f t="shared" si="39"/>
        <v>1428</v>
      </c>
      <c r="Y65" s="2">
        <v>778</v>
      </c>
      <c r="Z65" s="2">
        <v>0</v>
      </c>
      <c r="AA65" s="2">
        <f t="shared" si="40"/>
        <v>778</v>
      </c>
    </row>
    <row r="66" spans="3:27" x14ac:dyDescent="0.15">
      <c r="C66" s="13" t="s">
        <v>93</v>
      </c>
      <c r="D66" s="2">
        <v>1746</v>
      </c>
      <c r="E66" s="2">
        <v>64</v>
      </c>
      <c r="F66" s="2">
        <f t="shared" si="33"/>
        <v>1810</v>
      </c>
      <c r="G66" s="2">
        <v>94</v>
      </c>
      <c r="H66" s="2">
        <v>9</v>
      </c>
      <c r="I66" s="2">
        <f t="shared" si="34"/>
        <v>103</v>
      </c>
      <c r="J66" s="2">
        <v>318</v>
      </c>
      <c r="K66" s="2">
        <v>28</v>
      </c>
      <c r="L66" s="2">
        <f t="shared" si="35"/>
        <v>346</v>
      </c>
      <c r="M66" s="2">
        <v>1622</v>
      </c>
      <c r="N66" s="2">
        <v>14</v>
      </c>
      <c r="O66" s="2">
        <f t="shared" si="36"/>
        <v>1636</v>
      </c>
      <c r="P66" s="2">
        <v>5</v>
      </c>
      <c r="Q66" s="2">
        <v>0</v>
      </c>
      <c r="R66" s="2">
        <f t="shared" si="37"/>
        <v>5</v>
      </c>
      <c r="S66" s="2">
        <v>8</v>
      </c>
      <c r="T66" s="2">
        <v>12</v>
      </c>
      <c r="U66" s="2">
        <f t="shared" si="38"/>
        <v>20</v>
      </c>
      <c r="V66" s="2">
        <v>1190</v>
      </c>
      <c r="W66" s="2">
        <v>43</v>
      </c>
      <c r="X66" s="2">
        <f t="shared" si="39"/>
        <v>1233</v>
      </c>
      <c r="Y66" s="2">
        <v>470</v>
      </c>
      <c r="Z66" s="2">
        <v>1</v>
      </c>
      <c r="AA66" s="2">
        <f t="shared" si="40"/>
        <v>471</v>
      </c>
    </row>
    <row r="67" spans="3:27" x14ac:dyDescent="0.15">
      <c r="C67" s="13" t="s">
        <v>98</v>
      </c>
      <c r="D67" s="2">
        <v>734</v>
      </c>
      <c r="E67" s="2">
        <v>83</v>
      </c>
      <c r="F67" s="2">
        <f t="shared" si="33"/>
        <v>817</v>
      </c>
      <c r="G67" s="2">
        <v>126</v>
      </c>
      <c r="H67" s="2">
        <v>8</v>
      </c>
      <c r="I67" s="2">
        <f t="shared" si="34"/>
        <v>134</v>
      </c>
      <c r="J67" s="2">
        <v>565</v>
      </c>
      <c r="K67" s="2">
        <v>23</v>
      </c>
      <c r="L67" s="2">
        <f t="shared" si="35"/>
        <v>588</v>
      </c>
      <c r="M67" s="2">
        <v>1044</v>
      </c>
      <c r="N67" s="2">
        <v>7</v>
      </c>
      <c r="O67" s="2">
        <f t="shared" si="36"/>
        <v>1051</v>
      </c>
      <c r="P67" s="2">
        <v>4</v>
      </c>
      <c r="Q67" s="2">
        <v>0</v>
      </c>
      <c r="R67" s="2">
        <f t="shared" si="37"/>
        <v>4</v>
      </c>
      <c r="S67" s="2">
        <v>1</v>
      </c>
      <c r="T67" s="2">
        <v>9</v>
      </c>
      <c r="U67" s="2">
        <f t="shared" si="38"/>
        <v>10</v>
      </c>
      <c r="V67" s="2">
        <v>733</v>
      </c>
      <c r="W67" s="2">
        <v>22</v>
      </c>
      <c r="X67" s="2">
        <f t="shared" si="39"/>
        <v>755</v>
      </c>
      <c r="Y67" s="2">
        <v>404</v>
      </c>
      <c r="Z67" s="2">
        <v>0</v>
      </c>
      <c r="AA67" s="2">
        <f t="shared" si="40"/>
        <v>404</v>
      </c>
    </row>
    <row r="68" spans="3:27" x14ac:dyDescent="0.15">
      <c r="C68" s="13" t="s">
        <v>101</v>
      </c>
      <c r="D68" s="2">
        <v>84</v>
      </c>
      <c r="E68" s="2">
        <v>22</v>
      </c>
      <c r="F68" s="2">
        <f t="shared" si="33"/>
        <v>106</v>
      </c>
      <c r="G68" s="2">
        <v>42</v>
      </c>
      <c r="H68" s="2">
        <v>7</v>
      </c>
      <c r="I68" s="2">
        <f t="shared" si="34"/>
        <v>49</v>
      </c>
      <c r="J68" s="2">
        <v>86</v>
      </c>
      <c r="K68" s="2">
        <v>10</v>
      </c>
      <c r="L68" s="2">
        <f t="shared" si="35"/>
        <v>96</v>
      </c>
      <c r="M68" s="2">
        <v>339</v>
      </c>
      <c r="N68" s="2">
        <v>2</v>
      </c>
      <c r="O68" s="2">
        <f t="shared" si="36"/>
        <v>341</v>
      </c>
      <c r="P68" s="2">
        <v>2</v>
      </c>
      <c r="Q68" s="2">
        <v>0</v>
      </c>
      <c r="R68" s="2">
        <f t="shared" si="37"/>
        <v>2</v>
      </c>
      <c r="S68" s="2">
        <v>3</v>
      </c>
      <c r="T68" s="2">
        <v>4</v>
      </c>
      <c r="U68" s="2">
        <f t="shared" si="38"/>
        <v>7</v>
      </c>
      <c r="V68" s="2">
        <v>399</v>
      </c>
      <c r="W68" s="2">
        <v>14</v>
      </c>
      <c r="X68" s="2">
        <f t="shared" si="39"/>
        <v>413</v>
      </c>
      <c r="Y68" s="2">
        <v>144</v>
      </c>
      <c r="Z68" s="2">
        <v>0</v>
      </c>
      <c r="AA68" s="2">
        <f t="shared" si="40"/>
        <v>144</v>
      </c>
    </row>
    <row r="69" spans="3:27" x14ac:dyDescent="0.15">
      <c r="C69" s="13" t="s">
        <v>103</v>
      </c>
      <c r="D69" s="2">
        <v>521</v>
      </c>
      <c r="E69" s="2">
        <v>36</v>
      </c>
      <c r="F69" s="2">
        <f t="shared" si="33"/>
        <v>557</v>
      </c>
      <c r="G69" s="2">
        <v>18</v>
      </c>
      <c r="H69" s="2">
        <v>2</v>
      </c>
      <c r="I69" s="2">
        <f t="shared" si="34"/>
        <v>20</v>
      </c>
      <c r="J69" s="2">
        <v>184</v>
      </c>
      <c r="K69" s="2">
        <v>6</v>
      </c>
      <c r="L69" s="2">
        <f t="shared" si="35"/>
        <v>190</v>
      </c>
      <c r="M69" s="2">
        <v>388</v>
      </c>
      <c r="N69" s="2">
        <v>4</v>
      </c>
      <c r="O69" s="2">
        <f t="shared" si="36"/>
        <v>392</v>
      </c>
      <c r="P69" s="2">
        <v>1</v>
      </c>
      <c r="Q69" s="2">
        <v>0</v>
      </c>
      <c r="R69" s="2">
        <f t="shared" si="37"/>
        <v>1</v>
      </c>
      <c r="S69" s="2">
        <v>1</v>
      </c>
      <c r="T69" s="2">
        <v>2</v>
      </c>
      <c r="U69" s="2">
        <f t="shared" si="38"/>
        <v>3</v>
      </c>
      <c r="V69" s="2">
        <v>371</v>
      </c>
      <c r="W69" s="2">
        <v>7</v>
      </c>
      <c r="X69" s="2">
        <f t="shared" si="39"/>
        <v>378</v>
      </c>
      <c r="Y69" s="2">
        <v>109</v>
      </c>
      <c r="Z69" s="2">
        <v>0</v>
      </c>
      <c r="AA69" s="2">
        <f t="shared" si="40"/>
        <v>109</v>
      </c>
    </row>
    <row r="70" spans="3:27" x14ac:dyDescent="0.15">
      <c r="C70" s="13" t="s">
        <v>105</v>
      </c>
      <c r="D70" s="2">
        <v>729</v>
      </c>
      <c r="E70" s="2">
        <v>74</v>
      </c>
      <c r="F70" s="2">
        <f t="shared" si="33"/>
        <v>803</v>
      </c>
      <c r="G70" s="2">
        <v>312</v>
      </c>
      <c r="H70" s="2">
        <v>16</v>
      </c>
      <c r="I70" s="2">
        <f t="shared" si="34"/>
        <v>328</v>
      </c>
      <c r="J70" s="2">
        <v>700</v>
      </c>
      <c r="K70" s="2">
        <v>50</v>
      </c>
      <c r="L70" s="2">
        <f t="shared" si="35"/>
        <v>750</v>
      </c>
      <c r="M70" s="2">
        <v>1172</v>
      </c>
      <c r="N70" s="2">
        <v>7</v>
      </c>
      <c r="O70" s="2">
        <f t="shared" si="36"/>
        <v>1179</v>
      </c>
      <c r="P70" s="2">
        <v>6</v>
      </c>
      <c r="Q70" s="2">
        <v>0</v>
      </c>
      <c r="R70" s="2">
        <f t="shared" si="37"/>
        <v>6</v>
      </c>
      <c r="S70" s="2">
        <v>3</v>
      </c>
      <c r="T70" s="2">
        <v>20</v>
      </c>
      <c r="U70" s="2">
        <f t="shared" si="38"/>
        <v>23</v>
      </c>
      <c r="V70" s="2">
        <v>988</v>
      </c>
      <c r="W70" s="2">
        <v>40</v>
      </c>
      <c r="X70" s="2">
        <f t="shared" si="39"/>
        <v>1028</v>
      </c>
      <c r="Y70" s="2">
        <v>466</v>
      </c>
      <c r="Z70" s="2">
        <v>0</v>
      </c>
      <c r="AA70" s="2">
        <f t="shared" si="40"/>
        <v>466</v>
      </c>
    </row>
    <row r="71" spans="3:27" x14ac:dyDescent="0.15">
      <c r="C71" s="13" t="s">
        <v>107</v>
      </c>
      <c r="D71" s="2">
        <v>761</v>
      </c>
      <c r="E71" s="2">
        <v>62</v>
      </c>
      <c r="F71" s="2">
        <f t="shared" si="33"/>
        <v>823</v>
      </c>
      <c r="G71" s="2">
        <v>117</v>
      </c>
      <c r="H71" s="2">
        <v>5</v>
      </c>
      <c r="I71" s="2">
        <f t="shared" si="34"/>
        <v>122</v>
      </c>
      <c r="J71" s="2">
        <v>419</v>
      </c>
      <c r="K71" s="2">
        <v>18</v>
      </c>
      <c r="L71" s="2">
        <f t="shared" si="35"/>
        <v>437</v>
      </c>
      <c r="M71" s="2">
        <v>894</v>
      </c>
      <c r="N71" s="2">
        <v>5</v>
      </c>
      <c r="O71" s="2">
        <f t="shared" si="36"/>
        <v>899</v>
      </c>
      <c r="P71" s="2">
        <v>1</v>
      </c>
      <c r="Q71" s="2">
        <v>0</v>
      </c>
      <c r="R71" s="2">
        <f t="shared" si="37"/>
        <v>1</v>
      </c>
      <c r="S71" s="2">
        <v>1</v>
      </c>
      <c r="T71" s="2">
        <v>8</v>
      </c>
      <c r="U71" s="2">
        <f t="shared" si="38"/>
        <v>9</v>
      </c>
      <c r="V71" s="2">
        <v>638</v>
      </c>
      <c r="W71" s="2">
        <v>20</v>
      </c>
      <c r="X71" s="2">
        <f t="shared" si="39"/>
        <v>658</v>
      </c>
      <c r="Y71" s="2">
        <v>188</v>
      </c>
      <c r="Z71" s="2">
        <v>0</v>
      </c>
      <c r="AA71" s="2">
        <f t="shared" si="40"/>
        <v>188</v>
      </c>
    </row>
    <row r="72" spans="3:27" x14ac:dyDescent="0.15">
      <c r="C72" s="13" t="s">
        <v>111</v>
      </c>
      <c r="D72" s="2">
        <v>349</v>
      </c>
      <c r="E72" s="2">
        <v>34</v>
      </c>
      <c r="F72" s="2">
        <f t="shared" si="33"/>
        <v>383</v>
      </c>
      <c r="G72" s="2">
        <v>61</v>
      </c>
      <c r="H72" s="2">
        <v>5</v>
      </c>
      <c r="I72" s="2">
        <f t="shared" si="34"/>
        <v>66</v>
      </c>
      <c r="J72" s="2">
        <v>458</v>
      </c>
      <c r="K72" s="2">
        <v>24</v>
      </c>
      <c r="L72" s="2">
        <f t="shared" si="35"/>
        <v>482</v>
      </c>
      <c r="M72" s="2">
        <v>657</v>
      </c>
      <c r="N72" s="2">
        <v>6</v>
      </c>
      <c r="O72" s="2">
        <f t="shared" si="36"/>
        <v>663</v>
      </c>
      <c r="P72" s="2">
        <v>1</v>
      </c>
      <c r="Q72" s="2">
        <v>0</v>
      </c>
      <c r="R72" s="2">
        <f t="shared" si="37"/>
        <v>1</v>
      </c>
      <c r="S72" s="2">
        <v>2</v>
      </c>
      <c r="T72" s="2">
        <v>6</v>
      </c>
      <c r="U72" s="2">
        <f t="shared" si="38"/>
        <v>8</v>
      </c>
      <c r="V72" s="2">
        <v>475</v>
      </c>
      <c r="W72" s="2">
        <v>15</v>
      </c>
      <c r="X72" s="2">
        <f t="shared" si="39"/>
        <v>490</v>
      </c>
      <c r="Y72" s="2">
        <v>249</v>
      </c>
      <c r="Z72" s="2">
        <v>0</v>
      </c>
      <c r="AA72" s="2">
        <f t="shared" si="40"/>
        <v>249</v>
      </c>
    </row>
    <row r="73" spans="3:27" x14ac:dyDescent="0.15">
      <c r="C73" s="13" t="s">
        <v>118</v>
      </c>
      <c r="D73" s="2">
        <v>490</v>
      </c>
      <c r="E73" s="2">
        <v>38</v>
      </c>
      <c r="F73" s="2">
        <f t="shared" si="33"/>
        <v>528</v>
      </c>
      <c r="G73" s="2">
        <v>71</v>
      </c>
      <c r="H73" s="2">
        <v>6</v>
      </c>
      <c r="I73" s="2">
        <f t="shared" si="34"/>
        <v>77</v>
      </c>
      <c r="J73" s="2">
        <v>281</v>
      </c>
      <c r="K73" s="2">
        <v>12</v>
      </c>
      <c r="L73" s="2">
        <f t="shared" si="35"/>
        <v>293</v>
      </c>
      <c r="M73" s="2">
        <v>771</v>
      </c>
      <c r="N73" s="2">
        <v>2</v>
      </c>
      <c r="O73" s="2">
        <f t="shared" si="36"/>
        <v>773</v>
      </c>
      <c r="P73" s="2">
        <v>2</v>
      </c>
      <c r="Q73" s="2">
        <v>0</v>
      </c>
      <c r="R73" s="2">
        <f t="shared" si="37"/>
        <v>2</v>
      </c>
      <c r="S73" s="2">
        <v>1</v>
      </c>
      <c r="T73" s="2">
        <v>4</v>
      </c>
      <c r="U73" s="2">
        <f t="shared" si="38"/>
        <v>5</v>
      </c>
      <c r="V73" s="2">
        <v>575</v>
      </c>
      <c r="W73" s="2">
        <v>13</v>
      </c>
      <c r="X73" s="2">
        <f t="shared" si="39"/>
        <v>588</v>
      </c>
      <c r="Y73" s="2">
        <v>243</v>
      </c>
      <c r="Z73" s="2">
        <v>0</v>
      </c>
      <c r="AA73" s="2">
        <f t="shared" si="40"/>
        <v>243</v>
      </c>
    </row>
    <row r="74" spans="3:27" x14ac:dyDescent="0.15">
      <c r="C74" s="13" t="s">
        <v>121</v>
      </c>
      <c r="D74" s="2">
        <v>505</v>
      </c>
      <c r="E74" s="2">
        <v>39</v>
      </c>
      <c r="F74" s="2">
        <f t="shared" si="33"/>
        <v>544</v>
      </c>
      <c r="G74" s="2">
        <v>74</v>
      </c>
      <c r="H74" s="2">
        <v>4</v>
      </c>
      <c r="I74" s="2">
        <f t="shared" si="34"/>
        <v>78</v>
      </c>
      <c r="J74" s="2">
        <v>264</v>
      </c>
      <c r="K74" s="2">
        <v>8</v>
      </c>
      <c r="L74" s="2">
        <f t="shared" si="35"/>
        <v>272</v>
      </c>
      <c r="M74" s="2">
        <v>529</v>
      </c>
      <c r="N74" s="2">
        <v>3</v>
      </c>
      <c r="O74" s="2">
        <f t="shared" si="36"/>
        <v>532</v>
      </c>
      <c r="P74" s="2">
        <v>1</v>
      </c>
      <c r="Q74" s="2">
        <v>0</v>
      </c>
      <c r="R74" s="2">
        <f t="shared" si="37"/>
        <v>1</v>
      </c>
      <c r="S74" s="2">
        <v>1</v>
      </c>
      <c r="T74" s="2">
        <v>5</v>
      </c>
      <c r="U74" s="2">
        <f t="shared" si="38"/>
        <v>6</v>
      </c>
      <c r="V74" s="2">
        <v>423</v>
      </c>
      <c r="W74" s="2">
        <v>10</v>
      </c>
      <c r="X74" s="2">
        <f t="shared" si="39"/>
        <v>433</v>
      </c>
      <c r="Y74" s="2">
        <v>178</v>
      </c>
      <c r="Z74" s="2">
        <v>0</v>
      </c>
      <c r="AA74" s="2">
        <f t="shared" si="40"/>
        <v>178</v>
      </c>
    </row>
    <row r="75" spans="3:27" x14ac:dyDescent="0.15">
      <c r="C75" s="13" t="s">
        <v>123</v>
      </c>
      <c r="D75" s="2">
        <v>91</v>
      </c>
      <c r="E75" s="2">
        <v>22</v>
      </c>
      <c r="F75" s="2">
        <f t="shared" si="33"/>
        <v>113</v>
      </c>
      <c r="G75" s="2">
        <v>53</v>
      </c>
      <c r="H75" s="2">
        <v>9</v>
      </c>
      <c r="I75" s="2">
        <f t="shared" si="34"/>
        <v>62</v>
      </c>
      <c r="J75" s="2">
        <v>116</v>
      </c>
      <c r="K75" s="2">
        <v>20</v>
      </c>
      <c r="L75" s="2">
        <f t="shared" si="35"/>
        <v>136</v>
      </c>
      <c r="M75" s="2">
        <v>606</v>
      </c>
      <c r="N75" s="2">
        <v>7</v>
      </c>
      <c r="O75" s="2">
        <f t="shared" si="36"/>
        <v>613</v>
      </c>
      <c r="P75" s="2">
        <v>3</v>
      </c>
      <c r="Q75" s="2">
        <v>0</v>
      </c>
      <c r="R75" s="2">
        <f t="shared" si="37"/>
        <v>3</v>
      </c>
      <c r="S75" s="2">
        <v>4</v>
      </c>
      <c r="T75" s="2">
        <v>4</v>
      </c>
      <c r="U75" s="2">
        <f t="shared" si="38"/>
        <v>8</v>
      </c>
      <c r="V75" s="2">
        <v>439</v>
      </c>
      <c r="W75" s="2">
        <v>19</v>
      </c>
      <c r="X75" s="2">
        <f t="shared" si="39"/>
        <v>458</v>
      </c>
      <c r="Y75" s="2">
        <v>206</v>
      </c>
      <c r="Z75" s="2">
        <v>0</v>
      </c>
      <c r="AA75" s="2">
        <f t="shared" si="40"/>
        <v>206</v>
      </c>
    </row>
    <row r="76" spans="3:27" x14ac:dyDescent="0.15">
      <c r="C76" s="13" t="s">
        <v>126</v>
      </c>
      <c r="D76" s="2">
        <v>275</v>
      </c>
      <c r="E76" s="2">
        <v>56</v>
      </c>
      <c r="F76" s="2">
        <f t="shared" si="33"/>
        <v>331</v>
      </c>
      <c r="G76" s="2">
        <v>202</v>
      </c>
      <c r="H76" s="2">
        <v>11</v>
      </c>
      <c r="I76" s="2">
        <f t="shared" si="34"/>
        <v>213</v>
      </c>
      <c r="J76" s="2">
        <v>596</v>
      </c>
      <c r="K76" s="2">
        <v>28</v>
      </c>
      <c r="L76" s="2">
        <f t="shared" si="35"/>
        <v>624</v>
      </c>
      <c r="M76" s="2">
        <v>1317</v>
      </c>
      <c r="N76" s="2">
        <v>10</v>
      </c>
      <c r="O76" s="2">
        <f t="shared" si="36"/>
        <v>1327</v>
      </c>
      <c r="P76" s="2">
        <v>7</v>
      </c>
      <c r="Q76" s="2">
        <v>0</v>
      </c>
      <c r="R76" s="2">
        <f t="shared" si="37"/>
        <v>7</v>
      </c>
      <c r="S76" s="2">
        <v>1</v>
      </c>
      <c r="T76" s="2">
        <v>12</v>
      </c>
      <c r="U76" s="2">
        <f t="shared" si="38"/>
        <v>13</v>
      </c>
      <c r="V76" s="2">
        <v>909</v>
      </c>
      <c r="W76" s="2">
        <v>31</v>
      </c>
      <c r="X76" s="2">
        <f t="shared" si="39"/>
        <v>940</v>
      </c>
      <c r="Y76" s="2">
        <v>436</v>
      </c>
      <c r="Z76" s="2">
        <v>0</v>
      </c>
      <c r="AA76" s="2">
        <f t="shared" si="40"/>
        <v>436</v>
      </c>
    </row>
    <row r="77" spans="3:27" x14ac:dyDescent="0.15">
      <c r="C77" s="13" t="s">
        <v>128</v>
      </c>
      <c r="D77" s="2">
        <v>550</v>
      </c>
      <c r="E77" s="2">
        <v>45</v>
      </c>
      <c r="F77" s="2">
        <f t="shared" si="33"/>
        <v>595</v>
      </c>
      <c r="G77" s="2">
        <v>97</v>
      </c>
      <c r="H77" s="2">
        <v>8</v>
      </c>
      <c r="I77" s="2">
        <f t="shared" si="34"/>
        <v>105</v>
      </c>
      <c r="J77" s="2">
        <v>675</v>
      </c>
      <c r="K77" s="2">
        <v>19</v>
      </c>
      <c r="L77" s="2">
        <f t="shared" si="35"/>
        <v>694</v>
      </c>
      <c r="M77" s="2">
        <v>667</v>
      </c>
      <c r="N77" s="2">
        <v>4</v>
      </c>
      <c r="O77" s="2">
        <f t="shared" si="36"/>
        <v>671</v>
      </c>
      <c r="P77" s="2">
        <v>1</v>
      </c>
      <c r="Q77" s="2">
        <v>0</v>
      </c>
      <c r="R77" s="2">
        <f t="shared" si="37"/>
        <v>1</v>
      </c>
      <c r="S77" s="2">
        <v>1</v>
      </c>
      <c r="T77" s="2">
        <v>8</v>
      </c>
      <c r="U77" s="2">
        <f t="shared" si="38"/>
        <v>9</v>
      </c>
      <c r="V77" s="2">
        <v>425</v>
      </c>
      <c r="W77" s="2">
        <v>20</v>
      </c>
      <c r="X77" s="2">
        <f t="shared" si="39"/>
        <v>445</v>
      </c>
      <c r="Y77" s="2">
        <v>247</v>
      </c>
      <c r="Z77" s="2">
        <v>0</v>
      </c>
      <c r="AA77" s="2">
        <f t="shared" si="40"/>
        <v>247</v>
      </c>
    </row>
    <row r="78" spans="3:27" x14ac:dyDescent="0.15">
      <c r="C78" s="13" t="s">
        <v>130</v>
      </c>
      <c r="D78" s="2">
        <v>1504</v>
      </c>
      <c r="E78" s="2">
        <v>34</v>
      </c>
      <c r="F78" s="2">
        <f t="shared" si="33"/>
        <v>1538</v>
      </c>
      <c r="G78" s="2">
        <v>157</v>
      </c>
      <c r="H78" s="2">
        <v>26</v>
      </c>
      <c r="I78" s="2">
        <f t="shared" si="34"/>
        <v>183</v>
      </c>
      <c r="J78" s="2">
        <v>793</v>
      </c>
      <c r="K78" s="2">
        <v>69</v>
      </c>
      <c r="L78" s="2">
        <f t="shared" si="35"/>
        <v>862</v>
      </c>
      <c r="M78" s="2">
        <v>1866</v>
      </c>
      <c r="N78" s="2">
        <v>37</v>
      </c>
      <c r="O78" s="2">
        <f t="shared" si="36"/>
        <v>1903</v>
      </c>
      <c r="P78" s="2">
        <v>8</v>
      </c>
      <c r="Q78" s="2">
        <v>0</v>
      </c>
      <c r="R78" s="2">
        <f t="shared" si="37"/>
        <v>8</v>
      </c>
      <c r="S78" s="2">
        <v>5</v>
      </c>
      <c r="T78" s="2">
        <v>23</v>
      </c>
      <c r="U78" s="2">
        <f t="shared" si="38"/>
        <v>28</v>
      </c>
      <c r="V78" s="2">
        <v>1321</v>
      </c>
      <c r="W78" s="2">
        <v>54</v>
      </c>
      <c r="X78" s="2">
        <f t="shared" si="39"/>
        <v>1375</v>
      </c>
      <c r="Y78" s="2">
        <v>734</v>
      </c>
      <c r="Z78" s="2">
        <v>2</v>
      </c>
      <c r="AA78" s="2">
        <f t="shared" si="40"/>
        <v>736</v>
      </c>
    </row>
    <row r="79" spans="3:27" x14ac:dyDescent="0.15">
      <c r="C79" s="15" t="s">
        <v>132</v>
      </c>
      <c r="D79" s="18">
        <f>SUM(D63:D78)</f>
        <v>12719</v>
      </c>
      <c r="E79" s="18">
        <f t="shared" ref="E79:Z79" si="41">SUM(E63:E78)</f>
        <v>787</v>
      </c>
      <c r="F79" s="18">
        <f t="shared" si="33"/>
        <v>13506</v>
      </c>
      <c r="G79" s="18">
        <f t="shared" si="41"/>
        <v>2561</v>
      </c>
      <c r="H79" s="18">
        <f t="shared" si="41"/>
        <v>269</v>
      </c>
      <c r="I79" s="18">
        <f t="shared" si="34"/>
        <v>2830</v>
      </c>
      <c r="J79" s="18">
        <f t="shared" si="41"/>
        <v>10249</v>
      </c>
      <c r="K79" s="18">
        <f t="shared" si="41"/>
        <v>599</v>
      </c>
      <c r="L79" s="18">
        <f t="shared" si="35"/>
        <v>10848</v>
      </c>
      <c r="M79" s="18">
        <f t="shared" si="41"/>
        <v>20812</v>
      </c>
      <c r="N79" s="18">
        <f t="shared" si="41"/>
        <v>206</v>
      </c>
      <c r="O79" s="18">
        <f t="shared" si="36"/>
        <v>21018</v>
      </c>
      <c r="P79" s="18">
        <f t="shared" si="41"/>
        <v>111</v>
      </c>
      <c r="Q79" s="18">
        <f t="shared" si="41"/>
        <v>0</v>
      </c>
      <c r="R79" s="18">
        <f t="shared" si="37"/>
        <v>111</v>
      </c>
      <c r="S79" s="18">
        <f t="shared" si="41"/>
        <v>88</v>
      </c>
      <c r="T79" s="18">
        <f t="shared" si="41"/>
        <v>204</v>
      </c>
      <c r="U79" s="18">
        <f t="shared" si="38"/>
        <v>292</v>
      </c>
      <c r="V79" s="18">
        <f t="shared" si="41"/>
        <v>15518</v>
      </c>
      <c r="W79" s="18">
        <f t="shared" si="41"/>
        <v>672</v>
      </c>
      <c r="X79" s="18">
        <f t="shared" si="39"/>
        <v>16190</v>
      </c>
      <c r="Y79" s="18">
        <f t="shared" si="41"/>
        <v>7996</v>
      </c>
      <c r="Z79" s="18">
        <f t="shared" si="41"/>
        <v>7</v>
      </c>
      <c r="AA79" s="18">
        <f t="shared" si="40"/>
        <v>8003</v>
      </c>
    </row>
    <row r="82" spans="2:3" x14ac:dyDescent="0.15">
      <c r="B82" s="8" t="s">
        <v>64</v>
      </c>
    </row>
    <row r="84" spans="2:3" x14ac:dyDescent="0.15">
      <c r="B84" s="9" t="s">
        <v>65</v>
      </c>
    </row>
    <row r="85" spans="2:3" x14ac:dyDescent="0.15">
      <c r="B85" s="94" t="s">
        <v>66</v>
      </c>
    </row>
    <row r="86" spans="2:3" ht="16" x14ac:dyDescent="0.25">
      <c r="B86" s="10" t="s">
        <v>67</v>
      </c>
    </row>
    <row r="88" spans="2:3" x14ac:dyDescent="0.15">
      <c r="B88" s="9" t="s">
        <v>68</v>
      </c>
      <c r="C88" s="12">
        <v>44104</v>
      </c>
    </row>
    <row r="89" spans="2:3" x14ac:dyDescent="0.15">
      <c r="B89" s="9" t="s">
        <v>69</v>
      </c>
      <c r="C89" s="12">
        <v>44259</v>
      </c>
    </row>
  </sheetData>
  <sheetProtection algorithmName="SHA-512" hashValue="AIs8bFPEjqSFthgNZPIojJPYzwBQQME0y+d69AiKnwH6WZjprsdE8/U7U0A9+KS0a4wxcppJCO1DBPyqhOExJA==" saltValue="zt6+ga9/RGfkARrPZa7AmA==" spinCount="100000" sheet="1" objects="1" scenarios="1" autoFilter="0"/>
  <mergeCells count="62">
    <mergeCell ref="V56:X56"/>
    <mergeCell ref="V57:X57"/>
    <mergeCell ref="V58:X58"/>
    <mergeCell ref="Y56:AA56"/>
    <mergeCell ref="Y57:AA57"/>
    <mergeCell ref="Y58:AA58"/>
    <mergeCell ref="P56:R56"/>
    <mergeCell ref="P57:R57"/>
    <mergeCell ref="P58:R58"/>
    <mergeCell ref="S56:U56"/>
    <mergeCell ref="S57:U57"/>
    <mergeCell ref="S58:U58"/>
    <mergeCell ref="J56:L56"/>
    <mergeCell ref="J57:L57"/>
    <mergeCell ref="J58:L58"/>
    <mergeCell ref="M56:O56"/>
    <mergeCell ref="M57:O57"/>
    <mergeCell ref="M58:O58"/>
    <mergeCell ref="D56:F56"/>
    <mergeCell ref="D57:F57"/>
    <mergeCell ref="D58:F58"/>
    <mergeCell ref="G56:I56"/>
    <mergeCell ref="G57:I57"/>
    <mergeCell ref="G58:I58"/>
    <mergeCell ref="C3:C4"/>
    <mergeCell ref="D3:AA3"/>
    <mergeCell ref="D4:F4"/>
    <mergeCell ref="G4:I4"/>
    <mergeCell ref="J4:L4"/>
    <mergeCell ref="M4:O4"/>
    <mergeCell ref="P4:R4"/>
    <mergeCell ref="S4:U4"/>
    <mergeCell ref="V4:X4"/>
    <mergeCell ref="Y4:AA4"/>
    <mergeCell ref="B44:B45"/>
    <mergeCell ref="B6:B7"/>
    <mergeCell ref="B8:B10"/>
    <mergeCell ref="B11:B15"/>
    <mergeCell ref="B16:B20"/>
    <mergeCell ref="B21:B23"/>
    <mergeCell ref="B24:B25"/>
    <mergeCell ref="B26:B27"/>
    <mergeCell ref="B28:B29"/>
    <mergeCell ref="B30:B33"/>
    <mergeCell ref="B34:B40"/>
    <mergeCell ref="B41:B43"/>
    <mergeCell ref="B3:B4"/>
    <mergeCell ref="D60:AA60"/>
    <mergeCell ref="D61:F61"/>
    <mergeCell ref="G61:I61"/>
    <mergeCell ref="J61:L61"/>
    <mergeCell ref="M61:O61"/>
    <mergeCell ref="P61:R61"/>
    <mergeCell ref="S61:U61"/>
    <mergeCell ref="V61:X61"/>
    <mergeCell ref="Y61:AA61"/>
    <mergeCell ref="B46:B48"/>
    <mergeCell ref="B49:B50"/>
    <mergeCell ref="B51:B52"/>
    <mergeCell ref="B53:B54"/>
    <mergeCell ref="B55:C55"/>
    <mergeCell ref="C60:C61"/>
  </mergeCells>
  <conditionalFormatting sqref="F6:F53 I6:I54 L6:L54 O6:O54 R6:R54 U6:U54 X6:X54 AA6:AA54">
    <cfRule type="cellIs" dxfId="345" priority="1" operator="equal">
      <formula>0</formula>
    </cfRule>
  </conditionalFormatting>
  <hyperlinks>
    <hyperlink ref="B85" r:id="rId1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L36"/>
  <sheetViews>
    <sheetView topLeftCell="A3" zoomScale="70" zoomScaleNormal="70" workbookViewId="0">
      <pane xSplit="6" ySplit="4" topLeftCell="G21" activePane="bottomRight" state="frozen"/>
      <selection activeCell="A3" sqref="A3"/>
      <selection pane="topRight" activeCell="G3" sqref="G3"/>
      <selection pane="bottomLeft" activeCell="A7" sqref="A7"/>
      <selection pane="bottomRight" activeCell="O28" sqref="O28"/>
    </sheetView>
  </sheetViews>
  <sheetFormatPr baseColWidth="10" defaultColWidth="11" defaultRowHeight="11" x14ac:dyDescent="0.15"/>
  <cols>
    <col min="1" max="1" width="12.6640625" style="22" customWidth="1"/>
    <col min="2" max="2" width="14" style="23" customWidth="1"/>
    <col min="3" max="3" width="9.83203125" style="23" customWidth="1"/>
    <col min="4" max="6" width="14.6640625" style="23" customWidth="1"/>
    <col min="7" max="7" width="16.1640625" style="23" customWidth="1"/>
    <col min="8" max="11" width="14.6640625" style="23" customWidth="1"/>
    <col min="12" max="16384" width="11" style="22"/>
  </cols>
  <sheetData>
    <row r="1" spans="1:12" s="21" customFormat="1" ht="39.75" hidden="1" customHeight="1" x14ac:dyDescent="0.15">
      <c r="B1" s="193"/>
      <c r="C1" s="193"/>
      <c r="D1" s="193"/>
      <c r="E1" s="193"/>
      <c r="F1" s="193"/>
      <c r="G1" s="193"/>
      <c r="H1" s="193"/>
      <c r="I1" s="193"/>
      <c r="J1" s="193"/>
      <c r="K1" s="194"/>
    </row>
    <row r="2" spans="1:12" ht="3" hidden="1" customHeight="1" x14ac:dyDescent="0.15">
      <c r="K2" s="24"/>
    </row>
    <row r="3" spans="1:12" s="21" customFormat="1" ht="38.25" customHeight="1" x14ac:dyDescent="0.15">
      <c r="A3" s="46" t="s">
        <v>158</v>
      </c>
      <c r="B3" s="46" t="s">
        <v>7</v>
      </c>
      <c r="C3" s="26" t="s">
        <v>163</v>
      </c>
      <c r="D3" s="47" t="s">
        <v>225</v>
      </c>
      <c r="E3" s="46" t="s">
        <v>226</v>
      </c>
      <c r="F3" s="46" t="s">
        <v>227</v>
      </c>
      <c r="G3" s="48" t="s">
        <v>228</v>
      </c>
      <c r="H3" s="46" t="s">
        <v>229</v>
      </c>
      <c r="I3" s="46" t="s">
        <v>230</v>
      </c>
      <c r="J3" s="46" t="s">
        <v>231</v>
      </c>
      <c r="K3" s="46" t="s">
        <v>232</v>
      </c>
      <c r="L3" s="25"/>
    </row>
    <row r="4" spans="1:12" s="21" customFormat="1" ht="78" customHeight="1" x14ac:dyDescent="0.15">
      <c r="A4" s="26" t="s">
        <v>164</v>
      </c>
      <c r="B4" s="26" t="s">
        <v>9</v>
      </c>
      <c r="C4" s="27">
        <v>0.3</v>
      </c>
      <c r="D4" s="28" t="s">
        <v>10</v>
      </c>
      <c r="E4" s="28" t="s">
        <v>8</v>
      </c>
      <c r="F4" s="28" t="s">
        <v>10</v>
      </c>
      <c r="G4" s="28" t="s">
        <v>8</v>
      </c>
      <c r="H4" s="28" t="s">
        <v>10</v>
      </c>
      <c r="I4" s="28" t="s">
        <v>10</v>
      </c>
      <c r="J4" s="28" t="s">
        <v>8</v>
      </c>
      <c r="K4" s="28" t="s">
        <v>10</v>
      </c>
    </row>
    <row r="5" spans="1:12" s="21" customFormat="1" ht="71.25" customHeight="1" x14ac:dyDescent="0.15">
      <c r="A5" s="195" t="s">
        <v>185</v>
      </c>
      <c r="B5" s="26" t="s">
        <v>60</v>
      </c>
      <c r="C5" s="197">
        <v>0.1</v>
      </c>
      <c r="D5" s="30" t="s">
        <v>134</v>
      </c>
      <c r="E5" s="31" t="s">
        <v>135</v>
      </c>
      <c r="F5" s="30" t="s">
        <v>136</v>
      </c>
      <c r="G5" s="30" t="s">
        <v>137</v>
      </c>
      <c r="H5" s="50" t="s">
        <v>138</v>
      </c>
      <c r="I5" s="50" t="s">
        <v>139</v>
      </c>
      <c r="J5" s="30" t="s">
        <v>140</v>
      </c>
      <c r="K5" s="50" t="s">
        <v>141</v>
      </c>
    </row>
    <row r="6" spans="1:12" s="21" customFormat="1" ht="51" customHeight="1" x14ac:dyDescent="0.15">
      <c r="A6" s="195"/>
      <c r="B6" s="26" t="s">
        <v>165</v>
      </c>
      <c r="C6" s="195"/>
      <c r="D6" s="31">
        <v>13506</v>
      </c>
      <c r="E6" s="31">
        <v>2830</v>
      </c>
      <c r="F6" s="31">
        <v>10848</v>
      </c>
      <c r="G6" s="31">
        <v>21018</v>
      </c>
      <c r="H6" s="31">
        <v>111</v>
      </c>
      <c r="I6" s="31">
        <v>292</v>
      </c>
      <c r="J6" s="31">
        <v>16190</v>
      </c>
      <c r="K6" s="31">
        <v>8003</v>
      </c>
    </row>
    <row r="7" spans="1:12" s="21" customFormat="1" ht="27.75" customHeight="1" x14ac:dyDescent="0.15">
      <c r="A7" s="26" t="s">
        <v>161</v>
      </c>
      <c r="B7" s="26" t="s">
        <v>166</v>
      </c>
      <c r="C7" s="27">
        <v>0.1</v>
      </c>
      <c r="D7" s="31" t="s">
        <v>45</v>
      </c>
      <c r="E7" s="30" t="s">
        <v>36</v>
      </c>
      <c r="F7" s="32" t="s">
        <v>36</v>
      </c>
      <c r="G7" s="31" t="s">
        <v>8</v>
      </c>
      <c r="H7" s="31" t="s">
        <v>36</v>
      </c>
      <c r="I7" s="31" t="s">
        <v>36</v>
      </c>
      <c r="J7" s="31" t="s">
        <v>36</v>
      </c>
      <c r="K7" s="31" t="s">
        <v>36</v>
      </c>
    </row>
    <row r="8" spans="1:12" s="21" customFormat="1" ht="40.5" customHeight="1" x14ac:dyDescent="0.15">
      <c r="A8" s="26" t="s">
        <v>162</v>
      </c>
      <c r="B8" s="26" t="s">
        <v>167</v>
      </c>
      <c r="C8" s="27">
        <v>0.1</v>
      </c>
      <c r="D8" s="31" t="s">
        <v>36</v>
      </c>
      <c r="E8" s="31" t="s">
        <v>41</v>
      </c>
      <c r="F8" s="31" t="s">
        <v>36</v>
      </c>
      <c r="G8" s="31" t="s">
        <v>8</v>
      </c>
      <c r="H8" s="31" t="s">
        <v>36</v>
      </c>
      <c r="I8" s="31" t="s">
        <v>36</v>
      </c>
      <c r="J8" s="31" t="s">
        <v>36</v>
      </c>
      <c r="K8" s="31" t="s">
        <v>36</v>
      </c>
    </row>
    <row r="9" spans="1:12" ht="46.5" customHeight="1" x14ac:dyDescent="0.15">
      <c r="A9" s="26" t="s">
        <v>179</v>
      </c>
      <c r="B9" s="26" t="s">
        <v>11</v>
      </c>
      <c r="C9" s="27">
        <v>0.1</v>
      </c>
      <c r="D9" s="33" t="s">
        <v>10</v>
      </c>
      <c r="E9" s="33" t="s">
        <v>10</v>
      </c>
      <c r="F9" s="33" t="s">
        <v>10</v>
      </c>
      <c r="G9" s="31" t="s">
        <v>8</v>
      </c>
      <c r="H9" s="33" t="s">
        <v>10</v>
      </c>
      <c r="I9" s="33" t="s">
        <v>10</v>
      </c>
      <c r="J9" s="33" t="s">
        <v>10</v>
      </c>
      <c r="K9" s="33" t="s">
        <v>10</v>
      </c>
    </row>
    <row r="10" spans="1:12" ht="31.5" customHeight="1" x14ac:dyDescent="0.15">
      <c r="A10" s="195" t="s">
        <v>180</v>
      </c>
      <c r="B10" s="26" t="s">
        <v>22</v>
      </c>
      <c r="C10" s="27">
        <v>0.01</v>
      </c>
      <c r="D10" s="28" t="s">
        <v>147</v>
      </c>
      <c r="E10" s="28" t="s">
        <v>148</v>
      </c>
      <c r="F10" s="28" t="s">
        <v>154</v>
      </c>
      <c r="G10" s="28" t="s">
        <v>149</v>
      </c>
      <c r="H10" s="28" t="s">
        <v>155</v>
      </c>
      <c r="I10" s="28" t="s">
        <v>156</v>
      </c>
      <c r="J10" s="28" t="s">
        <v>156</v>
      </c>
      <c r="K10" s="28" t="s">
        <v>151</v>
      </c>
    </row>
    <row r="11" spans="1:12" ht="31.5" customHeight="1" x14ac:dyDescent="0.15">
      <c r="A11" s="195"/>
      <c r="B11" s="26" t="s">
        <v>63</v>
      </c>
      <c r="C11" s="27">
        <v>0.01</v>
      </c>
      <c r="D11" s="28" t="s">
        <v>10</v>
      </c>
      <c r="E11" s="28" t="s">
        <v>10</v>
      </c>
      <c r="F11" s="28" t="s">
        <v>17</v>
      </c>
      <c r="G11" s="28" t="s">
        <v>17</v>
      </c>
      <c r="H11" s="28" t="s">
        <v>152</v>
      </c>
      <c r="I11" s="28" t="s">
        <v>17</v>
      </c>
      <c r="J11" s="28" t="s">
        <v>153</v>
      </c>
      <c r="K11" s="28" t="s">
        <v>10</v>
      </c>
    </row>
    <row r="12" spans="1:12" ht="31.5" customHeight="1" x14ac:dyDescent="0.15">
      <c r="A12" s="195"/>
      <c r="B12" s="26" t="s">
        <v>23</v>
      </c>
      <c r="C12" s="27">
        <v>0.03</v>
      </c>
      <c r="D12" s="28" t="s">
        <v>10</v>
      </c>
      <c r="E12" s="28" t="s">
        <v>10</v>
      </c>
      <c r="F12" s="28" t="s">
        <v>10</v>
      </c>
      <c r="G12" s="28" t="s">
        <v>17</v>
      </c>
      <c r="H12" s="28" t="s">
        <v>10</v>
      </c>
      <c r="I12" s="28" t="s">
        <v>10</v>
      </c>
      <c r="J12" s="28" t="s">
        <v>10</v>
      </c>
      <c r="K12" s="28" t="s">
        <v>10</v>
      </c>
    </row>
    <row r="13" spans="1:12" ht="30" customHeight="1" x14ac:dyDescent="0.15">
      <c r="A13" s="195" t="s">
        <v>188</v>
      </c>
      <c r="B13" s="26" t="s">
        <v>51</v>
      </c>
      <c r="C13" s="34">
        <v>2.5000000000000001E-2</v>
      </c>
      <c r="D13" s="35" t="s">
        <v>54</v>
      </c>
      <c r="E13" s="35" t="s">
        <v>55</v>
      </c>
      <c r="F13" s="35" t="s">
        <v>54</v>
      </c>
      <c r="G13" s="35" t="s">
        <v>54</v>
      </c>
      <c r="H13" s="35" t="s">
        <v>56</v>
      </c>
      <c r="I13" s="35" t="s">
        <v>54</v>
      </c>
      <c r="J13" s="35" t="s">
        <v>54</v>
      </c>
      <c r="K13" s="35" t="s">
        <v>54</v>
      </c>
    </row>
    <row r="14" spans="1:12" ht="30" customHeight="1" x14ac:dyDescent="0.15">
      <c r="A14" s="195"/>
      <c r="B14" s="26" t="s">
        <v>52</v>
      </c>
      <c r="C14" s="34">
        <v>2.5000000000000001E-2</v>
      </c>
      <c r="D14" s="33" t="s">
        <v>59</v>
      </c>
      <c r="E14" s="33" t="s">
        <v>57</v>
      </c>
      <c r="F14" s="33" t="s">
        <v>59</v>
      </c>
      <c r="G14" s="36" t="s">
        <v>59</v>
      </c>
      <c r="H14" s="33" t="s">
        <v>58</v>
      </c>
      <c r="I14" s="33" t="s">
        <v>57</v>
      </c>
      <c r="J14" s="33" t="s">
        <v>53</v>
      </c>
      <c r="K14" s="33" t="s">
        <v>53</v>
      </c>
    </row>
    <row r="15" spans="1:12" s="39" customFormat="1" ht="28.5" customHeight="1" x14ac:dyDescent="0.15">
      <c r="A15" s="199" t="s">
        <v>204</v>
      </c>
      <c r="B15" s="26" t="s">
        <v>150</v>
      </c>
      <c r="C15" s="27">
        <v>0.01</v>
      </c>
      <c r="D15" s="37" t="s">
        <v>46</v>
      </c>
      <c r="E15" s="37" t="s">
        <v>47</v>
      </c>
      <c r="F15" s="37">
        <v>2</v>
      </c>
      <c r="G15" s="38" t="s">
        <v>12</v>
      </c>
      <c r="H15" s="37">
        <v>3</v>
      </c>
      <c r="I15" s="28">
        <v>2</v>
      </c>
      <c r="J15" s="37">
        <v>3</v>
      </c>
      <c r="K15" s="37" t="s">
        <v>12</v>
      </c>
    </row>
    <row r="16" spans="1:12" ht="28.5" customHeight="1" x14ac:dyDescent="0.15">
      <c r="A16" s="200"/>
      <c r="B16" s="26" t="s">
        <v>5</v>
      </c>
      <c r="C16" s="27">
        <v>0.01</v>
      </c>
      <c r="D16" s="38" t="s">
        <v>36</v>
      </c>
      <c r="E16" s="38" t="s">
        <v>8</v>
      </c>
      <c r="F16" s="38" t="s">
        <v>36</v>
      </c>
      <c r="G16" s="28" t="s">
        <v>8</v>
      </c>
      <c r="H16" s="38" t="s">
        <v>8</v>
      </c>
      <c r="I16" s="38" t="s">
        <v>36</v>
      </c>
      <c r="J16" s="38" t="s">
        <v>8</v>
      </c>
      <c r="K16" s="38" t="s">
        <v>8</v>
      </c>
    </row>
    <row r="17" spans="1:11" ht="28.5" customHeight="1" x14ac:dyDescent="0.15">
      <c r="A17" s="200"/>
      <c r="B17" s="26" t="s">
        <v>4</v>
      </c>
      <c r="C17" s="27">
        <v>0.01</v>
      </c>
      <c r="D17" s="38" t="s">
        <v>10</v>
      </c>
      <c r="E17" s="38" t="s">
        <v>8</v>
      </c>
      <c r="F17" s="38" t="s">
        <v>36</v>
      </c>
      <c r="G17" s="28" t="s">
        <v>8</v>
      </c>
      <c r="H17" s="38" t="s">
        <v>8</v>
      </c>
      <c r="I17" s="38" t="s">
        <v>36</v>
      </c>
      <c r="J17" s="38" t="s">
        <v>8</v>
      </c>
      <c r="K17" s="38" t="s">
        <v>8</v>
      </c>
    </row>
    <row r="18" spans="1:11" ht="28.5" customHeight="1" x14ac:dyDescent="0.15">
      <c r="A18" s="200"/>
      <c r="B18" s="26" t="s">
        <v>3</v>
      </c>
      <c r="C18" s="27">
        <v>0.01</v>
      </c>
      <c r="D18" s="38" t="s">
        <v>10</v>
      </c>
      <c r="E18" s="38" t="s">
        <v>8</v>
      </c>
      <c r="F18" s="38" t="s">
        <v>36</v>
      </c>
      <c r="G18" s="28" t="s">
        <v>8</v>
      </c>
      <c r="H18" s="38" t="s">
        <v>8</v>
      </c>
      <c r="I18" s="38" t="s">
        <v>36</v>
      </c>
      <c r="J18" s="38" t="s">
        <v>8</v>
      </c>
      <c r="K18" s="38" t="s">
        <v>8</v>
      </c>
    </row>
    <row r="19" spans="1:11" ht="28.5" customHeight="1" x14ac:dyDescent="0.15">
      <c r="A19" s="201"/>
      <c r="B19" s="29" t="s">
        <v>205</v>
      </c>
      <c r="C19" s="49">
        <v>0.01</v>
      </c>
      <c r="D19" s="38" t="s">
        <v>36</v>
      </c>
      <c r="E19" s="38" t="s">
        <v>8</v>
      </c>
      <c r="F19" s="38" t="s">
        <v>36</v>
      </c>
      <c r="G19" s="28" t="s">
        <v>8</v>
      </c>
      <c r="H19" s="38" t="s">
        <v>8</v>
      </c>
      <c r="I19" s="38" t="s">
        <v>36</v>
      </c>
      <c r="J19" s="38" t="s">
        <v>8</v>
      </c>
      <c r="K19" s="38" t="s">
        <v>8</v>
      </c>
    </row>
    <row r="20" spans="1:11" ht="45.75" customHeight="1" x14ac:dyDescent="0.15">
      <c r="A20" s="26" t="s">
        <v>206</v>
      </c>
      <c r="B20" s="26" t="s">
        <v>169</v>
      </c>
      <c r="C20" s="27">
        <v>0.05</v>
      </c>
      <c r="D20" s="31" t="s">
        <v>17</v>
      </c>
      <c r="E20" s="31" t="s">
        <v>17</v>
      </c>
      <c r="F20" s="31" t="s">
        <v>17</v>
      </c>
      <c r="G20" s="31" t="s">
        <v>17</v>
      </c>
      <c r="H20" s="31" t="s">
        <v>17</v>
      </c>
      <c r="I20" s="31" t="s">
        <v>17</v>
      </c>
      <c r="J20" s="31" t="s">
        <v>17</v>
      </c>
      <c r="K20" s="31" t="s">
        <v>17</v>
      </c>
    </row>
    <row r="21" spans="1:11" ht="22.5" customHeight="1" x14ac:dyDescent="0.15">
      <c r="A21" s="195" t="s">
        <v>181</v>
      </c>
      <c r="B21" s="26" t="s">
        <v>13</v>
      </c>
      <c r="C21" s="198">
        <v>2.5000000000000001E-2</v>
      </c>
      <c r="D21" s="38" t="s">
        <v>19</v>
      </c>
      <c r="E21" s="38" t="s">
        <v>27</v>
      </c>
      <c r="F21" s="28" t="s">
        <v>19</v>
      </c>
      <c r="G21" s="38" t="s">
        <v>19</v>
      </c>
      <c r="H21" s="38" t="s">
        <v>24</v>
      </c>
      <c r="I21" s="28" t="s">
        <v>19</v>
      </c>
      <c r="J21" s="38" t="s">
        <v>19</v>
      </c>
      <c r="K21" s="28" t="s">
        <v>19</v>
      </c>
    </row>
    <row r="22" spans="1:11" ht="22.5" customHeight="1" x14ac:dyDescent="0.15">
      <c r="A22" s="195"/>
      <c r="B22" s="26" t="s">
        <v>14</v>
      </c>
      <c r="C22" s="195"/>
      <c r="D22" s="38" t="s">
        <v>26</v>
      </c>
      <c r="E22" s="38" t="s">
        <v>49</v>
      </c>
      <c r="F22" s="38" t="s">
        <v>39</v>
      </c>
      <c r="G22" s="38" t="s">
        <v>20</v>
      </c>
      <c r="H22" s="38" t="s">
        <v>25</v>
      </c>
      <c r="I22" s="38" t="s">
        <v>37</v>
      </c>
      <c r="J22" s="38" t="s">
        <v>42</v>
      </c>
      <c r="K22" s="51">
        <v>6500</v>
      </c>
    </row>
    <row r="23" spans="1:11" ht="22.5" customHeight="1" x14ac:dyDescent="0.15">
      <c r="A23" s="195"/>
      <c r="B23" s="26" t="s">
        <v>15</v>
      </c>
      <c r="C23" s="195"/>
      <c r="D23" s="44" t="s">
        <v>40</v>
      </c>
      <c r="E23" s="52">
        <v>5.0000000000000001E-4</v>
      </c>
      <c r="F23" s="28" t="s">
        <v>40</v>
      </c>
      <c r="G23" s="38" t="s">
        <v>50</v>
      </c>
      <c r="H23" s="28" t="s">
        <v>38</v>
      </c>
      <c r="I23" s="28" t="s">
        <v>38</v>
      </c>
      <c r="J23" s="28" t="s">
        <v>43</v>
      </c>
      <c r="K23" s="28" t="s">
        <v>40</v>
      </c>
    </row>
    <row r="24" spans="1:11" ht="19.5" customHeight="1" x14ac:dyDescent="0.15">
      <c r="A24" s="195"/>
      <c r="B24" s="26" t="s">
        <v>18</v>
      </c>
      <c r="C24" s="34">
        <v>2.5000000000000001E-2</v>
      </c>
      <c r="D24" s="28" t="s">
        <v>17</v>
      </c>
      <c r="E24" s="28" t="s">
        <v>17</v>
      </c>
      <c r="F24" s="28" t="s">
        <v>17</v>
      </c>
      <c r="G24" s="38" t="s">
        <v>17</v>
      </c>
      <c r="H24" s="28" t="s">
        <v>17</v>
      </c>
      <c r="I24" s="28" t="s">
        <v>17</v>
      </c>
      <c r="J24" s="28" t="s">
        <v>17</v>
      </c>
      <c r="K24" s="28" t="s">
        <v>17</v>
      </c>
    </row>
    <row r="25" spans="1:11" ht="20.25" customHeight="1" x14ac:dyDescent="0.15">
      <c r="A25" s="195" t="s">
        <v>182</v>
      </c>
      <c r="B25" s="26" t="s">
        <v>35</v>
      </c>
      <c r="C25" s="34">
        <v>2.5000000000000001E-2</v>
      </c>
      <c r="D25" s="33" t="s">
        <v>10</v>
      </c>
      <c r="E25" s="33" t="s">
        <v>17</v>
      </c>
      <c r="F25" s="33" t="s">
        <v>10</v>
      </c>
      <c r="G25" s="40" t="s">
        <v>17</v>
      </c>
      <c r="H25" s="33" t="s">
        <v>10</v>
      </c>
      <c r="I25" s="33" t="s">
        <v>10</v>
      </c>
      <c r="J25" s="33" t="s">
        <v>17</v>
      </c>
      <c r="K25" s="33" t="s">
        <v>10</v>
      </c>
    </row>
    <row r="26" spans="1:11" s="41" customFormat="1" ht="37.5" customHeight="1" x14ac:dyDescent="0.15">
      <c r="A26" s="195"/>
      <c r="B26" s="26" t="s">
        <v>21</v>
      </c>
      <c r="C26" s="34">
        <v>2.5000000000000001E-2</v>
      </c>
      <c r="D26" s="31" t="s">
        <v>17</v>
      </c>
      <c r="E26" s="31" t="s">
        <v>17</v>
      </c>
      <c r="F26" s="31" t="s">
        <v>17</v>
      </c>
      <c r="G26" s="31" t="s">
        <v>17</v>
      </c>
      <c r="H26" s="31" t="s">
        <v>17</v>
      </c>
      <c r="I26" s="31" t="s">
        <v>17</v>
      </c>
      <c r="J26" s="31" t="s">
        <v>17</v>
      </c>
      <c r="K26" s="31" t="s">
        <v>17</v>
      </c>
    </row>
    <row r="27" spans="1:11" ht="49.5" customHeight="1" x14ac:dyDescent="0.15">
      <c r="A27" s="26" t="s">
        <v>168</v>
      </c>
      <c r="B27" s="26" t="s">
        <v>143</v>
      </c>
      <c r="C27" s="27">
        <v>0</v>
      </c>
      <c r="D27" s="28" t="s">
        <v>17</v>
      </c>
      <c r="E27" s="28" t="s">
        <v>17</v>
      </c>
      <c r="F27" s="28" t="s">
        <v>17</v>
      </c>
      <c r="G27" s="28" t="s">
        <v>17</v>
      </c>
      <c r="H27" s="28" t="s">
        <v>17</v>
      </c>
      <c r="I27" s="28" t="s">
        <v>10</v>
      </c>
      <c r="J27" s="28" t="s">
        <v>17</v>
      </c>
      <c r="K27" s="28" t="s">
        <v>10</v>
      </c>
    </row>
    <row r="28" spans="1:11" ht="27.75" customHeight="1" x14ac:dyDescent="0.15">
      <c r="A28" s="196" t="s">
        <v>183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</row>
    <row r="29" spans="1:11" s="41" customFormat="1" ht="37.5" customHeight="1" x14ac:dyDescent="0.15">
      <c r="A29" s="195" t="s">
        <v>184</v>
      </c>
      <c r="B29" s="195"/>
      <c r="C29" s="195"/>
      <c r="D29" s="85">
        <v>0.1</v>
      </c>
      <c r="E29" s="85">
        <v>1</v>
      </c>
      <c r="F29" s="85">
        <v>0.1</v>
      </c>
      <c r="G29" s="85">
        <v>1</v>
      </c>
      <c r="H29" s="85">
        <v>0.1</v>
      </c>
      <c r="I29" s="85">
        <v>0.1</v>
      </c>
      <c r="J29" s="85">
        <v>1</v>
      </c>
      <c r="K29" s="85">
        <v>0.1</v>
      </c>
    </row>
    <row r="30" spans="1:11" ht="37.5" customHeight="1" x14ac:dyDescent="0.15">
      <c r="A30" s="195" t="s">
        <v>175</v>
      </c>
      <c r="B30" s="195" t="s">
        <v>61</v>
      </c>
      <c r="C30" s="195"/>
      <c r="D30" s="86">
        <v>1.6906129999999998E-2</v>
      </c>
      <c r="E30" s="86">
        <f>1.690613%-0.05%</f>
        <v>1.6406129999999998E-2</v>
      </c>
      <c r="F30" s="86">
        <v>1.6906129999999998E-2</v>
      </c>
      <c r="G30" s="87">
        <f>1.690613%-0.5%</f>
        <v>1.1906129999999997E-2</v>
      </c>
      <c r="H30" s="86">
        <f>1.690613%-0.5%</f>
        <v>1.1906129999999997E-2</v>
      </c>
      <c r="I30" s="86">
        <f>1.690613%-0.5%</f>
        <v>1.1906129999999997E-2</v>
      </c>
      <c r="J30" s="86">
        <f>1.690613%-0.1%</f>
        <v>1.5906129999999997E-2</v>
      </c>
      <c r="K30" s="86">
        <v>1.6906129999999998E-2</v>
      </c>
    </row>
    <row r="31" spans="1:11" ht="37.5" customHeight="1" x14ac:dyDescent="0.15">
      <c r="A31" s="195"/>
      <c r="B31" s="195" t="s">
        <v>157</v>
      </c>
      <c r="C31" s="195"/>
      <c r="D31" s="45">
        <f>(7460000000)*D30</f>
        <v>126119729.79999998</v>
      </c>
      <c r="E31" s="45">
        <f>((36165000000)*E30)*0.666</f>
        <v>395156242.50569999</v>
      </c>
      <c r="F31" s="45">
        <f>(9000000000)*F30</f>
        <v>152155170</v>
      </c>
      <c r="G31" s="45">
        <f>(25000000000)*G30</f>
        <v>297653249.99999994</v>
      </c>
      <c r="H31" s="45">
        <f>((9600000000)*H30)*0.7333</f>
        <v>83815345.238399968</v>
      </c>
      <c r="I31" s="45">
        <f>(2000000000)*I30</f>
        <v>23812259.999999996</v>
      </c>
      <c r="J31" s="45">
        <f>(60244000000)*J30</f>
        <v>958248895.71999979</v>
      </c>
      <c r="K31" s="45">
        <f>(6500000000)*K30</f>
        <v>109889844.99999999</v>
      </c>
    </row>
    <row r="32" spans="1:11" ht="37.5" customHeight="1" x14ac:dyDescent="0.15">
      <c r="A32" s="195"/>
      <c r="B32" s="195" t="s">
        <v>174</v>
      </c>
      <c r="C32" s="195"/>
      <c r="D32" s="42">
        <f t="shared" ref="D32:I32" si="0">D31/12</f>
        <v>10509977.483333332</v>
      </c>
      <c r="E32" s="42">
        <f t="shared" si="0"/>
        <v>32929686.875475001</v>
      </c>
      <c r="F32" s="42">
        <f t="shared" si="0"/>
        <v>12679597.5</v>
      </c>
      <c r="G32" s="45">
        <f t="shared" si="0"/>
        <v>24804437.499999996</v>
      </c>
      <c r="H32" s="42">
        <f t="shared" si="0"/>
        <v>6984612.103199997</v>
      </c>
      <c r="I32" s="42">
        <f t="shared" si="0"/>
        <v>1984354.9999999998</v>
      </c>
      <c r="J32" s="42">
        <f t="shared" ref="J32:K32" si="1">J31/12</f>
        <v>79854074.643333316</v>
      </c>
      <c r="K32" s="42">
        <f t="shared" si="1"/>
        <v>9157487.0833333321</v>
      </c>
    </row>
    <row r="33" spans="1:11" ht="36" customHeight="1" x14ac:dyDescent="0.15">
      <c r="A33" s="195" t="s">
        <v>142</v>
      </c>
      <c r="B33" s="195"/>
      <c r="C33" s="195"/>
      <c r="D33" s="42" t="s">
        <v>10</v>
      </c>
      <c r="E33" s="53" t="s">
        <v>17</v>
      </c>
      <c r="F33" s="42" t="s">
        <v>10</v>
      </c>
      <c r="G33" s="43" t="s">
        <v>17</v>
      </c>
      <c r="H33" s="42" t="s">
        <v>10</v>
      </c>
      <c r="I33" s="42" t="s">
        <v>10</v>
      </c>
      <c r="J33" s="53" t="s">
        <v>17</v>
      </c>
      <c r="K33" s="42" t="s">
        <v>10</v>
      </c>
    </row>
    <row r="34" spans="1:11" ht="63" customHeight="1" x14ac:dyDescent="0.15">
      <c r="A34" s="195" t="s">
        <v>171</v>
      </c>
      <c r="B34" s="195"/>
      <c r="C34" s="195"/>
      <c r="D34" s="31" t="s">
        <v>212</v>
      </c>
      <c r="E34" s="38" t="s">
        <v>172</v>
      </c>
      <c r="F34" s="31" t="s">
        <v>144</v>
      </c>
      <c r="G34" s="31" t="s">
        <v>173</v>
      </c>
      <c r="H34" s="31" t="s">
        <v>145</v>
      </c>
      <c r="I34" s="31" t="s">
        <v>146</v>
      </c>
      <c r="J34" s="31" t="s">
        <v>172</v>
      </c>
      <c r="K34" s="31" t="s">
        <v>44</v>
      </c>
    </row>
    <row r="35" spans="1:11" x14ac:dyDescent="0.15">
      <c r="A35" s="191" t="s">
        <v>209</v>
      </c>
      <c r="B35" s="191"/>
      <c r="C35" s="191"/>
      <c r="D35" s="191"/>
      <c r="E35" s="191"/>
      <c r="F35" s="191"/>
      <c r="G35" s="191"/>
      <c r="H35" s="191"/>
      <c r="I35" s="191"/>
      <c r="J35" s="191"/>
      <c r="K35" s="191"/>
    </row>
    <row r="36" spans="1:11" x14ac:dyDescent="0.15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</row>
  </sheetData>
  <mergeCells count="18">
    <mergeCell ref="C21:C23"/>
    <mergeCell ref="A15:A19"/>
    <mergeCell ref="A35:K36"/>
    <mergeCell ref="B1:K1"/>
    <mergeCell ref="A5:A6"/>
    <mergeCell ref="A10:A12"/>
    <mergeCell ref="A13:A14"/>
    <mergeCell ref="A34:C34"/>
    <mergeCell ref="A30:A32"/>
    <mergeCell ref="B30:C30"/>
    <mergeCell ref="A33:C33"/>
    <mergeCell ref="A25:A26"/>
    <mergeCell ref="A28:K28"/>
    <mergeCell ref="A29:C29"/>
    <mergeCell ref="B31:C31"/>
    <mergeCell ref="B32:C32"/>
    <mergeCell ref="A21:A24"/>
    <mergeCell ref="C5:C6"/>
  </mergeCells>
  <conditionalFormatting sqref="E6:K6 E15 G15 D7:K10 D4:K4 D12:K12 D11:G11 K11 I11 E16:G18 H14:H18 J14:K18 I16:I18 D15:D18 D20:K27">
    <cfRule type="cellIs" dxfId="344" priority="89" operator="equal">
      <formula>"NO"</formula>
    </cfRule>
  </conditionalFormatting>
  <conditionalFormatting sqref="I9:I13 E9:F13 G9:H10 E6:K8 J9:K10 D4:K4 K11 G11 J12:K18 G12:H13 I16:I18 F16:F18 D7:D13 D15:E18 G15:H18 H14 D20:K27">
    <cfRule type="containsText" dxfId="343" priority="84" operator="containsText" text="100%">
      <formula>NOT(ISERROR(SEARCH("100%",D4)))</formula>
    </cfRule>
    <cfRule type="containsText" dxfId="342" priority="85" operator="containsText" text="no">
      <formula>NOT(ISERROR(SEARCH("no",D4)))</formula>
    </cfRule>
    <cfRule type="containsText" dxfId="341" priority="86" operator="containsText" text="si">
      <formula>NOT(ISERROR(SEARCH("si",D4)))</formula>
    </cfRule>
    <cfRule type="cellIs" dxfId="340" priority="87" operator="equal">
      <formula>1</formula>
    </cfRule>
    <cfRule type="cellIs" dxfId="339" priority="88" operator="equal">
      <formula>"no"</formula>
    </cfRule>
  </conditionalFormatting>
  <conditionalFormatting sqref="D5">
    <cfRule type="cellIs" dxfId="338" priority="83" operator="equal">
      <formula>"NO"</formula>
    </cfRule>
  </conditionalFormatting>
  <conditionalFormatting sqref="D5">
    <cfRule type="containsText" dxfId="337" priority="78" operator="containsText" text="100%">
      <formula>NOT(ISERROR(SEARCH("100%",D5)))</formula>
    </cfRule>
    <cfRule type="containsText" dxfId="336" priority="79" operator="containsText" text="no">
      <formula>NOT(ISERROR(SEARCH("no",D5)))</formula>
    </cfRule>
    <cfRule type="containsText" dxfId="335" priority="80" operator="containsText" text="si">
      <formula>NOT(ISERROR(SEARCH("si",D5)))</formula>
    </cfRule>
    <cfRule type="cellIs" dxfId="334" priority="81" operator="equal">
      <formula>1</formula>
    </cfRule>
    <cfRule type="cellIs" dxfId="333" priority="82" operator="equal">
      <formula>"no"</formula>
    </cfRule>
  </conditionalFormatting>
  <conditionalFormatting sqref="G5">
    <cfRule type="cellIs" dxfId="332" priority="77" operator="equal">
      <formula>"NO"</formula>
    </cfRule>
  </conditionalFormatting>
  <conditionalFormatting sqref="G5">
    <cfRule type="containsText" dxfId="331" priority="72" operator="containsText" text="100%">
      <formula>NOT(ISERROR(SEARCH("100%",G5)))</formula>
    </cfRule>
    <cfRule type="containsText" dxfId="330" priority="73" operator="containsText" text="no">
      <formula>NOT(ISERROR(SEARCH("no",G5)))</formula>
    </cfRule>
    <cfRule type="containsText" dxfId="329" priority="74" operator="containsText" text="si">
      <formula>NOT(ISERROR(SEARCH("si",G5)))</formula>
    </cfRule>
    <cfRule type="cellIs" dxfId="328" priority="75" operator="equal">
      <formula>1</formula>
    </cfRule>
    <cfRule type="cellIs" dxfId="327" priority="76" operator="equal">
      <formula>"no"</formula>
    </cfRule>
  </conditionalFormatting>
  <conditionalFormatting sqref="J5">
    <cfRule type="cellIs" dxfId="326" priority="71" operator="equal">
      <formula>"NO"</formula>
    </cfRule>
  </conditionalFormatting>
  <conditionalFormatting sqref="J5">
    <cfRule type="containsText" dxfId="325" priority="66" operator="containsText" text="100%">
      <formula>NOT(ISERROR(SEARCH("100%",J5)))</formula>
    </cfRule>
    <cfRule type="containsText" dxfId="324" priority="67" operator="containsText" text="no">
      <formula>NOT(ISERROR(SEARCH("no",J5)))</formula>
    </cfRule>
    <cfRule type="containsText" dxfId="323" priority="68" operator="containsText" text="si">
      <formula>NOT(ISERROR(SEARCH("si",J5)))</formula>
    </cfRule>
    <cfRule type="cellIs" dxfId="322" priority="69" operator="equal">
      <formula>1</formula>
    </cfRule>
    <cfRule type="cellIs" dxfId="321" priority="70" operator="equal">
      <formula>"no"</formula>
    </cfRule>
  </conditionalFormatting>
  <conditionalFormatting sqref="D6">
    <cfRule type="cellIs" dxfId="320" priority="65" operator="equal">
      <formula>"NO"</formula>
    </cfRule>
  </conditionalFormatting>
  <conditionalFormatting sqref="D6">
    <cfRule type="containsText" dxfId="319" priority="60" operator="containsText" text="100%">
      <formula>NOT(ISERROR(SEARCH("100%",D6)))</formula>
    </cfRule>
    <cfRule type="containsText" dxfId="318" priority="61" operator="containsText" text="no">
      <formula>NOT(ISERROR(SEARCH("no",D6)))</formula>
    </cfRule>
    <cfRule type="containsText" dxfId="317" priority="62" operator="containsText" text="si">
      <formula>NOT(ISERROR(SEARCH("si",D6)))</formula>
    </cfRule>
    <cfRule type="cellIs" dxfId="316" priority="63" operator="equal">
      <formula>1</formula>
    </cfRule>
    <cfRule type="cellIs" dxfId="315" priority="64" operator="equal">
      <formula>"no"</formula>
    </cfRule>
  </conditionalFormatting>
  <conditionalFormatting sqref="D6:K6">
    <cfRule type="cellIs" dxfId="314" priority="59" operator="greaterThan">
      <formula>9100</formula>
    </cfRule>
  </conditionalFormatting>
  <conditionalFormatting sqref="F5">
    <cfRule type="cellIs" dxfId="313" priority="58" operator="equal">
      <formula>"NO"</formula>
    </cfRule>
  </conditionalFormatting>
  <conditionalFormatting sqref="F5">
    <cfRule type="containsText" dxfId="312" priority="53" operator="containsText" text="100%">
      <formula>NOT(ISERROR(SEARCH("100%",F5)))</formula>
    </cfRule>
    <cfRule type="containsText" dxfId="311" priority="54" operator="containsText" text="no">
      <formula>NOT(ISERROR(SEARCH("no",F5)))</formula>
    </cfRule>
    <cfRule type="containsText" dxfId="310" priority="55" operator="containsText" text="si">
      <formula>NOT(ISERROR(SEARCH("si",F5)))</formula>
    </cfRule>
    <cfRule type="cellIs" dxfId="309" priority="56" operator="equal">
      <formula>1</formula>
    </cfRule>
    <cfRule type="cellIs" dxfId="308" priority="57" operator="equal">
      <formula>"no"</formula>
    </cfRule>
  </conditionalFormatting>
  <conditionalFormatting sqref="D20:K20">
    <cfRule type="containsText" dxfId="307" priority="44" operator="containsText" text="capacitación">
      <formula>NOT(ISERROR(SEARCH("capacitación",D20)))</formula>
    </cfRule>
  </conditionalFormatting>
  <conditionalFormatting sqref="E23 G23:J23">
    <cfRule type="cellIs" dxfId="306" priority="40" operator="lessThan">
      <formula>0.0049</formula>
    </cfRule>
    <cfRule type="cellIs" dxfId="305" priority="41" operator="lessThan">
      <formula>0.005</formula>
    </cfRule>
  </conditionalFormatting>
  <conditionalFormatting sqref="G23:J23">
    <cfRule type="cellIs" dxfId="304" priority="39" operator="lessThan">
      <formula>0.49</formula>
    </cfRule>
  </conditionalFormatting>
  <conditionalFormatting sqref="D23:K23">
    <cfRule type="containsText" dxfId="303" priority="36" operator="containsText" text="0,1">
      <formula>NOT(ISERROR(SEARCH("0,1",D23)))</formula>
    </cfRule>
    <cfRule type="cellIs" dxfId="302" priority="37" operator="lessThan">
      <formula>0.004</formula>
    </cfRule>
    <cfRule type="containsText" dxfId="301" priority="38" operator="containsText" text="0,50">
      <formula>NOT(ISERROR(SEARCH("0,50",D23)))</formula>
    </cfRule>
  </conditionalFormatting>
  <conditionalFormatting sqref="D13:K13 H14:K14">
    <cfRule type="containsText" dxfId="300" priority="34" operator="containsText" text="AAA">
      <formula>NOT(ISERROR(SEARCH("AAA",D13)))</formula>
    </cfRule>
  </conditionalFormatting>
  <conditionalFormatting sqref="D15:E15 J15:K15 G15:H15">
    <cfRule type="cellIs" dxfId="299" priority="32" operator="equal">
      <formula>2</formula>
    </cfRule>
    <cfRule type="containsText" dxfId="298" priority="33" operator="containsText" text="3">
      <formula>NOT(ISERROR(SEARCH("3",D15)))</formula>
    </cfRule>
  </conditionalFormatting>
  <conditionalFormatting sqref="H14:I14">
    <cfRule type="containsText" dxfId="297" priority="31" operator="containsText" text="BBB">
      <formula>NOT(ISERROR(SEARCH("BBB",H14)))</formula>
    </cfRule>
  </conditionalFormatting>
  <conditionalFormatting sqref="E34:J34">
    <cfRule type="containsText" dxfId="296" priority="11" operator="containsText" text="n.a.">
      <formula>NOT(ISERROR(SEARCH("n.a.",E34)))</formula>
    </cfRule>
  </conditionalFormatting>
  <conditionalFormatting sqref="D29:K29">
    <cfRule type="cellIs" dxfId="295" priority="9" operator="equal">
      <formula>1</formula>
    </cfRule>
    <cfRule type="cellIs" dxfId="294" priority="10" operator="lessThan">
      <formula>0.99</formula>
    </cfRule>
  </conditionalFormatting>
  <conditionalFormatting sqref="F34 I34 D34 D30:K33">
    <cfRule type="cellIs" dxfId="293" priority="27" operator="equal">
      <formula>"NO"</formula>
    </cfRule>
  </conditionalFormatting>
  <conditionalFormatting sqref="I34 F34 D34 D30:K33">
    <cfRule type="containsText" dxfId="292" priority="22" operator="containsText" text="100%">
      <formula>NOT(ISERROR(SEARCH("100%",D30)))</formula>
    </cfRule>
    <cfRule type="containsText" dxfId="291" priority="23" operator="containsText" text="no">
      <formula>NOT(ISERROR(SEARCH("no",D30)))</formula>
    </cfRule>
    <cfRule type="containsText" dxfId="290" priority="24" operator="containsText" text="si">
      <formula>NOT(ISERROR(SEARCH("si",D30)))</formula>
    </cfRule>
    <cfRule type="cellIs" dxfId="289" priority="25" operator="equal">
      <formula>1</formula>
    </cfRule>
    <cfRule type="cellIs" dxfId="288" priority="26" operator="equal">
      <formula>"no"</formula>
    </cfRule>
  </conditionalFormatting>
  <conditionalFormatting sqref="E34">
    <cfRule type="cellIs" dxfId="287" priority="21" operator="equal">
      <formula>"NO"</formula>
    </cfRule>
  </conditionalFormatting>
  <conditionalFormatting sqref="E34">
    <cfRule type="containsText" dxfId="286" priority="16" operator="containsText" text="100%">
      <formula>NOT(ISERROR(SEARCH("100%",E34)))</formula>
    </cfRule>
    <cfRule type="containsText" dxfId="285" priority="17" operator="containsText" text="no">
      <formula>NOT(ISERROR(SEARCH("no",E34)))</formula>
    </cfRule>
    <cfRule type="containsText" dxfId="284" priority="18" operator="containsText" text="si">
      <formula>NOT(ISERROR(SEARCH("si",E34)))</formula>
    </cfRule>
    <cfRule type="cellIs" dxfId="283" priority="19" operator="equal">
      <formula>1</formula>
    </cfRule>
    <cfRule type="cellIs" dxfId="282" priority="20" operator="equal">
      <formula>"no"</formula>
    </cfRule>
  </conditionalFormatting>
  <conditionalFormatting sqref="D34:K34">
    <cfRule type="containsText" dxfId="281" priority="15" operator="containsText" text="O">
      <formula>NOT(ISERROR(SEARCH("O",D34)))</formula>
    </cfRule>
  </conditionalFormatting>
  <conditionalFormatting sqref="D30:K30">
    <cfRule type="cellIs" dxfId="280" priority="1" operator="greaterThan">
      <formula>0.012</formula>
    </cfRule>
    <cfRule type="cellIs" dxfId="279" priority="2" operator="lessThan">
      <formula>0.0169</formula>
    </cfRule>
    <cfRule type="cellIs" dxfId="278" priority="12" operator="greaterThan">
      <formula>0.0119</formula>
    </cfRule>
    <cfRule type="cellIs" dxfId="277" priority="13" operator="equal">
      <formula>0.0119</formula>
    </cfRule>
  </conditionalFormatting>
  <conditionalFormatting sqref="D19:K19">
    <cfRule type="cellIs" dxfId="276" priority="8" operator="equal">
      <formula>"NO"</formula>
    </cfRule>
  </conditionalFormatting>
  <conditionalFormatting sqref="D19:K19">
    <cfRule type="containsText" dxfId="275" priority="3" operator="containsText" text="100%">
      <formula>NOT(ISERROR(SEARCH("100%",D19)))</formula>
    </cfRule>
    <cfRule type="containsText" dxfId="274" priority="4" operator="containsText" text="no">
      <formula>NOT(ISERROR(SEARCH("no",D19)))</formula>
    </cfRule>
    <cfRule type="containsText" dxfId="273" priority="5" operator="containsText" text="si">
      <formula>NOT(ISERROR(SEARCH("si",D19)))</formula>
    </cfRule>
    <cfRule type="cellIs" dxfId="272" priority="6" operator="equal">
      <formula>1</formula>
    </cfRule>
    <cfRule type="cellIs" dxfId="271" priority="7" operator="equal">
      <formula>"no"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5" operator="containsText" id="{C5DE4663-B6A3-44DF-9AD6-0FDE3ACE2CE6}">
            <xm:f>NOT(ISERROR(SEARCH("-",D17)))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D17:D18</xm:sqref>
        </x14:conditionalFormatting>
        <x14:conditionalFormatting xmlns:xm="http://schemas.microsoft.com/office/excel/2006/main">
          <x14:cfRule type="containsText" priority="14" operator="containsText" id="{949E5283-9FF4-4CF7-8F0A-613A708511A7}">
            <xm:f>NOT(ISERROR(SEARCH("-",D34)))</xm:f>
            <xm:f>"-"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D34:K34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L37"/>
  <sheetViews>
    <sheetView topLeftCell="A3" zoomScale="70" zoomScaleNormal="70" workbookViewId="0">
      <pane xSplit="6" ySplit="5" topLeftCell="G25" activePane="bottomRight" state="frozen"/>
      <selection activeCell="A3" sqref="A3"/>
      <selection pane="topRight" activeCell="G3" sqref="G3"/>
      <selection pane="bottomLeft" activeCell="A8" sqref="A8"/>
      <selection pane="bottomRight" activeCell="A3" sqref="A3:K37"/>
    </sheetView>
  </sheetViews>
  <sheetFormatPr baseColWidth="10" defaultColWidth="11" defaultRowHeight="11" x14ac:dyDescent="0.15"/>
  <cols>
    <col min="1" max="1" width="12.33203125" style="22" customWidth="1"/>
    <col min="2" max="2" width="14.33203125" style="23" customWidth="1"/>
    <col min="3" max="3" width="8.6640625" style="23" customWidth="1"/>
    <col min="4" max="6" width="14.6640625" style="23" customWidth="1"/>
    <col min="7" max="7" width="16.1640625" style="23" customWidth="1"/>
    <col min="8" max="11" width="14.6640625" style="23" customWidth="1"/>
    <col min="12" max="16384" width="11" style="22"/>
  </cols>
  <sheetData>
    <row r="1" spans="1:12" s="21" customFormat="1" ht="39.75" hidden="1" customHeight="1" x14ac:dyDescent="0.15">
      <c r="B1" s="193"/>
      <c r="C1" s="193"/>
      <c r="D1" s="193"/>
      <c r="E1" s="193"/>
      <c r="F1" s="193"/>
      <c r="G1" s="193"/>
      <c r="H1" s="193"/>
      <c r="I1" s="193"/>
      <c r="J1" s="193"/>
      <c r="K1" s="194"/>
    </row>
    <row r="2" spans="1:12" ht="3" hidden="1" customHeight="1" x14ac:dyDescent="0.15">
      <c r="K2" s="24"/>
    </row>
    <row r="3" spans="1:12" s="21" customFormat="1" ht="24" x14ac:dyDescent="0.15">
      <c r="A3" s="46" t="s">
        <v>158</v>
      </c>
      <c r="B3" s="46" t="s">
        <v>7</v>
      </c>
      <c r="C3" s="26" t="s">
        <v>163</v>
      </c>
      <c r="D3" s="47" t="s">
        <v>225</v>
      </c>
      <c r="E3" s="60" t="s">
        <v>226</v>
      </c>
      <c r="F3" s="46" t="s">
        <v>227</v>
      </c>
      <c r="G3" s="61" t="s">
        <v>228</v>
      </c>
      <c r="H3" s="46" t="s">
        <v>229</v>
      </c>
      <c r="I3" s="46" t="s">
        <v>230</v>
      </c>
      <c r="J3" s="60" t="s">
        <v>231</v>
      </c>
      <c r="K3" s="46" t="s">
        <v>232</v>
      </c>
      <c r="L3" s="25"/>
    </row>
    <row r="4" spans="1:12" s="21" customFormat="1" ht="62.25" customHeight="1" x14ac:dyDescent="0.15">
      <c r="A4" s="26" t="s">
        <v>164</v>
      </c>
      <c r="B4" s="26" t="s">
        <v>9</v>
      </c>
      <c r="C4" s="27">
        <v>0.3</v>
      </c>
      <c r="D4" s="54">
        <v>0</v>
      </c>
      <c r="E4" s="54">
        <v>0.3</v>
      </c>
      <c r="F4" s="54">
        <v>0</v>
      </c>
      <c r="G4" s="54">
        <v>0.3</v>
      </c>
      <c r="H4" s="54">
        <v>0</v>
      </c>
      <c r="I4" s="54">
        <v>0</v>
      </c>
      <c r="J4" s="54">
        <v>0.3</v>
      </c>
      <c r="K4" s="54">
        <v>0</v>
      </c>
    </row>
    <row r="5" spans="1:12" s="21" customFormat="1" ht="39.75" customHeight="1" x14ac:dyDescent="0.15">
      <c r="A5" s="195" t="s">
        <v>185</v>
      </c>
      <c r="B5" s="26" t="s">
        <v>60</v>
      </c>
      <c r="C5" s="197">
        <v>0.1</v>
      </c>
      <c r="D5" s="202">
        <v>0.1</v>
      </c>
      <c r="E5" s="210">
        <v>0</v>
      </c>
      <c r="F5" s="202">
        <v>0.1</v>
      </c>
      <c r="G5" s="202">
        <v>0.1</v>
      </c>
      <c r="H5" s="210">
        <v>0</v>
      </c>
      <c r="I5" s="210">
        <v>0</v>
      </c>
      <c r="J5" s="202">
        <v>0.1</v>
      </c>
      <c r="K5" s="210">
        <v>0</v>
      </c>
    </row>
    <row r="6" spans="1:12" s="21" customFormat="1" ht="37.5" customHeight="1" x14ac:dyDescent="0.15">
      <c r="A6" s="195"/>
      <c r="B6" s="26" t="s">
        <v>165</v>
      </c>
      <c r="C6" s="195"/>
      <c r="D6" s="203"/>
      <c r="E6" s="211"/>
      <c r="F6" s="203"/>
      <c r="G6" s="203"/>
      <c r="H6" s="211"/>
      <c r="I6" s="211"/>
      <c r="J6" s="203"/>
      <c r="K6" s="211"/>
    </row>
    <row r="7" spans="1:12" s="21" customFormat="1" ht="29.25" customHeight="1" x14ac:dyDescent="0.15">
      <c r="A7" s="26" t="s">
        <v>161</v>
      </c>
      <c r="B7" s="26" t="s">
        <v>166</v>
      </c>
      <c r="C7" s="27">
        <v>0.1</v>
      </c>
      <c r="D7" s="50">
        <v>0</v>
      </c>
      <c r="E7" s="55">
        <v>0.1</v>
      </c>
      <c r="F7" s="55">
        <v>0.1</v>
      </c>
      <c r="G7" s="55">
        <v>0.1</v>
      </c>
      <c r="H7" s="55">
        <v>0.1</v>
      </c>
      <c r="I7" s="55">
        <v>0.1</v>
      </c>
      <c r="J7" s="55">
        <v>0.1</v>
      </c>
      <c r="K7" s="55">
        <v>0.1</v>
      </c>
    </row>
    <row r="8" spans="1:12" s="21" customFormat="1" ht="40.5" customHeight="1" x14ac:dyDescent="0.15">
      <c r="A8" s="26" t="s">
        <v>162</v>
      </c>
      <c r="B8" s="26" t="s">
        <v>190</v>
      </c>
      <c r="C8" s="27">
        <v>0.1</v>
      </c>
      <c r="D8" s="55">
        <v>0.1</v>
      </c>
      <c r="E8" s="55">
        <v>0.1</v>
      </c>
      <c r="F8" s="55">
        <v>0.1</v>
      </c>
      <c r="G8" s="55">
        <v>0.1</v>
      </c>
      <c r="H8" s="55">
        <v>0.1</v>
      </c>
      <c r="I8" s="55">
        <v>0.1</v>
      </c>
      <c r="J8" s="55">
        <v>0.1</v>
      </c>
      <c r="K8" s="55">
        <v>0.1</v>
      </c>
    </row>
    <row r="9" spans="1:12" ht="48" customHeight="1" x14ac:dyDescent="0.15">
      <c r="A9" s="26" t="s">
        <v>179</v>
      </c>
      <c r="B9" s="26" t="s">
        <v>11</v>
      </c>
      <c r="C9" s="27">
        <v>0.1</v>
      </c>
      <c r="D9" s="50">
        <v>0</v>
      </c>
      <c r="E9" s="50">
        <v>0</v>
      </c>
      <c r="F9" s="50">
        <v>0</v>
      </c>
      <c r="G9" s="55">
        <v>0.1</v>
      </c>
      <c r="H9" s="50">
        <v>0</v>
      </c>
      <c r="I9" s="50">
        <v>0</v>
      </c>
      <c r="J9" s="50">
        <v>0</v>
      </c>
      <c r="K9" s="50">
        <v>0</v>
      </c>
    </row>
    <row r="10" spans="1:12" ht="27.75" customHeight="1" x14ac:dyDescent="0.15">
      <c r="A10" s="195" t="s">
        <v>180</v>
      </c>
      <c r="B10" s="26" t="s">
        <v>22</v>
      </c>
      <c r="C10" s="27">
        <v>0.01</v>
      </c>
      <c r="D10" s="54">
        <v>0.01</v>
      </c>
      <c r="E10" s="54">
        <v>0.01</v>
      </c>
      <c r="F10" s="54">
        <v>0.01</v>
      </c>
      <c r="G10" s="54">
        <v>0.01</v>
      </c>
      <c r="H10" s="54">
        <v>0.01</v>
      </c>
      <c r="I10" s="54">
        <v>0.01</v>
      </c>
      <c r="J10" s="54">
        <v>0.01</v>
      </c>
      <c r="K10" s="54">
        <v>0.01</v>
      </c>
    </row>
    <row r="11" spans="1:12" ht="28.5" customHeight="1" x14ac:dyDescent="0.15">
      <c r="A11" s="195"/>
      <c r="B11" s="26" t="s">
        <v>63</v>
      </c>
      <c r="C11" s="27">
        <v>0.01</v>
      </c>
      <c r="D11" s="50">
        <v>0</v>
      </c>
      <c r="E11" s="50">
        <v>0</v>
      </c>
      <c r="F11" s="54">
        <v>0.01</v>
      </c>
      <c r="G11" s="54">
        <v>0.01</v>
      </c>
      <c r="H11" s="50">
        <v>0</v>
      </c>
      <c r="I11" s="54">
        <v>0.01</v>
      </c>
      <c r="J11" s="50">
        <v>0</v>
      </c>
      <c r="K11" s="50">
        <v>0</v>
      </c>
    </row>
    <row r="12" spans="1:12" ht="30.75" customHeight="1" x14ac:dyDescent="0.15">
      <c r="A12" s="195"/>
      <c r="B12" s="26" t="s">
        <v>23</v>
      </c>
      <c r="C12" s="27">
        <v>0.03</v>
      </c>
      <c r="D12" s="50">
        <v>0</v>
      </c>
      <c r="E12" s="50">
        <v>0</v>
      </c>
      <c r="F12" s="50">
        <v>0</v>
      </c>
      <c r="G12" s="54">
        <v>0.03</v>
      </c>
      <c r="H12" s="50">
        <v>0</v>
      </c>
      <c r="I12" s="50">
        <v>0</v>
      </c>
      <c r="J12" s="50">
        <v>0</v>
      </c>
      <c r="K12" s="50">
        <v>0</v>
      </c>
    </row>
    <row r="13" spans="1:12" ht="33.75" customHeight="1" x14ac:dyDescent="0.15">
      <c r="A13" s="195" t="s">
        <v>188</v>
      </c>
      <c r="B13" s="26" t="s">
        <v>51</v>
      </c>
      <c r="C13" s="34">
        <v>2.5000000000000001E-2</v>
      </c>
      <c r="D13" s="56">
        <v>2.5000000000000001E-2</v>
      </c>
      <c r="E13" s="50">
        <v>0</v>
      </c>
      <c r="F13" s="56">
        <v>2.5000000000000001E-2</v>
      </c>
      <c r="G13" s="56">
        <v>2.5000000000000001E-2</v>
      </c>
      <c r="H13" s="50">
        <v>0</v>
      </c>
      <c r="I13" s="56">
        <v>2.5000000000000001E-2</v>
      </c>
      <c r="J13" s="56">
        <v>2.5000000000000001E-2</v>
      </c>
      <c r="K13" s="56">
        <v>2.5000000000000001E-2</v>
      </c>
    </row>
    <row r="14" spans="1:12" ht="29.25" customHeight="1" x14ac:dyDescent="0.15">
      <c r="A14" s="195"/>
      <c r="B14" s="26" t="s">
        <v>52</v>
      </c>
      <c r="C14" s="34">
        <v>2.5000000000000001E-2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6">
        <v>2.5000000000000001E-2</v>
      </c>
      <c r="K14" s="56">
        <v>2.5000000000000001E-2</v>
      </c>
    </row>
    <row r="15" spans="1:12" s="39" customFormat="1" ht="32.25" customHeight="1" x14ac:dyDescent="0.15">
      <c r="A15" s="199" t="s">
        <v>207</v>
      </c>
      <c r="B15" s="26" t="s">
        <v>150</v>
      </c>
      <c r="C15" s="27">
        <v>0.01</v>
      </c>
      <c r="D15" s="57">
        <v>0.01</v>
      </c>
      <c r="E15" s="57">
        <v>0.01</v>
      </c>
      <c r="F15" s="50">
        <v>0</v>
      </c>
      <c r="G15" s="57">
        <v>0.01</v>
      </c>
      <c r="H15" s="57">
        <v>0.01</v>
      </c>
      <c r="I15" s="50">
        <v>0</v>
      </c>
      <c r="J15" s="57">
        <v>0.01</v>
      </c>
      <c r="K15" s="57">
        <v>0.01</v>
      </c>
    </row>
    <row r="16" spans="1:12" ht="22.5" customHeight="1" x14ac:dyDescent="0.15">
      <c r="A16" s="200"/>
      <c r="B16" s="26" t="s">
        <v>5</v>
      </c>
      <c r="C16" s="27">
        <v>0.01</v>
      </c>
      <c r="D16" s="58">
        <v>0.01</v>
      </c>
      <c r="E16" s="58">
        <v>0.01</v>
      </c>
      <c r="F16" s="58">
        <v>0.01</v>
      </c>
      <c r="G16" s="58">
        <v>0.01</v>
      </c>
      <c r="H16" s="58">
        <v>0.01</v>
      </c>
      <c r="I16" s="58">
        <v>0.01</v>
      </c>
      <c r="J16" s="58">
        <v>0.01</v>
      </c>
      <c r="K16" s="58">
        <v>0.01</v>
      </c>
    </row>
    <row r="17" spans="1:11" ht="22.5" customHeight="1" x14ac:dyDescent="0.15">
      <c r="A17" s="200"/>
      <c r="B17" s="26" t="s">
        <v>4</v>
      </c>
      <c r="C17" s="27">
        <v>0.01</v>
      </c>
      <c r="D17" s="50">
        <v>0</v>
      </c>
      <c r="E17" s="58">
        <v>0.01</v>
      </c>
      <c r="F17" s="58">
        <v>0.01</v>
      </c>
      <c r="G17" s="58">
        <v>0.01</v>
      </c>
      <c r="H17" s="58">
        <v>0.01</v>
      </c>
      <c r="I17" s="58">
        <v>0.01</v>
      </c>
      <c r="J17" s="58">
        <v>0.01</v>
      </c>
      <c r="K17" s="58">
        <v>0.01</v>
      </c>
    </row>
    <row r="18" spans="1:11" ht="22.5" customHeight="1" x14ac:dyDescent="0.15">
      <c r="A18" s="200"/>
      <c r="B18" s="26" t="s">
        <v>3</v>
      </c>
      <c r="C18" s="27">
        <v>0.01</v>
      </c>
      <c r="D18" s="50">
        <v>0</v>
      </c>
      <c r="E18" s="58">
        <v>0.01</v>
      </c>
      <c r="F18" s="58">
        <v>0.01</v>
      </c>
      <c r="G18" s="58">
        <v>0.01</v>
      </c>
      <c r="H18" s="58">
        <v>0.01</v>
      </c>
      <c r="I18" s="58">
        <v>0.01</v>
      </c>
      <c r="J18" s="58">
        <v>0.01</v>
      </c>
      <c r="K18" s="58">
        <v>0.01</v>
      </c>
    </row>
    <row r="19" spans="1:11" ht="22.5" customHeight="1" x14ac:dyDescent="0.15">
      <c r="A19" s="201"/>
      <c r="B19" s="29" t="s">
        <v>205</v>
      </c>
      <c r="C19" s="49">
        <v>0.01</v>
      </c>
      <c r="D19" s="58">
        <v>0.01</v>
      </c>
      <c r="E19" s="58">
        <v>0.01</v>
      </c>
      <c r="F19" s="58">
        <v>0.01</v>
      </c>
      <c r="G19" s="58">
        <v>0.01</v>
      </c>
      <c r="H19" s="58">
        <v>0.01</v>
      </c>
      <c r="I19" s="58">
        <v>0.01</v>
      </c>
      <c r="J19" s="58">
        <v>0.01</v>
      </c>
      <c r="K19" s="58">
        <v>0.01</v>
      </c>
    </row>
    <row r="20" spans="1:11" ht="49.5" customHeight="1" x14ac:dyDescent="0.15">
      <c r="A20" s="26" t="s">
        <v>206</v>
      </c>
      <c r="B20" s="26" t="s">
        <v>169</v>
      </c>
      <c r="C20" s="27">
        <v>0.05</v>
      </c>
      <c r="D20" s="50">
        <v>0.05</v>
      </c>
      <c r="E20" s="50">
        <v>0.05</v>
      </c>
      <c r="F20" s="50">
        <v>0.05</v>
      </c>
      <c r="G20" s="50">
        <v>0.05</v>
      </c>
      <c r="H20" s="50">
        <v>0.05</v>
      </c>
      <c r="I20" s="50">
        <v>0.05</v>
      </c>
      <c r="J20" s="50">
        <v>0.05</v>
      </c>
      <c r="K20" s="50">
        <v>0.05</v>
      </c>
    </row>
    <row r="21" spans="1:11" ht="18" customHeight="1" x14ac:dyDescent="0.15">
      <c r="A21" s="195" t="s">
        <v>181</v>
      </c>
      <c r="B21" s="26" t="s">
        <v>13</v>
      </c>
      <c r="C21" s="198">
        <v>2.5000000000000001E-2</v>
      </c>
      <c r="D21" s="204">
        <v>0</v>
      </c>
      <c r="E21" s="204">
        <v>0</v>
      </c>
      <c r="F21" s="204">
        <v>0</v>
      </c>
      <c r="G21" s="207">
        <v>2.5000000000000001E-2</v>
      </c>
      <c r="H21" s="207">
        <v>2.5000000000000001E-2</v>
      </c>
      <c r="I21" s="207">
        <v>2.5000000000000001E-2</v>
      </c>
      <c r="J21" s="204">
        <v>0</v>
      </c>
      <c r="K21" s="204">
        <v>0</v>
      </c>
    </row>
    <row r="22" spans="1:11" ht="18" customHeight="1" x14ac:dyDescent="0.15">
      <c r="A22" s="195"/>
      <c r="B22" s="26" t="s">
        <v>14</v>
      </c>
      <c r="C22" s="195"/>
      <c r="D22" s="205"/>
      <c r="E22" s="205"/>
      <c r="F22" s="205"/>
      <c r="G22" s="208"/>
      <c r="H22" s="208"/>
      <c r="I22" s="208"/>
      <c r="J22" s="205"/>
      <c r="K22" s="205"/>
    </row>
    <row r="23" spans="1:11" ht="18" customHeight="1" x14ac:dyDescent="0.15">
      <c r="A23" s="195"/>
      <c r="B23" s="26" t="s">
        <v>15</v>
      </c>
      <c r="C23" s="195"/>
      <c r="D23" s="206"/>
      <c r="E23" s="206"/>
      <c r="F23" s="206"/>
      <c r="G23" s="209"/>
      <c r="H23" s="209"/>
      <c r="I23" s="209"/>
      <c r="J23" s="206"/>
      <c r="K23" s="206"/>
    </row>
    <row r="24" spans="1:11" ht="29.25" customHeight="1" x14ac:dyDescent="0.15">
      <c r="A24" s="195"/>
      <c r="B24" s="26" t="s">
        <v>18</v>
      </c>
      <c r="C24" s="34">
        <v>2.5000000000000001E-2</v>
      </c>
      <c r="D24" s="56">
        <v>2.5000000000000001E-2</v>
      </c>
      <c r="E24" s="56">
        <v>2.5000000000000001E-2</v>
      </c>
      <c r="F24" s="56">
        <v>2.5000000000000001E-2</v>
      </c>
      <c r="G24" s="56">
        <v>2.5000000000000001E-2</v>
      </c>
      <c r="H24" s="56">
        <v>2.5000000000000001E-2</v>
      </c>
      <c r="I24" s="56">
        <v>2.5000000000000001E-2</v>
      </c>
      <c r="J24" s="56">
        <v>2.5000000000000001E-2</v>
      </c>
      <c r="K24" s="56">
        <v>2.5000000000000001E-2</v>
      </c>
    </row>
    <row r="25" spans="1:11" ht="16.5" customHeight="1" x14ac:dyDescent="0.15">
      <c r="A25" s="195" t="s">
        <v>182</v>
      </c>
      <c r="B25" s="26" t="s">
        <v>35</v>
      </c>
      <c r="C25" s="34">
        <v>2.5000000000000001E-2</v>
      </c>
      <c r="D25" s="50">
        <v>0</v>
      </c>
      <c r="E25" s="56">
        <v>2.5000000000000001E-2</v>
      </c>
      <c r="F25" s="50">
        <v>0</v>
      </c>
      <c r="G25" s="56">
        <v>2.5000000000000001E-2</v>
      </c>
      <c r="H25" s="50">
        <v>0</v>
      </c>
      <c r="I25" s="50">
        <v>0</v>
      </c>
      <c r="J25" s="56">
        <v>2.5000000000000001E-2</v>
      </c>
      <c r="K25" s="50">
        <v>0</v>
      </c>
    </row>
    <row r="26" spans="1:11" s="41" customFormat="1" ht="39.75" customHeight="1" x14ac:dyDescent="0.15">
      <c r="A26" s="195"/>
      <c r="B26" s="26" t="s">
        <v>21</v>
      </c>
      <c r="C26" s="34">
        <v>2.5000000000000001E-2</v>
      </c>
      <c r="D26" s="56">
        <v>2.5000000000000001E-2</v>
      </c>
      <c r="E26" s="56">
        <v>2.5000000000000001E-2</v>
      </c>
      <c r="F26" s="56">
        <v>2.5000000000000001E-2</v>
      </c>
      <c r="G26" s="56">
        <v>2.5000000000000001E-2</v>
      </c>
      <c r="H26" s="56">
        <v>2.5000000000000001E-2</v>
      </c>
      <c r="I26" s="56">
        <v>2.5000000000000001E-2</v>
      </c>
      <c r="J26" s="56">
        <v>2.5000000000000001E-2</v>
      </c>
      <c r="K26" s="56">
        <v>2.5000000000000001E-2</v>
      </c>
    </row>
    <row r="27" spans="1:11" s="41" customFormat="1" ht="36.75" customHeight="1" x14ac:dyDescent="0.15">
      <c r="A27" s="213" t="s">
        <v>187</v>
      </c>
      <c r="B27" s="214"/>
      <c r="C27" s="215"/>
      <c r="D27" s="63">
        <f>SUM(D4:D26)</f>
        <v>0.36500000000000005</v>
      </c>
      <c r="E27" s="62">
        <f t="shared" ref="E27:K27" si="0">SUM(E4:E26)</f>
        <v>0.68500000000000016</v>
      </c>
      <c r="F27" s="63">
        <f t="shared" si="0"/>
        <v>0.48500000000000015</v>
      </c>
      <c r="G27" s="62">
        <f t="shared" si="0"/>
        <v>0.9750000000000002</v>
      </c>
      <c r="H27" s="63">
        <f t="shared" si="0"/>
        <v>0.38500000000000012</v>
      </c>
      <c r="I27" s="63">
        <f t="shared" si="0"/>
        <v>0.41000000000000009</v>
      </c>
      <c r="J27" s="62">
        <f t="shared" si="0"/>
        <v>0.83500000000000019</v>
      </c>
      <c r="K27" s="63">
        <f t="shared" si="0"/>
        <v>0.41000000000000009</v>
      </c>
    </row>
    <row r="28" spans="1:11" ht="49.5" customHeight="1" x14ac:dyDescent="0.15">
      <c r="A28" s="26" t="s">
        <v>168</v>
      </c>
      <c r="B28" s="26" t="s">
        <v>143</v>
      </c>
      <c r="C28" s="27">
        <v>0</v>
      </c>
      <c r="D28" s="28" t="s">
        <v>17</v>
      </c>
      <c r="E28" s="28" t="s">
        <v>17</v>
      </c>
      <c r="F28" s="28" t="s">
        <v>17</v>
      </c>
      <c r="G28" s="28" t="s">
        <v>17</v>
      </c>
      <c r="H28" s="28" t="s">
        <v>17</v>
      </c>
      <c r="I28" s="28" t="s">
        <v>10</v>
      </c>
      <c r="J28" s="28" t="s">
        <v>17</v>
      </c>
      <c r="K28" s="50" t="s">
        <v>10</v>
      </c>
    </row>
    <row r="29" spans="1:11" ht="27.75" customHeight="1" x14ac:dyDescent="0.15">
      <c r="A29" s="212" t="s">
        <v>183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</row>
    <row r="30" spans="1:11" ht="30.75" customHeight="1" x14ac:dyDescent="0.15">
      <c r="A30" s="195" t="s">
        <v>184</v>
      </c>
      <c r="B30" s="195"/>
      <c r="C30" s="195"/>
      <c r="D30" s="85">
        <v>0.1</v>
      </c>
      <c r="E30" s="85">
        <v>1</v>
      </c>
      <c r="F30" s="85">
        <v>0.1</v>
      </c>
      <c r="G30" s="85">
        <v>1</v>
      </c>
      <c r="H30" s="85">
        <v>0.1</v>
      </c>
      <c r="I30" s="85">
        <v>0.1</v>
      </c>
      <c r="J30" s="85">
        <v>1</v>
      </c>
      <c r="K30" s="85">
        <v>0.1</v>
      </c>
    </row>
    <row r="31" spans="1:11" ht="34.5" customHeight="1" x14ac:dyDescent="0.15">
      <c r="A31" s="195" t="s">
        <v>175</v>
      </c>
      <c r="B31" s="195" t="s">
        <v>61</v>
      </c>
      <c r="C31" s="195"/>
      <c r="D31" s="86">
        <v>1.6906129999999998E-2</v>
      </c>
      <c r="E31" s="86">
        <f>1.690613%-0.05%</f>
        <v>1.6406129999999998E-2</v>
      </c>
      <c r="F31" s="86">
        <v>1.6906129999999998E-2</v>
      </c>
      <c r="G31" s="87">
        <f>1.690613%-0.5%</f>
        <v>1.1906129999999997E-2</v>
      </c>
      <c r="H31" s="86">
        <f>1.690613%-0.5%</f>
        <v>1.1906129999999997E-2</v>
      </c>
      <c r="I31" s="86">
        <f>1.690613%-0.5%</f>
        <v>1.1906129999999997E-2</v>
      </c>
      <c r="J31" s="86">
        <f>1.690613%-0.1%</f>
        <v>1.5906129999999997E-2</v>
      </c>
      <c r="K31" s="86">
        <v>1.6906129999999998E-2</v>
      </c>
    </row>
    <row r="32" spans="1:11" ht="36" customHeight="1" x14ac:dyDescent="0.15">
      <c r="A32" s="195"/>
      <c r="B32" s="195" t="s">
        <v>157</v>
      </c>
      <c r="C32" s="195"/>
      <c r="D32" s="45">
        <f>(7460000000)*D31</f>
        <v>126119729.79999998</v>
      </c>
      <c r="E32" s="45">
        <f>((36165000000)*E31)*0.666</f>
        <v>395156242.50569999</v>
      </c>
      <c r="F32" s="45">
        <f>(9000000000)*F31</f>
        <v>152155170</v>
      </c>
      <c r="G32" s="45">
        <f>(25000000000)*G31</f>
        <v>297653249.99999994</v>
      </c>
      <c r="H32" s="45">
        <f>((9600000000)*H31)*0.7333</f>
        <v>83815345.238399968</v>
      </c>
      <c r="I32" s="45">
        <f>(2000000000)*I31</f>
        <v>23812259.999999996</v>
      </c>
      <c r="J32" s="45">
        <f>(60244000000)*J31</f>
        <v>958248895.71999979</v>
      </c>
      <c r="K32" s="45">
        <f>(6500000000)*K31</f>
        <v>109889844.99999999</v>
      </c>
    </row>
    <row r="33" spans="1:11" ht="39.75" customHeight="1" x14ac:dyDescent="0.15">
      <c r="A33" s="195"/>
      <c r="B33" s="195" t="s">
        <v>174</v>
      </c>
      <c r="C33" s="195"/>
      <c r="D33" s="42">
        <f t="shared" ref="D33:I33" si="1">D32/12</f>
        <v>10509977.483333332</v>
      </c>
      <c r="E33" s="42">
        <f t="shared" si="1"/>
        <v>32929686.875475001</v>
      </c>
      <c r="F33" s="42">
        <f t="shared" si="1"/>
        <v>12679597.5</v>
      </c>
      <c r="G33" s="45">
        <f t="shared" si="1"/>
        <v>24804437.499999996</v>
      </c>
      <c r="H33" s="42">
        <f t="shared" si="1"/>
        <v>6984612.103199997</v>
      </c>
      <c r="I33" s="42">
        <f t="shared" si="1"/>
        <v>1984354.9999999998</v>
      </c>
      <c r="J33" s="42">
        <f t="shared" ref="J33:K33" si="2">J32/12</f>
        <v>79854074.643333316</v>
      </c>
      <c r="K33" s="42">
        <f t="shared" si="2"/>
        <v>9157487.0833333321</v>
      </c>
    </row>
    <row r="34" spans="1:11" ht="29.25" customHeight="1" x14ac:dyDescent="0.15">
      <c r="A34" s="195" t="s">
        <v>142</v>
      </c>
      <c r="B34" s="195"/>
      <c r="C34" s="195"/>
      <c r="D34" s="42" t="s">
        <v>10</v>
      </c>
      <c r="E34" s="53" t="s">
        <v>17</v>
      </c>
      <c r="F34" s="42" t="s">
        <v>10</v>
      </c>
      <c r="G34" s="43" t="s">
        <v>17</v>
      </c>
      <c r="H34" s="42" t="s">
        <v>10</v>
      </c>
      <c r="I34" s="42" t="s">
        <v>10</v>
      </c>
      <c r="J34" s="53" t="s">
        <v>17</v>
      </c>
      <c r="K34" s="42" t="s">
        <v>10</v>
      </c>
    </row>
    <row r="35" spans="1:11" s="41" customFormat="1" ht="65.25" customHeight="1" x14ac:dyDescent="0.15">
      <c r="A35" s="195" t="s">
        <v>208</v>
      </c>
      <c r="B35" s="195"/>
      <c r="C35" s="195"/>
      <c r="D35" s="31" t="s">
        <v>48</v>
      </c>
      <c r="E35" s="38" t="s">
        <v>172</v>
      </c>
      <c r="F35" s="31" t="s">
        <v>144</v>
      </c>
      <c r="G35" s="31" t="s">
        <v>173</v>
      </c>
      <c r="H35" s="31" t="s">
        <v>145</v>
      </c>
      <c r="I35" s="31" t="s">
        <v>146</v>
      </c>
      <c r="J35" s="31" t="s">
        <v>172</v>
      </c>
      <c r="K35" s="31" t="s">
        <v>44</v>
      </c>
    </row>
    <row r="36" spans="1:11" x14ac:dyDescent="0.15">
      <c r="A36" s="191" t="s">
        <v>209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</row>
    <row r="37" spans="1:11" x14ac:dyDescent="0.15">
      <c r="A37" s="192"/>
      <c r="B37" s="192"/>
      <c r="C37" s="192"/>
      <c r="D37" s="192"/>
      <c r="E37" s="192"/>
      <c r="F37" s="192"/>
      <c r="G37" s="192"/>
      <c r="H37" s="192"/>
      <c r="I37" s="192"/>
      <c r="J37" s="192"/>
      <c r="K37" s="192"/>
    </row>
  </sheetData>
  <mergeCells count="35">
    <mergeCell ref="A36:K37"/>
    <mergeCell ref="A35:C35"/>
    <mergeCell ref="A34:C34"/>
    <mergeCell ref="K21:K23"/>
    <mergeCell ref="B1:K1"/>
    <mergeCell ref="A5:A6"/>
    <mergeCell ref="C5:C6"/>
    <mergeCell ref="A10:A12"/>
    <mergeCell ref="A13:A14"/>
    <mergeCell ref="H5:H6"/>
    <mergeCell ref="I5:I6"/>
    <mergeCell ref="K5:K6"/>
    <mergeCell ref="F5:F6"/>
    <mergeCell ref="A15:A19"/>
    <mergeCell ref="A27:C27"/>
    <mergeCell ref="A21:A24"/>
    <mergeCell ref="C21:C23"/>
    <mergeCell ref="A25:A26"/>
    <mergeCell ref="A29:K29"/>
    <mergeCell ref="A31:A33"/>
    <mergeCell ref="B31:C31"/>
    <mergeCell ref="B32:C32"/>
    <mergeCell ref="B33:C33"/>
    <mergeCell ref="A30:C30"/>
    <mergeCell ref="G5:G6"/>
    <mergeCell ref="J5:J6"/>
    <mergeCell ref="D21:D23"/>
    <mergeCell ref="E21:E23"/>
    <mergeCell ref="F21:F23"/>
    <mergeCell ref="J21:J23"/>
    <mergeCell ref="G21:G23"/>
    <mergeCell ref="H21:H23"/>
    <mergeCell ref="I21:I23"/>
    <mergeCell ref="E5:E6"/>
    <mergeCell ref="D5:D6"/>
  </mergeCells>
  <conditionalFormatting sqref="F35 D4:K4 I35 D35 D7:K10 I11 D11:G11 D12:K12 H14:H15 D14:D21 G21 D24:K26 D28:K28 G15:H15 J14:K15 E15:E19 E20:K20 D32:K34 D19:E19">
    <cfRule type="cellIs" dxfId="268" priority="230" operator="equal">
      <formula>"NO"</formula>
    </cfRule>
  </conditionalFormatting>
  <conditionalFormatting sqref="F9:F12 J9:K10 D4:K4 I35 F35 D35 E7:K8 D8:K8 G9:H10 D9:F9 H9:K9 E10:K10 D11:G11 E9:E13 D12:K12 D7:D21 H13:H14 I9:I13 G21 D24:K26 D28:K28 G15:H15 J12:K15 E15:E20 E20:K20 D32:K34 D19:E19">
    <cfRule type="containsText" dxfId="267" priority="225" operator="containsText" text="100%">
      <formula>NOT(ISERROR(SEARCH("100%",D4)))</formula>
    </cfRule>
    <cfRule type="containsText" dxfId="266" priority="226" operator="containsText" text="no">
      <formula>NOT(ISERROR(SEARCH("no",D4)))</formula>
    </cfRule>
    <cfRule type="containsText" dxfId="265" priority="227" operator="containsText" text="si">
      <formula>NOT(ISERROR(SEARCH("si",D4)))</formula>
    </cfRule>
    <cfRule type="cellIs" dxfId="264" priority="228" operator="equal">
      <formula>1</formula>
    </cfRule>
    <cfRule type="cellIs" dxfId="263" priority="229" operator="equal">
      <formula>"no"</formula>
    </cfRule>
  </conditionalFormatting>
  <conditionalFormatting sqref="D5">
    <cfRule type="cellIs" dxfId="262" priority="224" operator="equal">
      <formula>"NO"</formula>
    </cfRule>
  </conditionalFormatting>
  <conditionalFormatting sqref="D5">
    <cfRule type="containsText" dxfId="261" priority="219" operator="containsText" text="100%">
      <formula>NOT(ISERROR(SEARCH("100%",D5)))</formula>
    </cfRule>
    <cfRule type="containsText" dxfId="260" priority="220" operator="containsText" text="no">
      <formula>NOT(ISERROR(SEARCH("no",D5)))</formula>
    </cfRule>
    <cfRule type="containsText" dxfId="259" priority="221" operator="containsText" text="si">
      <formula>NOT(ISERROR(SEARCH("si",D5)))</formula>
    </cfRule>
    <cfRule type="cellIs" dxfId="258" priority="222" operator="equal">
      <formula>1</formula>
    </cfRule>
    <cfRule type="cellIs" dxfId="257" priority="223" operator="equal">
      <formula>"no"</formula>
    </cfRule>
  </conditionalFormatting>
  <conditionalFormatting sqref="E14">
    <cfRule type="cellIs" dxfId="256" priority="112" operator="equal">
      <formula>"NO"</formula>
    </cfRule>
  </conditionalFormatting>
  <conditionalFormatting sqref="E14">
    <cfRule type="containsText" dxfId="255" priority="107" operator="containsText" text="100%">
      <formula>NOT(ISERROR(SEARCH("100%",E14)))</formula>
    </cfRule>
    <cfRule type="containsText" dxfId="254" priority="108" operator="containsText" text="no">
      <formula>NOT(ISERROR(SEARCH("no",E14)))</formula>
    </cfRule>
    <cfRule type="containsText" dxfId="253" priority="109" operator="containsText" text="si">
      <formula>NOT(ISERROR(SEARCH("si",E14)))</formula>
    </cfRule>
    <cfRule type="cellIs" dxfId="252" priority="110" operator="equal">
      <formula>1</formula>
    </cfRule>
    <cfRule type="cellIs" dxfId="251" priority="111" operator="equal">
      <formula>"no"</formula>
    </cfRule>
  </conditionalFormatting>
  <conditionalFormatting sqref="I15">
    <cfRule type="cellIs" dxfId="250" priority="94" operator="equal">
      <formula>"NO"</formula>
    </cfRule>
  </conditionalFormatting>
  <conditionalFormatting sqref="I15">
    <cfRule type="containsText" dxfId="249" priority="89" operator="containsText" text="100%">
      <formula>NOT(ISERROR(SEARCH("100%",I15)))</formula>
    </cfRule>
    <cfRule type="containsText" dxfId="248" priority="90" operator="containsText" text="no">
      <formula>NOT(ISERROR(SEARCH("no",I15)))</formula>
    </cfRule>
    <cfRule type="containsText" dxfId="247" priority="91" operator="containsText" text="si">
      <formula>NOT(ISERROR(SEARCH("si",I15)))</formula>
    </cfRule>
    <cfRule type="cellIs" dxfId="246" priority="92" operator="equal">
      <formula>1</formula>
    </cfRule>
    <cfRule type="cellIs" dxfId="245" priority="93" operator="equal">
      <formula>"no"</formula>
    </cfRule>
  </conditionalFormatting>
  <conditionalFormatting sqref="E35">
    <cfRule type="cellIs" dxfId="244" priority="193" operator="equal">
      <formula>"NO"</formula>
    </cfRule>
  </conditionalFormatting>
  <conditionalFormatting sqref="E35">
    <cfRule type="containsText" dxfId="243" priority="188" operator="containsText" text="100%">
      <formula>NOT(ISERROR(SEARCH("100%",E35)))</formula>
    </cfRule>
    <cfRule type="containsText" dxfId="242" priority="189" operator="containsText" text="no">
      <formula>NOT(ISERROR(SEARCH("no",E35)))</formula>
    </cfRule>
    <cfRule type="containsText" dxfId="241" priority="190" operator="containsText" text="si">
      <formula>NOT(ISERROR(SEARCH("si",E35)))</formula>
    </cfRule>
    <cfRule type="cellIs" dxfId="240" priority="191" operator="equal">
      <formula>1</formula>
    </cfRule>
    <cfRule type="cellIs" dxfId="239" priority="192" operator="equal">
      <formula>"no"</formula>
    </cfRule>
  </conditionalFormatting>
  <conditionalFormatting sqref="D35:K35">
    <cfRule type="containsText" dxfId="238" priority="187" operator="containsText" text="O">
      <formula>NOT(ISERROR(SEARCH("O",D35)))</formula>
    </cfRule>
  </conditionalFormatting>
  <conditionalFormatting sqref="D20:K20">
    <cfRule type="containsText" dxfId="237" priority="185" operator="containsText" text="capacitación">
      <formula>NOT(ISERROR(SEARCH("capacitación",D20)))</formula>
    </cfRule>
  </conditionalFormatting>
  <conditionalFormatting sqref="D13:E13 H14 D14 J13:K14 H13:K13">
    <cfRule type="containsText" dxfId="236" priority="175" operator="containsText" text="AAA">
      <formula>NOT(ISERROR(SEARCH("AAA",D13)))</formula>
    </cfRule>
  </conditionalFormatting>
  <conditionalFormatting sqref="D15:E15 G15:H15 J15:K15">
    <cfRule type="cellIs" dxfId="235" priority="173" operator="equal">
      <formula>2</formula>
    </cfRule>
    <cfRule type="containsText" dxfId="234" priority="174" operator="containsText" text="3">
      <formula>NOT(ISERROR(SEARCH("3",D15)))</formula>
    </cfRule>
  </conditionalFormatting>
  <conditionalFormatting sqref="D14 H14">
    <cfRule type="containsText" dxfId="233" priority="172" operator="containsText" text="BBB">
      <formula>NOT(ISERROR(SEARCH("BBB",D14)))</formula>
    </cfRule>
  </conditionalFormatting>
  <conditionalFormatting sqref="E35:J35">
    <cfRule type="containsText" dxfId="232" priority="171" operator="containsText" text="n.a.">
      <formula>NOT(ISERROR(SEARCH("n.a.",E35)))</formula>
    </cfRule>
  </conditionalFormatting>
  <conditionalFormatting sqref="E5">
    <cfRule type="cellIs" dxfId="231" priority="168" operator="equal">
      <formula>"NO"</formula>
    </cfRule>
  </conditionalFormatting>
  <conditionalFormatting sqref="E5">
    <cfRule type="containsText" dxfId="230" priority="163" operator="containsText" text="100%">
      <formula>NOT(ISERROR(SEARCH("100%",E5)))</formula>
    </cfRule>
    <cfRule type="containsText" dxfId="229" priority="164" operator="containsText" text="no">
      <formula>NOT(ISERROR(SEARCH("no",E5)))</formula>
    </cfRule>
    <cfRule type="containsText" dxfId="228" priority="165" operator="containsText" text="si">
      <formula>NOT(ISERROR(SEARCH("si",E5)))</formula>
    </cfRule>
    <cfRule type="cellIs" dxfId="227" priority="166" operator="equal">
      <formula>1</formula>
    </cfRule>
    <cfRule type="cellIs" dxfId="226" priority="167" operator="equal">
      <formula>"no"</formula>
    </cfRule>
  </conditionalFormatting>
  <conditionalFormatting sqref="H5">
    <cfRule type="cellIs" dxfId="225" priority="162" operator="equal">
      <formula>"NO"</formula>
    </cfRule>
  </conditionalFormatting>
  <conditionalFormatting sqref="H5">
    <cfRule type="containsText" dxfId="224" priority="157" operator="containsText" text="100%">
      <formula>NOT(ISERROR(SEARCH("100%",H5)))</formula>
    </cfRule>
    <cfRule type="containsText" dxfId="223" priority="158" operator="containsText" text="no">
      <formula>NOT(ISERROR(SEARCH("no",H5)))</formula>
    </cfRule>
    <cfRule type="containsText" dxfId="222" priority="159" operator="containsText" text="si">
      <formula>NOT(ISERROR(SEARCH("si",H5)))</formula>
    </cfRule>
    <cfRule type="cellIs" dxfId="221" priority="160" operator="equal">
      <formula>1</formula>
    </cfRule>
    <cfRule type="cellIs" dxfId="220" priority="161" operator="equal">
      <formula>"no"</formula>
    </cfRule>
  </conditionalFormatting>
  <conditionalFormatting sqref="I5">
    <cfRule type="cellIs" dxfId="219" priority="156" operator="equal">
      <formula>"NO"</formula>
    </cfRule>
  </conditionalFormatting>
  <conditionalFormatting sqref="I5">
    <cfRule type="containsText" dxfId="218" priority="151" operator="containsText" text="100%">
      <formula>NOT(ISERROR(SEARCH("100%",I5)))</formula>
    </cfRule>
    <cfRule type="containsText" dxfId="217" priority="152" operator="containsText" text="no">
      <formula>NOT(ISERROR(SEARCH("no",I5)))</formula>
    </cfRule>
    <cfRule type="containsText" dxfId="216" priority="153" operator="containsText" text="si">
      <formula>NOT(ISERROR(SEARCH("si",I5)))</formula>
    </cfRule>
    <cfRule type="cellIs" dxfId="215" priority="154" operator="equal">
      <formula>1</formula>
    </cfRule>
    <cfRule type="cellIs" dxfId="214" priority="155" operator="equal">
      <formula>"no"</formula>
    </cfRule>
  </conditionalFormatting>
  <conditionalFormatting sqref="K5">
    <cfRule type="cellIs" dxfId="213" priority="150" operator="equal">
      <formula>"NO"</formula>
    </cfRule>
  </conditionalFormatting>
  <conditionalFormatting sqref="K5">
    <cfRule type="containsText" dxfId="212" priority="145" operator="containsText" text="100%">
      <formula>NOT(ISERROR(SEARCH("100%",K5)))</formula>
    </cfRule>
    <cfRule type="containsText" dxfId="211" priority="146" operator="containsText" text="no">
      <formula>NOT(ISERROR(SEARCH("no",K5)))</formula>
    </cfRule>
    <cfRule type="containsText" dxfId="210" priority="147" operator="containsText" text="si">
      <formula>NOT(ISERROR(SEARCH("si",K5)))</formula>
    </cfRule>
    <cfRule type="cellIs" dxfId="209" priority="148" operator="equal">
      <formula>1</formula>
    </cfRule>
    <cfRule type="cellIs" dxfId="208" priority="149" operator="equal">
      <formula>"no"</formula>
    </cfRule>
  </conditionalFormatting>
  <conditionalFormatting sqref="F5">
    <cfRule type="cellIs" dxfId="207" priority="144" operator="equal">
      <formula>"NO"</formula>
    </cfRule>
  </conditionalFormatting>
  <conditionalFormatting sqref="F5">
    <cfRule type="containsText" dxfId="206" priority="139" operator="containsText" text="100%">
      <formula>NOT(ISERROR(SEARCH("100%",F5)))</formula>
    </cfRule>
    <cfRule type="containsText" dxfId="205" priority="140" operator="containsText" text="no">
      <formula>NOT(ISERROR(SEARCH("no",F5)))</formula>
    </cfRule>
    <cfRule type="containsText" dxfId="204" priority="141" operator="containsText" text="si">
      <formula>NOT(ISERROR(SEARCH("si",F5)))</formula>
    </cfRule>
    <cfRule type="cellIs" dxfId="203" priority="142" operator="equal">
      <formula>1</formula>
    </cfRule>
    <cfRule type="cellIs" dxfId="202" priority="143" operator="equal">
      <formula>"no"</formula>
    </cfRule>
  </conditionalFormatting>
  <conditionalFormatting sqref="G5">
    <cfRule type="cellIs" dxfId="201" priority="138" operator="equal">
      <formula>"NO"</formula>
    </cfRule>
  </conditionalFormatting>
  <conditionalFormatting sqref="G5">
    <cfRule type="containsText" dxfId="200" priority="133" operator="containsText" text="100%">
      <formula>NOT(ISERROR(SEARCH("100%",G5)))</formula>
    </cfRule>
    <cfRule type="containsText" dxfId="199" priority="134" operator="containsText" text="no">
      <formula>NOT(ISERROR(SEARCH("no",G5)))</formula>
    </cfRule>
    <cfRule type="containsText" dxfId="198" priority="135" operator="containsText" text="si">
      <formula>NOT(ISERROR(SEARCH("si",G5)))</formula>
    </cfRule>
    <cfRule type="cellIs" dxfId="197" priority="136" operator="equal">
      <formula>1</formula>
    </cfRule>
    <cfRule type="cellIs" dxfId="196" priority="137" operator="equal">
      <formula>"no"</formula>
    </cfRule>
  </conditionalFormatting>
  <conditionalFormatting sqref="J5">
    <cfRule type="cellIs" dxfId="195" priority="132" operator="equal">
      <formula>"NO"</formula>
    </cfRule>
  </conditionalFormatting>
  <conditionalFormatting sqref="J5">
    <cfRule type="containsText" dxfId="194" priority="127" operator="containsText" text="100%">
      <formula>NOT(ISERROR(SEARCH("100%",J5)))</formula>
    </cfRule>
    <cfRule type="containsText" dxfId="193" priority="128" operator="containsText" text="no">
      <formula>NOT(ISERROR(SEARCH("no",J5)))</formula>
    </cfRule>
    <cfRule type="containsText" dxfId="192" priority="129" operator="containsText" text="si">
      <formula>NOT(ISERROR(SEARCH("si",J5)))</formula>
    </cfRule>
    <cfRule type="cellIs" dxfId="191" priority="130" operator="equal">
      <formula>1</formula>
    </cfRule>
    <cfRule type="cellIs" dxfId="190" priority="131" operator="equal">
      <formula>"no"</formula>
    </cfRule>
  </conditionalFormatting>
  <conditionalFormatting sqref="H11">
    <cfRule type="cellIs" dxfId="189" priority="126" operator="equal">
      <formula>"NO"</formula>
    </cfRule>
  </conditionalFormatting>
  <conditionalFormatting sqref="H11">
    <cfRule type="containsText" dxfId="188" priority="121" operator="containsText" text="100%">
      <formula>NOT(ISERROR(SEARCH("100%",H11)))</formula>
    </cfRule>
    <cfRule type="containsText" dxfId="187" priority="122" operator="containsText" text="no">
      <formula>NOT(ISERROR(SEARCH("no",H11)))</formula>
    </cfRule>
    <cfRule type="containsText" dxfId="186" priority="123" operator="containsText" text="si">
      <formula>NOT(ISERROR(SEARCH("si",H11)))</formula>
    </cfRule>
    <cfRule type="cellIs" dxfId="185" priority="124" operator="equal">
      <formula>1</formula>
    </cfRule>
    <cfRule type="cellIs" dxfId="184" priority="125" operator="equal">
      <formula>"no"</formula>
    </cfRule>
  </conditionalFormatting>
  <conditionalFormatting sqref="J11:K11">
    <cfRule type="cellIs" dxfId="183" priority="120" operator="equal">
      <formula>"NO"</formula>
    </cfRule>
  </conditionalFormatting>
  <conditionalFormatting sqref="J11:K11">
    <cfRule type="containsText" dxfId="182" priority="115" operator="containsText" text="100%">
      <formula>NOT(ISERROR(SEARCH("100%",J11)))</formula>
    </cfRule>
    <cfRule type="containsText" dxfId="181" priority="116" operator="containsText" text="no">
      <formula>NOT(ISERROR(SEARCH("no",J11)))</formula>
    </cfRule>
    <cfRule type="containsText" dxfId="180" priority="117" operator="containsText" text="si">
      <formula>NOT(ISERROR(SEARCH("si",J11)))</formula>
    </cfRule>
    <cfRule type="cellIs" dxfId="179" priority="118" operator="equal">
      <formula>1</formula>
    </cfRule>
    <cfRule type="cellIs" dxfId="178" priority="119" operator="equal">
      <formula>"no"</formula>
    </cfRule>
  </conditionalFormatting>
  <conditionalFormatting sqref="E13">
    <cfRule type="cellIs" dxfId="177" priority="114" operator="equal">
      <formula>"NO"</formula>
    </cfRule>
  </conditionalFormatting>
  <conditionalFormatting sqref="H13">
    <cfRule type="cellIs" dxfId="176" priority="113" operator="equal">
      <formula>"NO"</formula>
    </cfRule>
  </conditionalFormatting>
  <conditionalFormatting sqref="I14">
    <cfRule type="cellIs" dxfId="175" priority="106" operator="equal">
      <formula>"NO"</formula>
    </cfRule>
  </conditionalFormatting>
  <conditionalFormatting sqref="I14">
    <cfRule type="containsText" dxfId="174" priority="101" operator="containsText" text="100%">
      <formula>NOT(ISERROR(SEARCH("100%",I14)))</formula>
    </cfRule>
    <cfRule type="containsText" dxfId="173" priority="102" operator="containsText" text="no">
      <formula>NOT(ISERROR(SEARCH("no",I14)))</formula>
    </cfRule>
    <cfRule type="containsText" dxfId="172" priority="103" operator="containsText" text="si">
      <formula>NOT(ISERROR(SEARCH("si",I14)))</formula>
    </cfRule>
    <cfRule type="cellIs" dxfId="171" priority="104" operator="equal">
      <formula>1</formula>
    </cfRule>
    <cfRule type="cellIs" dxfId="170" priority="105" operator="equal">
      <formula>"no"</formula>
    </cfRule>
  </conditionalFormatting>
  <conditionalFormatting sqref="F15">
    <cfRule type="cellIs" dxfId="169" priority="100" operator="equal">
      <formula>"NO"</formula>
    </cfRule>
  </conditionalFormatting>
  <conditionalFormatting sqref="F15">
    <cfRule type="containsText" dxfId="168" priority="95" operator="containsText" text="100%">
      <formula>NOT(ISERROR(SEARCH("100%",F15)))</formula>
    </cfRule>
    <cfRule type="containsText" dxfId="167" priority="96" operator="containsText" text="no">
      <formula>NOT(ISERROR(SEARCH("no",F15)))</formula>
    </cfRule>
    <cfRule type="containsText" dxfId="166" priority="97" operator="containsText" text="si">
      <formula>NOT(ISERROR(SEARCH("si",F15)))</formula>
    </cfRule>
    <cfRule type="cellIs" dxfId="165" priority="98" operator="equal">
      <formula>1</formula>
    </cfRule>
    <cfRule type="cellIs" dxfId="164" priority="99" operator="equal">
      <formula>"no"</formula>
    </cfRule>
  </conditionalFormatting>
  <conditionalFormatting sqref="E21">
    <cfRule type="cellIs" dxfId="163" priority="88" operator="equal">
      <formula>"NO"</formula>
    </cfRule>
  </conditionalFormatting>
  <conditionalFormatting sqref="E21">
    <cfRule type="containsText" dxfId="162" priority="83" operator="containsText" text="100%">
      <formula>NOT(ISERROR(SEARCH("100%",E21)))</formula>
    </cfRule>
    <cfRule type="containsText" dxfId="161" priority="84" operator="containsText" text="no">
      <formula>NOT(ISERROR(SEARCH("no",E21)))</formula>
    </cfRule>
    <cfRule type="containsText" dxfId="160" priority="85" operator="containsText" text="si">
      <formula>NOT(ISERROR(SEARCH("si",E21)))</formula>
    </cfRule>
    <cfRule type="cellIs" dxfId="159" priority="86" operator="equal">
      <formula>1</formula>
    </cfRule>
    <cfRule type="cellIs" dxfId="158" priority="87" operator="equal">
      <formula>"no"</formula>
    </cfRule>
  </conditionalFormatting>
  <conditionalFormatting sqref="F21">
    <cfRule type="cellIs" dxfId="157" priority="82" operator="equal">
      <formula>"NO"</formula>
    </cfRule>
  </conditionalFormatting>
  <conditionalFormatting sqref="F21">
    <cfRule type="containsText" dxfId="156" priority="77" operator="containsText" text="100%">
      <formula>NOT(ISERROR(SEARCH("100%",F21)))</formula>
    </cfRule>
    <cfRule type="containsText" dxfId="155" priority="78" operator="containsText" text="no">
      <formula>NOT(ISERROR(SEARCH("no",F21)))</formula>
    </cfRule>
    <cfRule type="containsText" dxfId="154" priority="79" operator="containsText" text="si">
      <formula>NOT(ISERROR(SEARCH("si",F21)))</formula>
    </cfRule>
    <cfRule type="cellIs" dxfId="153" priority="80" operator="equal">
      <formula>1</formula>
    </cfRule>
    <cfRule type="cellIs" dxfId="152" priority="81" operator="equal">
      <formula>"no"</formula>
    </cfRule>
  </conditionalFormatting>
  <conditionalFormatting sqref="J21">
    <cfRule type="cellIs" dxfId="151" priority="76" operator="equal">
      <formula>"NO"</formula>
    </cfRule>
  </conditionalFormatting>
  <conditionalFormatting sqref="J21">
    <cfRule type="containsText" dxfId="150" priority="71" operator="containsText" text="100%">
      <formula>NOT(ISERROR(SEARCH("100%",J21)))</formula>
    </cfRule>
    <cfRule type="containsText" dxfId="149" priority="72" operator="containsText" text="no">
      <formula>NOT(ISERROR(SEARCH("no",J21)))</formula>
    </cfRule>
    <cfRule type="containsText" dxfId="148" priority="73" operator="containsText" text="si">
      <formula>NOT(ISERROR(SEARCH("si",J21)))</formula>
    </cfRule>
    <cfRule type="cellIs" dxfId="147" priority="74" operator="equal">
      <formula>1</formula>
    </cfRule>
    <cfRule type="cellIs" dxfId="146" priority="75" operator="equal">
      <formula>"no"</formula>
    </cfRule>
  </conditionalFormatting>
  <conditionalFormatting sqref="K21">
    <cfRule type="cellIs" dxfId="145" priority="70" operator="equal">
      <formula>"NO"</formula>
    </cfRule>
  </conditionalFormatting>
  <conditionalFormatting sqref="K21">
    <cfRule type="containsText" dxfId="144" priority="65" operator="containsText" text="100%">
      <formula>NOT(ISERROR(SEARCH("100%",K21)))</formula>
    </cfRule>
    <cfRule type="containsText" dxfId="143" priority="66" operator="containsText" text="no">
      <formula>NOT(ISERROR(SEARCH("no",K21)))</formula>
    </cfRule>
    <cfRule type="containsText" dxfId="142" priority="67" operator="containsText" text="si">
      <formula>NOT(ISERROR(SEARCH("si",K21)))</formula>
    </cfRule>
    <cfRule type="cellIs" dxfId="141" priority="68" operator="equal">
      <formula>1</formula>
    </cfRule>
    <cfRule type="cellIs" dxfId="140" priority="69" operator="equal">
      <formula>"no"</formula>
    </cfRule>
  </conditionalFormatting>
  <conditionalFormatting sqref="F13:G14">
    <cfRule type="containsText" dxfId="139" priority="54" operator="containsText" text="100%">
      <formula>NOT(ISERROR(SEARCH("100%",F13)))</formula>
    </cfRule>
    <cfRule type="containsText" dxfId="138" priority="55" operator="containsText" text="no">
      <formula>NOT(ISERROR(SEARCH("no",F13)))</formula>
    </cfRule>
    <cfRule type="containsText" dxfId="137" priority="56" operator="containsText" text="si">
      <formula>NOT(ISERROR(SEARCH("si",F13)))</formula>
    </cfRule>
    <cfRule type="cellIs" dxfId="136" priority="57" operator="equal">
      <formula>1</formula>
    </cfRule>
    <cfRule type="cellIs" dxfId="135" priority="58" operator="equal">
      <formula>"no"</formula>
    </cfRule>
  </conditionalFormatting>
  <conditionalFormatting sqref="F13:G14">
    <cfRule type="containsText" dxfId="134" priority="53" operator="containsText" text="AAA">
      <formula>NOT(ISERROR(SEARCH("AAA",F13)))</formula>
    </cfRule>
  </conditionalFormatting>
  <conditionalFormatting sqref="D24:K24">
    <cfRule type="containsText" dxfId="133" priority="52" operator="containsText" text="AAA">
      <formula>NOT(ISERROR(SEARCH("AAA",D24)))</formula>
    </cfRule>
  </conditionalFormatting>
  <conditionalFormatting sqref="G21">
    <cfRule type="containsText" dxfId="132" priority="51" operator="containsText" text="AAA">
      <formula>NOT(ISERROR(SEARCH("AAA",G21)))</formula>
    </cfRule>
  </conditionalFormatting>
  <conditionalFormatting sqref="H21">
    <cfRule type="cellIs" dxfId="131" priority="50" operator="equal">
      <formula>"NO"</formula>
    </cfRule>
  </conditionalFormatting>
  <conditionalFormatting sqref="H21">
    <cfRule type="containsText" dxfId="130" priority="45" operator="containsText" text="100%">
      <formula>NOT(ISERROR(SEARCH("100%",H21)))</formula>
    </cfRule>
    <cfRule type="containsText" dxfId="129" priority="46" operator="containsText" text="no">
      <formula>NOT(ISERROR(SEARCH("no",H21)))</formula>
    </cfRule>
    <cfRule type="containsText" dxfId="128" priority="47" operator="containsText" text="si">
      <formula>NOT(ISERROR(SEARCH("si",H21)))</formula>
    </cfRule>
    <cfRule type="cellIs" dxfId="127" priority="48" operator="equal">
      <formula>1</formula>
    </cfRule>
    <cfRule type="cellIs" dxfId="126" priority="49" operator="equal">
      <formula>"no"</formula>
    </cfRule>
  </conditionalFormatting>
  <conditionalFormatting sqref="H21">
    <cfRule type="containsText" dxfId="125" priority="44" operator="containsText" text="AAA">
      <formula>NOT(ISERROR(SEARCH("AAA",H21)))</formula>
    </cfRule>
  </conditionalFormatting>
  <conditionalFormatting sqref="I21">
    <cfRule type="cellIs" dxfId="124" priority="43" operator="equal">
      <formula>"NO"</formula>
    </cfRule>
  </conditionalFormatting>
  <conditionalFormatting sqref="I21">
    <cfRule type="containsText" dxfId="123" priority="38" operator="containsText" text="100%">
      <formula>NOT(ISERROR(SEARCH("100%",I21)))</formula>
    </cfRule>
    <cfRule type="containsText" dxfId="122" priority="39" operator="containsText" text="no">
      <formula>NOT(ISERROR(SEARCH("no",I21)))</formula>
    </cfRule>
    <cfRule type="containsText" dxfId="121" priority="40" operator="containsText" text="si">
      <formula>NOT(ISERROR(SEARCH("si",I21)))</formula>
    </cfRule>
    <cfRule type="cellIs" dxfId="120" priority="41" operator="equal">
      <formula>1</formula>
    </cfRule>
    <cfRule type="cellIs" dxfId="119" priority="42" operator="equal">
      <formula>"no"</formula>
    </cfRule>
  </conditionalFormatting>
  <conditionalFormatting sqref="I21">
    <cfRule type="containsText" dxfId="118" priority="37" operator="containsText" text="AAA">
      <formula>NOT(ISERROR(SEARCH("AAA",I21)))</formula>
    </cfRule>
  </conditionalFormatting>
  <conditionalFormatting sqref="E25:E26">
    <cfRule type="containsText" dxfId="117" priority="36" operator="containsText" text="AAA">
      <formula>NOT(ISERROR(SEARCH("AAA",E25)))</formula>
    </cfRule>
  </conditionalFormatting>
  <conditionalFormatting sqref="D26:K26">
    <cfRule type="containsText" dxfId="116" priority="35" operator="containsText" text="AAA">
      <formula>NOT(ISERROR(SEARCH("AAA",D26)))</formula>
    </cfRule>
  </conditionalFormatting>
  <conditionalFormatting sqref="G25">
    <cfRule type="containsText" dxfId="115" priority="34" operator="containsText" text="AAA">
      <formula>NOT(ISERROR(SEARCH("AAA",G25)))</formula>
    </cfRule>
  </conditionalFormatting>
  <conditionalFormatting sqref="J25">
    <cfRule type="containsText" dxfId="114" priority="33" operator="containsText" text="AAA">
      <formula>NOT(ISERROR(SEARCH("AAA",J25)))</formula>
    </cfRule>
  </conditionalFormatting>
  <conditionalFormatting sqref="F16:K19">
    <cfRule type="cellIs" dxfId="113" priority="32" operator="equal">
      <formula>"NO"</formula>
    </cfRule>
  </conditionalFormatting>
  <conditionalFormatting sqref="F16:K19">
    <cfRule type="containsText" dxfId="112" priority="27" operator="containsText" text="100%">
      <formula>NOT(ISERROR(SEARCH("100%",F16)))</formula>
    </cfRule>
    <cfRule type="containsText" dxfId="111" priority="28" operator="containsText" text="no">
      <formula>NOT(ISERROR(SEARCH("no",F16)))</formula>
    </cfRule>
    <cfRule type="containsText" dxfId="110" priority="29" operator="containsText" text="si">
      <formula>NOT(ISERROR(SEARCH("si",F16)))</formula>
    </cfRule>
    <cfRule type="cellIs" dxfId="109" priority="30" operator="equal">
      <formula>1</formula>
    </cfRule>
    <cfRule type="cellIs" dxfId="108" priority="31" operator="equal">
      <formula>"no"</formula>
    </cfRule>
  </conditionalFormatting>
  <conditionalFormatting sqref="D4:K26">
    <cfRule type="cellIs" dxfId="107" priority="25" operator="greaterThan">
      <formula>0.005</formula>
    </cfRule>
    <cfRule type="cellIs" dxfId="106" priority="26" operator="equal">
      <formula>0</formula>
    </cfRule>
  </conditionalFormatting>
  <conditionalFormatting sqref="D14">
    <cfRule type="cellIs" dxfId="105" priority="24" operator="equal">
      <formula>"NO"</formula>
    </cfRule>
  </conditionalFormatting>
  <conditionalFormatting sqref="D14">
    <cfRule type="containsText" dxfId="104" priority="19" operator="containsText" text="100%">
      <formula>NOT(ISERROR(SEARCH("100%",D14)))</formula>
    </cfRule>
    <cfRule type="containsText" dxfId="103" priority="20" operator="containsText" text="no">
      <formula>NOT(ISERROR(SEARCH("no",D14)))</formula>
    </cfRule>
    <cfRule type="containsText" dxfId="102" priority="21" operator="containsText" text="si">
      <formula>NOT(ISERROR(SEARCH("si",D14)))</formula>
    </cfRule>
    <cfRule type="cellIs" dxfId="101" priority="22" operator="equal">
      <formula>1</formula>
    </cfRule>
    <cfRule type="cellIs" dxfId="100" priority="23" operator="equal">
      <formula>"no"</formula>
    </cfRule>
  </conditionalFormatting>
  <conditionalFormatting sqref="F14:G14">
    <cfRule type="cellIs" dxfId="99" priority="18" operator="equal">
      <formula>"NO"</formula>
    </cfRule>
  </conditionalFormatting>
  <conditionalFormatting sqref="F14:G14">
    <cfRule type="containsText" dxfId="98" priority="13" operator="containsText" text="100%">
      <formula>NOT(ISERROR(SEARCH("100%",F14)))</formula>
    </cfRule>
    <cfRule type="containsText" dxfId="97" priority="14" operator="containsText" text="no">
      <formula>NOT(ISERROR(SEARCH("no",F14)))</formula>
    </cfRule>
    <cfRule type="containsText" dxfId="96" priority="15" operator="containsText" text="si">
      <formula>NOT(ISERROR(SEARCH("si",F14)))</formula>
    </cfRule>
    <cfRule type="cellIs" dxfId="95" priority="16" operator="equal">
      <formula>1</formula>
    </cfRule>
    <cfRule type="cellIs" dxfId="94" priority="17" operator="equal">
      <formula>"no"</formula>
    </cfRule>
  </conditionalFormatting>
  <conditionalFormatting sqref="D30:K30">
    <cfRule type="cellIs" dxfId="93" priority="3" operator="equal">
      <formula>1</formula>
    </cfRule>
    <cfRule type="cellIs" dxfId="92" priority="4" operator="lessThan">
      <formula>0.99</formula>
    </cfRule>
  </conditionalFormatting>
  <conditionalFormatting sqref="D31:K31">
    <cfRule type="cellIs" dxfId="91" priority="12" operator="equal">
      <formula>"NO"</formula>
    </cfRule>
  </conditionalFormatting>
  <conditionalFormatting sqref="D31:K31">
    <cfRule type="containsText" dxfId="90" priority="7" operator="containsText" text="100%">
      <formula>NOT(ISERROR(SEARCH("100%",D31)))</formula>
    </cfRule>
    <cfRule type="containsText" dxfId="89" priority="8" operator="containsText" text="no">
      <formula>NOT(ISERROR(SEARCH("no",D31)))</formula>
    </cfRule>
    <cfRule type="containsText" dxfId="88" priority="9" operator="containsText" text="si">
      <formula>NOT(ISERROR(SEARCH("si",D31)))</formula>
    </cfRule>
    <cfRule type="cellIs" dxfId="87" priority="10" operator="equal">
      <formula>1</formula>
    </cfRule>
    <cfRule type="cellIs" dxfId="86" priority="11" operator="equal">
      <formula>"no"</formula>
    </cfRule>
  </conditionalFormatting>
  <conditionalFormatting sqref="D31:K31">
    <cfRule type="cellIs" dxfId="85" priority="1" operator="greaterThan">
      <formula>0.012</formula>
    </cfRule>
    <cfRule type="cellIs" dxfId="84" priority="2" operator="lessThan">
      <formula>0.0169</formula>
    </cfRule>
    <cfRule type="cellIs" dxfId="83" priority="5" operator="greaterThan">
      <formula>0.0119</formula>
    </cfRule>
    <cfRule type="cellIs" dxfId="82" priority="6" operator="equal">
      <formula>0.0119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6" operator="containsText" id="{94611A4B-445B-41BD-86CC-9452664E8C3C}">
            <xm:f>NOT(ISERROR(SEARCH("-",D35)))</xm:f>
            <xm:f>"-"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D35:K35</xm:sqref>
        </x14:conditionalFormatting>
        <x14:conditionalFormatting xmlns:xm="http://schemas.microsoft.com/office/excel/2006/main">
          <x14:cfRule type="containsText" priority="176" operator="containsText" id="{9C5DEF50-AD8F-4509-A276-9C988F7D66A2}">
            <xm:f>NOT(ISERROR(SEARCH("-",D17)))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D17:D19</xm:sqref>
        </x14:conditionalFormatting>
        <x14:conditionalFormatting xmlns:xm="http://schemas.microsoft.com/office/excel/2006/main">
          <x14:cfRule type="containsText" priority="64" operator="containsText" id="{792326AC-0E74-4FFE-A8BD-2EBF04ED8F1D}">
            <xm:f>NOT(ISERROR(SEARCH("-",D25)))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D25</xm:sqref>
        </x14:conditionalFormatting>
        <x14:conditionalFormatting xmlns:xm="http://schemas.microsoft.com/office/excel/2006/main">
          <x14:cfRule type="containsText" priority="63" operator="containsText" id="{81898ED4-788E-403E-B55F-C5769397932E}">
            <xm:f>NOT(ISERROR(SEARCH("-",F25)))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containsText" priority="62" operator="containsText" id="{0EE8FD29-79E1-4A2E-9F56-EF459FF54DD1}">
            <xm:f>NOT(ISERROR(SEARCH("-",H25)))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H25</xm:sqref>
        </x14:conditionalFormatting>
        <x14:conditionalFormatting xmlns:xm="http://schemas.microsoft.com/office/excel/2006/main">
          <x14:cfRule type="containsText" priority="61" operator="containsText" id="{B67F36AD-03FB-462B-B77A-B9352BA2E667}">
            <xm:f>NOT(ISERROR(SEARCH("-",I25)))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I25</xm:sqref>
        </x14:conditionalFormatting>
        <x14:conditionalFormatting xmlns:xm="http://schemas.microsoft.com/office/excel/2006/main">
          <x14:cfRule type="containsText" priority="60" operator="containsText" id="{41D436C6-446C-497A-85B4-6CEE782183DB}">
            <xm:f>NOT(ISERROR(SEARCH("-",K25)))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K25</xm:sqref>
        </x14:conditionalFormatting>
        <x14:conditionalFormatting xmlns:xm="http://schemas.microsoft.com/office/excel/2006/main">
          <x14:cfRule type="containsText" priority="59" operator="containsText" id="{B728CB37-5280-45CB-A910-44C6711F043F}">
            <xm:f>NOT(ISERROR(SEARCH("-",K28)))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K28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</sheetPr>
  <dimension ref="B2:D10"/>
  <sheetViews>
    <sheetView tabSelected="1" workbookViewId="0">
      <selection activeCell="B2" sqref="B2:D10"/>
    </sheetView>
  </sheetViews>
  <sheetFormatPr baseColWidth="10" defaultRowHeight="14" x14ac:dyDescent="0.15"/>
  <cols>
    <col min="2" max="2" width="20.1640625" customWidth="1"/>
    <col min="3" max="4" width="15.6640625" customWidth="1"/>
  </cols>
  <sheetData>
    <row r="2" spans="2:4" ht="42" x14ac:dyDescent="0.15">
      <c r="B2" s="99" t="s">
        <v>220</v>
      </c>
      <c r="C2" s="100" t="s">
        <v>221</v>
      </c>
      <c r="D2" s="100" t="s">
        <v>222</v>
      </c>
    </row>
    <row r="3" spans="2:4" ht="24" customHeight="1" x14ac:dyDescent="0.15">
      <c r="B3" s="61" t="s">
        <v>226</v>
      </c>
      <c r="C3" s="85">
        <v>1</v>
      </c>
      <c r="D3" s="101">
        <v>0.9750000000000002</v>
      </c>
    </row>
    <row r="4" spans="2:4" ht="24" customHeight="1" x14ac:dyDescent="0.15">
      <c r="B4" s="60" t="s">
        <v>231</v>
      </c>
      <c r="C4" s="85">
        <v>1</v>
      </c>
      <c r="D4" s="101">
        <v>0.83500000000000019</v>
      </c>
    </row>
    <row r="5" spans="2:4" ht="24" customHeight="1" x14ac:dyDescent="0.15">
      <c r="B5" s="60" t="s">
        <v>228</v>
      </c>
      <c r="C5" s="85">
        <v>1</v>
      </c>
      <c r="D5" s="101">
        <v>0.68500000000000016</v>
      </c>
    </row>
    <row r="6" spans="2:4" ht="24" customHeight="1" x14ac:dyDescent="0.15">
      <c r="B6" s="65" t="s">
        <v>227</v>
      </c>
      <c r="C6" s="85">
        <v>0.1</v>
      </c>
      <c r="D6" s="101">
        <v>0.48500000000000015</v>
      </c>
    </row>
    <row r="7" spans="2:4" ht="24" customHeight="1" x14ac:dyDescent="0.15">
      <c r="B7" s="65" t="s">
        <v>230</v>
      </c>
      <c r="C7" s="85">
        <v>0.1</v>
      </c>
      <c r="D7" s="101">
        <v>0.41000000000000009</v>
      </c>
    </row>
    <row r="8" spans="2:4" ht="24" customHeight="1" x14ac:dyDescent="0.15">
      <c r="B8" s="65" t="s">
        <v>232</v>
      </c>
      <c r="C8" s="85">
        <v>0.1</v>
      </c>
      <c r="D8" s="101">
        <v>0.41000000000000009</v>
      </c>
    </row>
    <row r="9" spans="2:4" ht="24" customHeight="1" x14ac:dyDescent="0.15">
      <c r="B9" s="65" t="s">
        <v>229</v>
      </c>
      <c r="C9" s="85">
        <v>0.1</v>
      </c>
      <c r="D9" s="101">
        <v>0.38500000000000012</v>
      </c>
    </row>
    <row r="10" spans="2:4" ht="24" customHeight="1" x14ac:dyDescent="0.15">
      <c r="B10" s="47" t="s">
        <v>225</v>
      </c>
      <c r="C10" s="85">
        <v>0.1</v>
      </c>
      <c r="D10" s="101">
        <v>0.36500000000000005</v>
      </c>
    </row>
  </sheetData>
  <conditionalFormatting sqref="C3:C10">
    <cfRule type="cellIs" dxfId="73" priority="3" operator="equal">
      <formula>1</formula>
    </cfRule>
    <cfRule type="cellIs" dxfId="72" priority="4" operator="lessThan">
      <formula>0.99</formula>
    </cfRule>
  </conditionalFormatting>
  <conditionalFormatting sqref="D3:D10">
    <cfRule type="cellIs" dxfId="71" priority="1" operator="lessThan">
      <formula>0.67</formula>
    </cfRule>
    <cfRule type="cellIs" dxfId="70" priority="2" operator="greaterThan">
      <formula>0.67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K39"/>
  <sheetViews>
    <sheetView topLeftCell="A3" zoomScaleNormal="100" workbookViewId="0">
      <selection activeCell="A3" sqref="A3:F39"/>
    </sheetView>
  </sheetViews>
  <sheetFormatPr baseColWidth="10" defaultColWidth="11" defaultRowHeight="11" x14ac:dyDescent="0.15"/>
  <cols>
    <col min="1" max="1" width="15" style="28" customWidth="1"/>
    <col min="2" max="2" width="17.1640625" style="28" customWidth="1"/>
    <col min="3" max="3" width="7.6640625" style="28" customWidth="1"/>
    <col min="4" max="4" width="12.6640625" style="28" customWidth="1"/>
    <col min="5" max="5" width="11.1640625" style="28" customWidth="1"/>
    <col min="6" max="6" width="12.1640625" style="28" customWidth="1"/>
    <col min="7" max="16384" width="11" style="28"/>
  </cols>
  <sheetData>
    <row r="1" spans="1:6" s="95" customFormat="1" ht="39.75" hidden="1" customHeight="1" x14ac:dyDescent="0.15">
      <c r="B1" s="220"/>
      <c r="C1" s="220"/>
      <c r="D1" s="220"/>
      <c r="E1" s="220"/>
      <c r="F1" s="220"/>
    </row>
    <row r="2" spans="1:6" ht="3" hidden="1" customHeight="1" x14ac:dyDescent="0.15"/>
    <row r="3" spans="1:6" s="95" customFormat="1" ht="24" x14ac:dyDescent="0.15">
      <c r="A3" s="60" t="s">
        <v>158</v>
      </c>
      <c r="B3" s="60" t="s">
        <v>7</v>
      </c>
      <c r="C3" s="98" t="s">
        <v>163</v>
      </c>
      <c r="D3" s="60" t="s">
        <v>228</v>
      </c>
      <c r="E3" s="61" t="s">
        <v>226</v>
      </c>
      <c r="F3" s="60" t="s">
        <v>231</v>
      </c>
    </row>
    <row r="4" spans="1:6" s="95" customFormat="1" ht="32.25" customHeight="1" x14ac:dyDescent="0.15">
      <c r="A4" s="64" t="s">
        <v>214</v>
      </c>
      <c r="B4" s="64" t="s">
        <v>9</v>
      </c>
      <c r="C4" s="66">
        <v>0.3</v>
      </c>
      <c r="D4" s="54">
        <v>0.3</v>
      </c>
      <c r="E4" s="54">
        <v>0.3</v>
      </c>
      <c r="F4" s="54">
        <v>0.3</v>
      </c>
    </row>
    <row r="5" spans="1:6" s="95" customFormat="1" ht="24.75" customHeight="1" x14ac:dyDescent="0.15">
      <c r="A5" s="195" t="s">
        <v>185</v>
      </c>
      <c r="B5" s="64" t="s">
        <v>60</v>
      </c>
      <c r="C5" s="197">
        <v>0.1</v>
      </c>
      <c r="D5" s="221">
        <v>0</v>
      </c>
      <c r="E5" s="222">
        <v>0.1</v>
      </c>
      <c r="F5" s="222">
        <v>0.1</v>
      </c>
    </row>
    <row r="6" spans="1:6" s="95" customFormat="1" ht="34.5" customHeight="1" x14ac:dyDescent="0.15">
      <c r="A6" s="195"/>
      <c r="B6" s="64" t="s">
        <v>165</v>
      </c>
      <c r="C6" s="197"/>
      <c r="D6" s="221"/>
      <c r="E6" s="222"/>
      <c r="F6" s="222"/>
    </row>
    <row r="7" spans="1:6" s="95" customFormat="1" ht="16.5" customHeight="1" x14ac:dyDescent="0.15">
      <c r="A7" s="64" t="s">
        <v>219</v>
      </c>
      <c r="B7" s="64" t="s">
        <v>166</v>
      </c>
      <c r="C7" s="66">
        <v>0.1</v>
      </c>
      <c r="D7" s="55">
        <v>0.1</v>
      </c>
      <c r="E7" s="55">
        <v>0.1</v>
      </c>
      <c r="F7" s="55">
        <v>0.1</v>
      </c>
    </row>
    <row r="8" spans="1:6" s="95" customFormat="1" ht="24" customHeight="1" x14ac:dyDescent="0.15">
      <c r="A8" s="64" t="s">
        <v>215</v>
      </c>
      <c r="B8" s="64" t="s">
        <v>190</v>
      </c>
      <c r="C8" s="66">
        <v>0.1</v>
      </c>
      <c r="D8" s="55">
        <v>0.1</v>
      </c>
      <c r="E8" s="55">
        <v>0.1</v>
      </c>
      <c r="F8" s="55">
        <v>0.1</v>
      </c>
    </row>
    <row r="9" spans="1:6" ht="35.25" customHeight="1" x14ac:dyDescent="0.15">
      <c r="A9" s="64" t="s">
        <v>216</v>
      </c>
      <c r="B9" s="64" t="s">
        <v>11</v>
      </c>
      <c r="C9" s="66">
        <v>0.1</v>
      </c>
      <c r="D9" s="50">
        <v>0</v>
      </c>
      <c r="E9" s="55">
        <v>0.1</v>
      </c>
      <c r="F9" s="50">
        <v>0</v>
      </c>
    </row>
    <row r="10" spans="1:6" ht="20.25" customHeight="1" x14ac:dyDescent="0.15">
      <c r="A10" s="195" t="s">
        <v>180</v>
      </c>
      <c r="B10" s="64" t="s">
        <v>22</v>
      </c>
      <c r="C10" s="66">
        <v>0.01</v>
      </c>
      <c r="D10" s="54">
        <v>0.01</v>
      </c>
      <c r="E10" s="54">
        <v>0.01</v>
      </c>
      <c r="F10" s="54">
        <v>0.01</v>
      </c>
    </row>
    <row r="11" spans="1:6" ht="20.25" customHeight="1" x14ac:dyDescent="0.15">
      <c r="A11" s="195"/>
      <c r="B11" s="64" t="s">
        <v>63</v>
      </c>
      <c r="C11" s="66">
        <v>0.01</v>
      </c>
      <c r="D11" s="50">
        <v>0</v>
      </c>
      <c r="E11" s="54">
        <v>0.01</v>
      </c>
      <c r="F11" s="50">
        <v>0</v>
      </c>
    </row>
    <row r="12" spans="1:6" ht="27.75" customHeight="1" x14ac:dyDescent="0.15">
      <c r="A12" s="195"/>
      <c r="B12" s="64" t="s">
        <v>23</v>
      </c>
      <c r="C12" s="66">
        <v>0.03</v>
      </c>
      <c r="D12" s="50">
        <v>0</v>
      </c>
      <c r="E12" s="54">
        <v>0.03</v>
      </c>
      <c r="F12" s="50">
        <v>0</v>
      </c>
    </row>
    <row r="13" spans="1:6" ht="19.5" customHeight="1" x14ac:dyDescent="0.15">
      <c r="A13" s="195" t="s">
        <v>192</v>
      </c>
      <c r="B13" s="64" t="s">
        <v>51</v>
      </c>
      <c r="C13" s="67">
        <v>2.5000000000000001E-2</v>
      </c>
      <c r="D13" s="50">
        <v>0</v>
      </c>
      <c r="E13" s="56">
        <v>2.5000000000000001E-2</v>
      </c>
      <c r="F13" s="56">
        <v>2.5000000000000001E-2</v>
      </c>
    </row>
    <row r="14" spans="1:6" ht="19.5" customHeight="1" x14ac:dyDescent="0.15">
      <c r="A14" s="195"/>
      <c r="B14" s="64" t="s">
        <v>52</v>
      </c>
      <c r="C14" s="67">
        <v>2.5000000000000001E-2</v>
      </c>
      <c r="D14" s="50">
        <v>0</v>
      </c>
      <c r="E14" s="50">
        <v>0</v>
      </c>
      <c r="F14" s="56">
        <v>2.5000000000000001E-2</v>
      </c>
    </row>
    <row r="15" spans="1:6" s="37" customFormat="1" ht="27.75" customHeight="1" x14ac:dyDescent="0.15">
      <c r="A15" s="195" t="s">
        <v>207</v>
      </c>
      <c r="B15" s="64" t="s">
        <v>150</v>
      </c>
      <c r="C15" s="66">
        <v>0.01</v>
      </c>
      <c r="D15" s="58">
        <v>0.01</v>
      </c>
      <c r="E15" s="58">
        <v>0.01</v>
      </c>
      <c r="F15" s="58">
        <v>0.01</v>
      </c>
    </row>
    <row r="16" spans="1:6" ht="18.75" customHeight="1" x14ac:dyDescent="0.15">
      <c r="A16" s="195"/>
      <c r="B16" s="64" t="s">
        <v>5</v>
      </c>
      <c r="C16" s="66">
        <v>0.01</v>
      </c>
      <c r="D16" s="58">
        <v>0.01</v>
      </c>
      <c r="E16" s="58">
        <v>0.01</v>
      </c>
      <c r="F16" s="58">
        <v>0.01</v>
      </c>
    </row>
    <row r="17" spans="1:6" ht="18.75" customHeight="1" x14ac:dyDescent="0.15">
      <c r="A17" s="195"/>
      <c r="B17" s="64" t="s">
        <v>4</v>
      </c>
      <c r="C17" s="66">
        <v>0.01</v>
      </c>
      <c r="D17" s="58">
        <v>0.01</v>
      </c>
      <c r="E17" s="58">
        <v>0.01</v>
      </c>
      <c r="F17" s="58">
        <v>0.01</v>
      </c>
    </row>
    <row r="18" spans="1:6" ht="18.75" customHeight="1" x14ac:dyDescent="0.15">
      <c r="A18" s="195"/>
      <c r="B18" s="64" t="s">
        <v>3</v>
      </c>
      <c r="C18" s="66">
        <v>0.01</v>
      </c>
      <c r="D18" s="58">
        <v>0.01</v>
      </c>
      <c r="E18" s="58">
        <v>0.01</v>
      </c>
      <c r="F18" s="58">
        <v>0.01</v>
      </c>
    </row>
    <row r="19" spans="1:6" ht="18.75" customHeight="1" x14ac:dyDescent="0.15">
      <c r="A19" s="195"/>
      <c r="B19" s="64" t="s">
        <v>210</v>
      </c>
      <c r="C19" s="66">
        <v>0.01</v>
      </c>
      <c r="D19" s="58">
        <v>0.01</v>
      </c>
      <c r="E19" s="58">
        <v>0.01</v>
      </c>
      <c r="F19" s="58">
        <v>0.01</v>
      </c>
    </row>
    <row r="20" spans="1:6" ht="39" customHeight="1" x14ac:dyDescent="0.15">
      <c r="A20" s="64" t="s">
        <v>217</v>
      </c>
      <c r="B20" s="64" t="s">
        <v>169</v>
      </c>
      <c r="C20" s="66">
        <v>0.05</v>
      </c>
      <c r="D20" s="50">
        <v>0.05</v>
      </c>
      <c r="E20" s="50">
        <v>0.05</v>
      </c>
      <c r="F20" s="50">
        <v>0.05</v>
      </c>
    </row>
    <row r="21" spans="1:6" ht="16.5" customHeight="1" x14ac:dyDescent="0.15">
      <c r="A21" s="225" t="s">
        <v>218</v>
      </c>
      <c r="B21" s="64" t="s">
        <v>13</v>
      </c>
      <c r="C21" s="198">
        <v>2.5000000000000001E-2</v>
      </c>
      <c r="D21" s="223">
        <v>0</v>
      </c>
      <c r="E21" s="226">
        <v>2.5000000000000001E-2</v>
      </c>
      <c r="F21" s="223">
        <v>0</v>
      </c>
    </row>
    <row r="22" spans="1:6" ht="15.75" customHeight="1" x14ac:dyDescent="0.15">
      <c r="A22" s="225"/>
      <c r="B22" s="64" t="s">
        <v>14</v>
      </c>
      <c r="C22" s="198"/>
      <c r="D22" s="223"/>
      <c r="E22" s="226"/>
      <c r="F22" s="223"/>
    </row>
    <row r="23" spans="1:6" ht="15.75" customHeight="1" x14ac:dyDescent="0.15">
      <c r="A23" s="225"/>
      <c r="B23" s="64" t="s">
        <v>15</v>
      </c>
      <c r="C23" s="198"/>
      <c r="D23" s="223"/>
      <c r="E23" s="226"/>
      <c r="F23" s="223"/>
    </row>
    <row r="24" spans="1:6" ht="15.75" customHeight="1" x14ac:dyDescent="0.15">
      <c r="A24" s="225"/>
      <c r="B24" s="64" t="s">
        <v>18</v>
      </c>
      <c r="C24" s="67">
        <v>2.5000000000000001E-2</v>
      </c>
      <c r="D24" s="56">
        <v>2.5000000000000001E-2</v>
      </c>
      <c r="E24" s="56">
        <v>2.5000000000000001E-2</v>
      </c>
      <c r="F24" s="56">
        <v>2.5000000000000001E-2</v>
      </c>
    </row>
    <row r="25" spans="1:6" ht="16.5" customHeight="1" x14ac:dyDescent="0.15">
      <c r="A25" s="195" t="s">
        <v>182</v>
      </c>
      <c r="B25" s="64" t="s">
        <v>35</v>
      </c>
      <c r="C25" s="67">
        <v>2.5000000000000001E-2</v>
      </c>
      <c r="D25" s="56">
        <v>2.5000000000000001E-2</v>
      </c>
      <c r="E25" s="56">
        <v>2.5000000000000001E-2</v>
      </c>
      <c r="F25" s="56">
        <v>2.5000000000000001E-2</v>
      </c>
    </row>
    <row r="26" spans="1:6" s="33" customFormat="1" ht="31.5" customHeight="1" x14ac:dyDescent="0.15">
      <c r="A26" s="195"/>
      <c r="B26" s="64" t="s">
        <v>21</v>
      </c>
      <c r="C26" s="67">
        <v>2.5000000000000001E-2</v>
      </c>
      <c r="D26" s="56">
        <v>2.5000000000000001E-2</v>
      </c>
      <c r="E26" s="56">
        <v>2.5000000000000001E-2</v>
      </c>
      <c r="F26" s="56">
        <v>2.5000000000000001E-2</v>
      </c>
    </row>
    <row r="27" spans="1:6" s="33" customFormat="1" ht="21" customHeight="1" x14ac:dyDescent="0.15">
      <c r="A27" s="224" t="s">
        <v>187</v>
      </c>
      <c r="B27" s="224"/>
      <c r="C27" s="224"/>
      <c r="D27" s="59">
        <f t="shared" ref="D27:F27" si="0">SUM(D4:D26)</f>
        <v>0.68500000000000016</v>
      </c>
      <c r="E27" s="59">
        <f t="shared" si="0"/>
        <v>0.9750000000000002</v>
      </c>
      <c r="F27" s="59">
        <f t="shared" si="0"/>
        <v>0.83500000000000019</v>
      </c>
    </row>
    <row r="28" spans="1:6" ht="38.25" customHeight="1" x14ac:dyDescent="0.15">
      <c r="A28" s="64" t="s">
        <v>168</v>
      </c>
      <c r="B28" s="64" t="s">
        <v>143</v>
      </c>
      <c r="C28" s="66">
        <v>0</v>
      </c>
      <c r="D28" s="28" t="s">
        <v>17</v>
      </c>
      <c r="E28" s="28" t="s">
        <v>17</v>
      </c>
      <c r="F28" s="28" t="s">
        <v>17</v>
      </c>
    </row>
    <row r="29" spans="1:6" ht="27.75" customHeight="1" x14ac:dyDescent="0.15">
      <c r="A29" s="216" t="s">
        <v>183</v>
      </c>
      <c r="B29" s="217"/>
      <c r="C29" s="218"/>
      <c r="D29" s="60" t="s">
        <v>228</v>
      </c>
      <c r="E29" s="61" t="s">
        <v>226</v>
      </c>
      <c r="F29" s="60" t="s">
        <v>231</v>
      </c>
    </row>
    <row r="30" spans="1:6" ht="25.5" customHeight="1" x14ac:dyDescent="0.15">
      <c r="A30" s="195" t="s">
        <v>184</v>
      </c>
      <c r="B30" s="195"/>
      <c r="C30" s="195"/>
      <c r="D30" s="85">
        <v>1</v>
      </c>
      <c r="E30" s="85">
        <v>1</v>
      </c>
      <c r="F30" s="85">
        <v>1</v>
      </c>
    </row>
    <row r="31" spans="1:6" ht="29.25" customHeight="1" x14ac:dyDescent="0.15">
      <c r="A31" s="195" t="s">
        <v>175</v>
      </c>
      <c r="B31" s="195" t="s">
        <v>61</v>
      </c>
      <c r="C31" s="195"/>
      <c r="D31" s="86">
        <f>1.690613%-0.05%</f>
        <v>1.6406129999999998E-2</v>
      </c>
      <c r="E31" s="87">
        <f>1.690613%-0.5%</f>
        <v>1.1906129999999997E-2</v>
      </c>
      <c r="F31" s="86">
        <f>1.690613%-0.1%</f>
        <v>1.5906129999999997E-2</v>
      </c>
    </row>
    <row r="32" spans="1:6" ht="31.5" customHeight="1" x14ac:dyDescent="0.15">
      <c r="A32" s="195"/>
      <c r="B32" s="195" t="s">
        <v>157</v>
      </c>
      <c r="C32" s="195"/>
      <c r="D32" s="45">
        <f>((36165000000)*D31)*0.666</f>
        <v>395156242.50569999</v>
      </c>
      <c r="E32" s="45">
        <f>(25000000000)*E31</f>
        <v>297653249.99999994</v>
      </c>
      <c r="F32" s="45">
        <f>(60244000000)*F31</f>
        <v>958248895.71999979</v>
      </c>
    </row>
    <row r="33" spans="1:11" ht="29.25" customHeight="1" x14ac:dyDescent="0.15">
      <c r="A33" s="195"/>
      <c r="B33" s="195" t="s">
        <v>174</v>
      </c>
      <c r="C33" s="195"/>
      <c r="D33" s="97">
        <f>D32/12</f>
        <v>32929686.875475001</v>
      </c>
      <c r="E33" s="45">
        <f>E32/12</f>
        <v>24804437.499999996</v>
      </c>
      <c r="F33" s="97">
        <f t="shared" ref="F33" si="1">F32/12</f>
        <v>79854074.643333316</v>
      </c>
    </row>
    <row r="34" spans="1:11" ht="26.25" customHeight="1" x14ac:dyDescent="0.15">
      <c r="A34" s="195" t="s">
        <v>142</v>
      </c>
      <c r="B34" s="195"/>
      <c r="C34" s="195"/>
      <c r="D34" s="53" t="s">
        <v>17</v>
      </c>
      <c r="E34" s="43" t="s">
        <v>17</v>
      </c>
      <c r="F34" s="53" t="s">
        <v>17</v>
      </c>
    </row>
    <row r="35" spans="1:11" s="33" customFormat="1" ht="26.25" customHeight="1" x14ac:dyDescent="0.15">
      <c r="A35" s="195" t="s">
        <v>171</v>
      </c>
      <c r="B35" s="195"/>
      <c r="C35" s="195"/>
      <c r="D35" s="38" t="s">
        <v>172</v>
      </c>
      <c r="E35" s="31" t="s">
        <v>173</v>
      </c>
      <c r="F35" s="31" t="s">
        <v>172</v>
      </c>
    </row>
    <row r="36" spans="1:11" ht="11.25" customHeight="1" x14ac:dyDescent="0.15">
      <c r="A36" s="219" t="s">
        <v>209</v>
      </c>
      <c r="B36" s="219"/>
      <c r="C36" s="219"/>
      <c r="D36" s="219"/>
      <c r="E36" s="219"/>
      <c r="F36" s="219"/>
      <c r="G36" s="96"/>
      <c r="H36" s="96"/>
      <c r="I36" s="96"/>
      <c r="J36" s="96"/>
      <c r="K36" s="96"/>
    </row>
    <row r="37" spans="1:11" x14ac:dyDescent="0.15">
      <c r="A37" s="219"/>
      <c r="B37" s="219"/>
      <c r="C37" s="219"/>
      <c r="D37" s="219"/>
      <c r="E37" s="219"/>
      <c r="F37" s="219"/>
      <c r="G37" s="96"/>
      <c r="H37" s="96"/>
      <c r="I37" s="96"/>
      <c r="J37" s="96"/>
      <c r="K37" s="96"/>
    </row>
    <row r="38" spans="1:11" x14ac:dyDescent="0.15">
      <c r="A38" s="219"/>
      <c r="B38" s="219"/>
      <c r="C38" s="219"/>
      <c r="D38" s="219"/>
      <c r="E38" s="219"/>
      <c r="F38" s="219"/>
    </row>
    <row r="39" spans="1:11" x14ac:dyDescent="0.15">
      <c r="A39" s="219"/>
      <c r="B39" s="219"/>
      <c r="C39" s="219"/>
      <c r="D39" s="219"/>
      <c r="E39" s="219"/>
      <c r="F39" s="219"/>
    </row>
  </sheetData>
  <sheetProtection autoFilter="0"/>
  <mergeCells count="25">
    <mergeCell ref="A36:F39"/>
    <mergeCell ref="B1:F1"/>
    <mergeCell ref="A5:A6"/>
    <mergeCell ref="C5:C6"/>
    <mergeCell ref="D5:D6"/>
    <mergeCell ref="E5:E6"/>
    <mergeCell ref="F5:F6"/>
    <mergeCell ref="F21:F23"/>
    <mergeCell ref="A25:A26"/>
    <mergeCell ref="A27:C27"/>
    <mergeCell ref="A10:A12"/>
    <mergeCell ref="A13:A14"/>
    <mergeCell ref="A21:A24"/>
    <mergeCell ref="C21:C23"/>
    <mergeCell ref="D21:D23"/>
    <mergeCell ref="E21:E23"/>
    <mergeCell ref="A15:A19"/>
    <mergeCell ref="A34:C34"/>
    <mergeCell ref="A35:C35"/>
    <mergeCell ref="A30:C30"/>
    <mergeCell ref="A31:A33"/>
    <mergeCell ref="B31:C31"/>
    <mergeCell ref="B32:C32"/>
    <mergeCell ref="B33:C33"/>
    <mergeCell ref="A29:C29"/>
  </mergeCells>
  <conditionalFormatting sqref="E21 D15:D20 D11:E11 E14:F20 D4:F4 D7:F10 D12:F12 D24:F26 D28:F28 D32:F34 D15:F15 D19:F19">
    <cfRule type="cellIs" dxfId="69" priority="187" operator="equal">
      <formula>"NO"</formula>
    </cfRule>
  </conditionalFormatting>
  <conditionalFormatting sqref="F9:F10 E9:E11 E21 D15:D20 D9:D13 E12:F20 D4:F4 D7:F8 D24:F26 D28:F28 D32:F34 D15:F15 D19:F19">
    <cfRule type="containsText" dxfId="68" priority="182" operator="containsText" text="100%">
      <formula>NOT(ISERROR(SEARCH("100%",D4)))</formula>
    </cfRule>
    <cfRule type="containsText" dxfId="67" priority="183" operator="containsText" text="no">
      <formula>NOT(ISERROR(SEARCH("no",D4)))</formula>
    </cfRule>
    <cfRule type="containsText" dxfId="66" priority="184" operator="containsText" text="si">
      <formula>NOT(ISERROR(SEARCH("si",D4)))</formula>
    </cfRule>
    <cfRule type="cellIs" dxfId="65" priority="185" operator="equal">
      <formula>1</formula>
    </cfRule>
    <cfRule type="cellIs" dxfId="64" priority="186" operator="equal">
      <formula>"no"</formula>
    </cfRule>
  </conditionalFormatting>
  <conditionalFormatting sqref="D14">
    <cfRule type="cellIs" dxfId="63" priority="100" operator="equal">
      <formula>"NO"</formula>
    </cfRule>
  </conditionalFormatting>
  <conditionalFormatting sqref="D14">
    <cfRule type="containsText" dxfId="62" priority="95" operator="containsText" text="100%">
      <formula>NOT(ISERROR(SEARCH("100%",D14)))</formula>
    </cfRule>
    <cfRule type="containsText" dxfId="61" priority="96" operator="containsText" text="no">
      <formula>NOT(ISERROR(SEARCH("no",D14)))</formula>
    </cfRule>
    <cfRule type="containsText" dxfId="60" priority="97" operator="containsText" text="si">
      <formula>NOT(ISERROR(SEARCH("si",D14)))</formula>
    </cfRule>
    <cfRule type="cellIs" dxfId="59" priority="98" operator="equal">
      <formula>1</formula>
    </cfRule>
    <cfRule type="cellIs" dxfId="58" priority="99" operator="equal">
      <formula>"no"</formula>
    </cfRule>
  </conditionalFormatting>
  <conditionalFormatting sqref="D35">
    <cfRule type="cellIs" dxfId="57" priority="175" operator="equal">
      <formula>"NO"</formula>
    </cfRule>
  </conditionalFormatting>
  <conditionalFormatting sqref="D35">
    <cfRule type="containsText" dxfId="56" priority="170" operator="containsText" text="100%">
      <formula>NOT(ISERROR(SEARCH("100%",D35)))</formula>
    </cfRule>
    <cfRule type="containsText" dxfId="55" priority="171" operator="containsText" text="no">
      <formula>NOT(ISERROR(SEARCH("no",D35)))</formula>
    </cfRule>
    <cfRule type="containsText" dxfId="54" priority="172" operator="containsText" text="si">
      <formula>NOT(ISERROR(SEARCH("si",D35)))</formula>
    </cfRule>
    <cfRule type="cellIs" dxfId="53" priority="173" operator="equal">
      <formula>1</formula>
    </cfRule>
    <cfRule type="cellIs" dxfId="52" priority="174" operator="equal">
      <formula>"no"</formula>
    </cfRule>
  </conditionalFormatting>
  <conditionalFormatting sqref="D35:F35">
    <cfRule type="containsText" dxfId="51" priority="169" operator="containsText" text="O">
      <formula>NOT(ISERROR(SEARCH("O",D35)))</formula>
    </cfRule>
  </conditionalFormatting>
  <conditionalFormatting sqref="D20:F20">
    <cfRule type="containsText" dxfId="50" priority="167" operator="containsText" text="capacitación">
      <formula>NOT(ISERROR(SEARCH("capacitación",D20)))</formula>
    </cfRule>
  </conditionalFormatting>
  <conditionalFormatting sqref="D13 E13:F14 D24:F24 D26:F26">
    <cfRule type="containsText" dxfId="49" priority="163" operator="containsText" text="AAA">
      <formula>NOT(ISERROR(SEARCH("AAA",D13)))</formula>
    </cfRule>
  </conditionalFormatting>
  <conditionalFormatting sqref="D15:F15">
    <cfRule type="cellIs" dxfId="48" priority="161" operator="equal">
      <formula>2</formula>
    </cfRule>
    <cfRule type="containsText" dxfId="47" priority="162" operator="containsText" text="3">
      <formula>NOT(ISERROR(SEARCH("3",D15)))</formula>
    </cfRule>
  </conditionalFormatting>
  <conditionalFormatting sqref="D35:F35">
    <cfRule type="containsText" dxfId="46" priority="159" operator="containsText" text="n.a.">
      <formula>NOT(ISERROR(SEARCH("n.a.",D35)))</formula>
    </cfRule>
  </conditionalFormatting>
  <conditionalFormatting sqref="D30:F30">
    <cfRule type="cellIs" dxfId="45" priority="157" operator="equal">
      <formula>1</formula>
    </cfRule>
    <cfRule type="cellIs" dxfId="44" priority="158" operator="lessThan">
      <formula>0.99</formula>
    </cfRule>
  </conditionalFormatting>
  <conditionalFormatting sqref="D5">
    <cfRule type="cellIs" dxfId="43" priority="156" operator="equal">
      <formula>"NO"</formula>
    </cfRule>
  </conditionalFormatting>
  <conditionalFormatting sqref="D5">
    <cfRule type="containsText" dxfId="42" priority="151" operator="containsText" text="100%">
      <formula>NOT(ISERROR(SEARCH("100%",D5)))</formula>
    </cfRule>
    <cfRule type="containsText" dxfId="41" priority="152" operator="containsText" text="no">
      <formula>NOT(ISERROR(SEARCH("no",D5)))</formula>
    </cfRule>
    <cfRule type="containsText" dxfId="40" priority="153" operator="containsText" text="si">
      <formula>NOT(ISERROR(SEARCH("si",D5)))</formula>
    </cfRule>
    <cfRule type="cellIs" dxfId="39" priority="154" operator="equal">
      <formula>1</formula>
    </cfRule>
    <cfRule type="cellIs" dxfId="38" priority="155" operator="equal">
      <formula>"no"</formula>
    </cfRule>
  </conditionalFormatting>
  <conditionalFormatting sqref="E5">
    <cfRule type="cellIs" dxfId="37" priority="126" operator="equal">
      <formula>"NO"</formula>
    </cfRule>
  </conditionalFormatting>
  <conditionalFormatting sqref="E5">
    <cfRule type="containsText" dxfId="36" priority="121" operator="containsText" text="100%">
      <formula>NOT(ISERROR(SEARCH("100%",E5)))</formula>
    </cfRule>
    <cfRule type="containsText" dxfId="35" priority="122" operator="containsText" text="no">
      <formula>NOT(ISERROR(SEARCH("no",E5)))</formula>
    </cfRule>
    <cfRule type="containsText" dxfId="34" priority="123" operator="containsText" text="si">
      <formula>NOT(ISERROR(SEARCH("si",E5)))</formula>
    </cfRule>
    <cfRule type="cellIs" dxfId="33" priority="124" operator="equal">
      <formula>1</formula>
    </cfRule>
    <cfRule type="cellIs" dxfId="32" priority="125" operator="equal">
      <formula>"no"</formula>
    </cfRule>
  </conditionalFormatting>
  <conditionalFormatting sqref="F5">
    <cfRule type="cellIs" dxfId="31" priority="120" operator="equal">
      <formula>"NO"</formula>
    </cfRule>
  </conditionalFormatting>
  <conditionalFormatting sqref="F5">
    <cfRule type="containsText" dxfId="30" priority="115" operator="containsText" text="100%">
      <formula>NOT(ISERROR(SEARCH("100%",F5)))</formula>
    </cfRule>
    <cfRule type="containsText" dxfId="29" priority="116" operator="containsText" text="no">
      <formula>NOT(ISERROR(SEARCH("no",F5)))</formula>
    </cfRule>
    <cfRule type="containsText" dxfId="28" priority="117" operator="containsText" text="si">
      <formula>NOT(ISERROR(SEARCH("si",F5)))</formula>
    </cfRule>
    <cfRule type="cellIs" dxfId="27" priority="118" operator="equal">
      <formula>1</formula>
    </cfRule>
    <cfRule type="cellIs" dxfId="26" priority="119" operator="equal">
      <formula>"no"</formula>
    </cfRule>
  </conditionalFormatting>
  <conditionalFormatting sqref="F11">
    <cfRule type="cellIs" dxfId="25" priority="108" operator="equal">
      <formula>"NO"</formula>
    </cfRule>
  </conditionalFormatting>
  <conditionalFormatting sqref="F11">
    <cfRule type="containsText" dxfId="24" priority="103" operator="containsText" text="100%">
      <formula>NOT(ISERROR(SEARCH("100%",F11)))</formula>
    </cfRule>
    <cfRule type="containsText" dxfId="23" priority="104" operator="containsText" text="no">
      <formula>NOT(ISERROR(SEARCH("no",F11)))</formula>
    </cfRule>
    <cfRule type="containsText" dxfId="22" priority="105" operator="containsText" text="si">
      <formula>NOT(ISERROR(SEARCH("si",F11)))</formula>
    </cfRule>
    <cfRule type="cellIs" dxfId="21" priority="106" operator="equal">
      <formula>1</formula>
    </cfRule>
    <cfRule type="cellIs" dxfId="20" priority="107" operator="equal">
      <formula>"no"</formula>
    </cfRule>
  </conditionalFormatting>
  <conditionalFormatting sqref="D13">
    <cfRule type="cellIs" dxfId="19" priority="102" operator="equal">
      <formula>"NO"</formula>
    </cfRule>
  </conditionalFormatting>
  <conditionalFormatting sqref="D21">
    <cfRule type="cellIs" dxfId="18" priority="76" operator="equal">
      <formula>"NO"</formula>
    </cfRule>
  </conditionalFormatting>
  <conditionalFormatting sqref="D21">
    <cfRule type="containsText" dxfId="17" priority="71" operator="containsText" text="100%">
      <formula>NOT(ISERROR(SEARCH("100%",D21)))</formula>
    </cfRule>
    <cfRule type="containsText" dxfId="16" priority="72" operator="containsText" text="no">
      <formula>NOT(ISERROR(SEARCH("no",D21)))</formula>
    </cfRule>
    <cfRule type="containsText" dxfId="15" priority="73" operator="containsText" text="si">
      <formula>NOT(ISERROR(SEARCH("si",D21)))</formula>
    </cfRule>
    <cfRule type="cellIs" dxfId="14" priority="74" operator="equal">
      <formula>1</formula>
    </cfRule>
    <cfRule type="cellIs" dxfId="13" priority="75" operator="equal">
      <formula>"no"</formula>
    </cfRule>
  </conditionalFormatting>
  <conditionalFormatting sqref="F21">
    <cfRule type="cellIs" dxfId="12" priority="64" operator="equal">
      <formula>"NO"</formula>
    </cfRule>
  </conditionalFormatting>
  <conditionalFormatting sqref="F21">
    <cfRule type="containsText" dxfId="11" priority="59" operator="containsText" text="100%">
      <formula>NOT(ISERROR(SEARCH("100%",F21)))</formula>
    </cfRule>
    <cfRule type="containsText" dxfId="10" priority="60" operator="containsText" text="no">
      <formula>NOT(ISERROR(SEARCH("no",F21)))</formula>
    </cfRule>
    <cfRule type="containsText" dxfId="9" priority="61" operator="containsText" text="si">
      <formula>NOT(ISERROR(SEARCH("si",F21)))</formula>
    </cfRule>
    <cfRule type="cellIs" dxfId="8" priority="62" operator="equal">
      <formula>1</formula>
    </cfRule>
    <cfRule type="cellIs" dxfId="7" priority="63" operator="equal">
      <formula>"no"</formula>
    </cfRule>
  </conditionalFormatting>
  <conditionalFormatting sqref="E21">
    <cfRule type="containsText" dxfId="6" priority="39" operator="containsText" text="AAA">
      <formula>NOT(ISERROR(SEARCH("AAA",E21)))</formula>
    </cfRule>
  </conditionalFormatting>
  <conditionalFormatting sqref="D25:D26">
    <cfRule type="containsText" dxfId="5" priority="24" operator="containsText" text="AAA">
      <formula>NOT(ISERROR(SEARCH("AAA",D25)))</formula>
    </cfRule>
  </conditionalFormatting>
  <conditionalFormatting sqref="E25">
    <cfRule type="containsText" dxfId="4" priority="22" operator="containsText" text="AAA">
      <formula>NOT(ISERROR(SEARCH("AAA",E25)))</formula>
    </cfRule>
  </conditionalFormatting>
  <conditionalFormatting sqref="F25">
    <cfRule type="containsText" dxfId="3" priority="21" operator="containsText" text="AAA">
      <formula>NOT(ISERROR(SEARCH("AAA",F25)))</formula>
    </cfRule>
  </conditionalFormatting>
  <conditionalFormatting sqref="D4:F26">
    <cfRule type="cellIs" dxfId="2" priority="13" operator="greaterThan">
      <formula>0.005</formula>
    </cfRule>
    <cfRule type="cellIs" dxfId="1" priority="14" operator="equal">
      <formula>0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68" operator="containsText" id="{719A9453-19ED-4255-B9E6-4291BA7C345C}">
            <xm:f>NOT(ISERROR(SEARCH("-",D35)))</xm:f>
            <xm:f>"-"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D35:F35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RESUMEN</vt:lpstr>
      <vt:lpstr>Tasa de Oportunidad CUN</vt:lpstr>
      <vt:lpstr>Variables ESAP</vt:lpstr>
      <vt:lpstr>Cobertura</vt:lpstr>
      <vt:lpstr>Tabulación - A. Cualitativo</vt:lpstr>
      <vt:lpstr>Ponderación - A. Cuantitativo</vt:lpstr>
      <vt:lpstr>Resultados Acumulados</vt:lpstr>
      <vt:lpstr>Preseleccionados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Pachon Rocha</dc:creator>
  <cp:lastModifiedBy>Ricardo Ojeda</cp:lastModifiedBy>
  <dcterms:created xsi:type="dcterms:W3CDTF">2021-05-03T11:48:35Z</dcterms:created>
  <dcterms:modified xsi:type="dcterms:W3CDTF">2021-11-08T02:30:23Z</dcterms:modified>
</cp:coreProperties>
</file>