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rof Gest Comercial\Downloads\"/>
    </mc:Choice>
  </mc:AlternateContent>
  <bookViews>
    <workbookView xWindow="0" yWindow="0" windowWidth="28800" windowHeight="12435" tabRatio="703"/>
  </bookViews>
  <sheets>
    <sheet name="Menú" sheetId="7" r:id="rId1"/>
    <sheet name="1" sheetId="1" r:id="rId2"/>
    <sheet name="2" sheetId="4" r:id="rId3"/>
    <sheet name="3" sheetId="3" r:id="rId4"/>
    <sheet name="4" sheetId="5" r:id="rId5"/>
    <sheet name="5" sheetId="6" r:id="rId6"/>
  </sheets>
  <definedNames>
    <definedName name="_xlnm.Print_Area" localSheetId="1">'1'!$A$1:$AC$41</definedName>
    <definedName name="_xlnm.Print_Area" localSheetId="2">'2'!$A$1:$L$31</definedName>
    <definedName name="_xlnm.Print_Area" localSheetId="3">'3'!$A$1:$L$21</definedName>
    <definedName name="_xlnm.Print_Area" localSheetId="4">'4'!$A$1:$J$59</definedName>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4" l="1"/>
  <c r="C30" i="4"/>
  <c r="C29" i="4"/>
  <c r="C28" i="4"/>
  <c r="C25" i="4"/>
  <c r="D17" i="1" l="1"/>
  <c r="D3" i="1"/>
  <c r="F27" i="4" l="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text>
        <r>
          <rPr>
            <b/>
            <sz val="9"/>
            <color indexed="81"/>
            <rFont val="Tahoma"/>
            <family val="2"/>
          </rPr>
          <t>DARIO MAURICIO REYES GIRALDO:</t>
        </r>
        <r>
          <rPr>
            <sz val="9"/>
            <color indexed="81"/>
            <rFont val="Tahoma"/>
            <family val="2"/>
          </rPr>
          <t xml:space="preserve">
Escoja un valor entre 1 y 5.</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<sst xmlns="http://schemas.openxmlformats.org/spreadsheetml/2006/main" count="173" uniqueCount="164">
  <si>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</si>
  <si>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</si>
  <si>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</si>
  <si>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</si>
  <si>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</si>
  <si>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</si>
  <si>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</si>
  <si>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</si>
  <si>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</si>
  <si>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</si>
  <si>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</si>
  <si>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</si>
  <si>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</si>
  <si>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</si>
  <si>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</si>
  <si>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</si>
  <si>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</si>
  <si>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</si>
  <si>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Tutoría por hora</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</si>
  <si>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</si>
  <si>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</si>
  <si>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</si>
  <si>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</si>
  <si>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</si>
  <si>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</si>
  <si>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</si>
  <si>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</si>
  <si>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</si>
  <si>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</si>
  <si>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</si>
  <si>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</si>
  <si>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</si>
  <si>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</si>
  <si>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</si>
  <si>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</si>
  <si>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</si>
  <si>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</si>
  <si>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</si>
  <si>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</si>
  <si>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</si>
  <si>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</si>
  <si>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</si>
  <si>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</si>
  <si>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</si>
  <si>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</si>
  <si>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</si>
  <si>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</si>
  <si>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</si>
  <si>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</si>
  <si>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</si>
  <si>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</si>
  <si>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</si>
  <si>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</si>
  <si>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</si>
  <si>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</si>
  <si>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</si>
  <si>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</si>
  <si>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</si>
  <si>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</si>
  <si>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</si>
  <si>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</si>
  <si>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</si>
  <si>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</si>
  <si>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Alojamiento, servidor, hosting y dominio</t>
  </si>
  <si>
    <t>Licencias y SSL</t>
  </si>
  <si>
    <t>Plataforma reuniones virtuales (40 anfitriones)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</si>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</sst>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FF0000"/>
      <name val="Aharoni"/>
      <charset val="177"/>
    </font>
    <font>
      <sz val="11"/>
      <color rgb="FFFF0000"/>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73">
    <xf numFmtId="0" fontId="0" fillId="0" borderId="0" xfId="0"/>
    <xf numFmtId="0" fontId="24"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Fill="1" applyBorder="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8" fillId="4" borderId="0" xfId="0" applyFont="1" applyFill="1" applyProtection="1">
      <protection locked="0"/>
    </xf>
    <xf numFmtId="166" fontId="28" fillId="4" borderId="0" xfId="1" applyFont="1" applyFill="1" applyProtection="1">
      <protection locked="0"/>
    </xf>
    <xf numFmtId="0" fontId="0" fillId="0" borderId="0" xfId="0" applyProtection="1">
      <protection hidden="1"/>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17" fillId="0" borderId="0" xfId="0" applyNumberFormat="1" applyFont="1" applyProtection="1">
      <protection hidden="1"/>
    </xf>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0" fontId="0" fillId="0" borderId="0" xfId="0" applyNumberFormat="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Fill="1" applyBorder="1" applyAlignment="1">
      <alignment horizontal="center"/>
    </xf>
    <xf numFmtId="0" fontId="25"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50" fillId="0" borderId="0" xfId="0" applyFont="1" applyAlignment="1" applyProtection="1">
      <alignment wrapText="1"/>
      <protection locked="0"/>
    </xf>
    <xf numFmtId="166" fontId="51" fillId="4" borderId="0" xfId="1" applyFont="1" applyFill="1" applyProtection="1">
      <protection locked="0"/>
    </xf>
    <xf numFmtId="0" fontId="27" fillId="0" borderId="0" xfId="0" applyFont="1" applyFill="1" applyBorder="1" applyAlignment="1" applyProtection="1">
      <alignment wrapText="1"/>
      <protection hidden="1"/>
    </xf>
    <xf numFmtId="0" fontId="24" fillId="0" borderId="0" xfId="0" applyFont="1" applyFill="1" applyBorder="1" applyAlignment="1" applyProtection="1">
      <alignment wrapText="1"/>
      <protection hidden="1"/>
    </xf>
    <xf numFmtId="0" fontId="25" fillId="5" borderId="0" xfId="0" applyFont="1" applyFill="1" applyBorder="1" applyAlignment="1" applyProtection="1">
      <alignment wrapText="1"/>
      <protection hidden="1"/>
    </xf>
    <xf numFmtId="0" fontId="13" fillId="0" borderId="0" xfId="0" applyFont="1" applyAlignment="1" applyProtection="1">
      <alignment horizontal="center" vertical="center"/>
      <protection hidden="1"/>
    </xf>
    <xf numFmtId="0" fontId="2" fillId="0" borderId="0" xfId="0" applyFont="1" applyAlignment="1" applyProtection="1">
      <alignment horizontal="center"/>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51"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cellStyle name="Moneda" xfId="1" builtinId="4"/>
    <cellStyle name="Normal" xfId="0" builtinId="0"/>
    <cellStyle name="Normal 2" xfId="6"/>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83262.73871206514</c:v>
                </c:pt>
                <c:pt idx="2">
                  <c:v>166525.47742413028</c:v>
                </c:pt>
              </c:numCache>
            </c:numRef>
          </c:cat>
          <c:val>
            <c:numRef>
              <c:f>'5'!$C$33:$C$35</c:f>
              <c:numCache>
                <c:formatCode>_("$"\ * #,##0.00_);_("$"\ * \(#,##0.00\);_("$"\ * "-"??_);_(@_)</c:formatCode>
                <c:ptCount val="3"/>
                <c:pt idx="0">
                  <c:v>281219900</c:v>
                </c:pt>
                <c:pt idx="1">
                  <c:v>281219900</c:v>
                </c:pt>
                <c:pt idx="2">
                  <c:v>281219900</c:v>
                </c:pt>
              </c:numCache>
            </c:numRef>
          </c:val>
          <c:smooth val="0"/>
          <c:extLst xmlns:c16r2="http://schemas.microsoft.com/office/drawing/2015/06/char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83262.73871206514</c:v>
                </c:pt>
                <c:pt idx="2">
                  <c:v>166525.47742413028</c:v>
                </c:pt>
              </c:numCache>
            </c:numRef>
          </c:cat>
          <c:val>
            <c:numRef>
              <c:f>'5'!$D$33:$D$35</c:f>
              <c:numCache>
                <c:formatCode>_("$"\ * #,##0.00_);_("$"\ * \(#,##0.00\);_("$"\ * "-"??_);_(@_)</c:formatCode>
                <c:ptCount val="3"/>
                <c:pt idx="0" formatCode="General">
                  <c:v>0</c:v>
                </c:pt>
                <c:pt idx="1">
                  <c:v>416313693.56032568</c:v>
                </c:pt>
                <c:pt idx="2">
                  <c:v>832627387.12065136</c:v>
                </c:pt>
              </c:numCache>
            </c:numRef>
          </c:val>
          <c:smooth val="0"/>
          <c:extLst xmlns:c16r2="http://schemas.microsoft.com/office/drawing/2015/06/char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83262.73871206514</c:v>
                </c:pt>
                <c:pt idx="2">
                  <c:v>166525.47742413028</c:v>
                </c:pt>
              </c:numCache>
            </c:numRef>
          </c:cat>
          <c:val>
            <c:numRef>
              <c:f>'5'!$F$33:$F$35</c:f>
              <c:numCache>
                <c:formatCode>_("$"\ * #,##0.00_);_("$"\ * \(#,##0.00\);_("$"\ * "-"??_);_(@_)</c:formatCode>
                <c:ptCount val="3"/>
                <c:pt idx="0">
                  <c:v>281219900</c:v>
                </c:pt>
                <c:pt idx="1">
                  <c:v>416313693.56032568</c:v>
                </c:pt>
                <c:pt idx="2">
                  <c:v>551407487.12065136</c:v>
                </c:pt>
              </c:numCache>
            </c:numRef>
          </c:val>
          <c:smooth val="0"/>
          <c:extLst xmlns:c16r2="http://schemas.microsoft.com/office/drawing/2015/06/char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148073680"/>
        <c:axId val="-1148084560"/>
      </c:lineChart>
      <c:catAx>
        <c:axId val="-1148073680"/>
        <c:scaling>
          <c:orientation val="minMax"/>
        </c:scaling>
        <c:delete val="0"/>
        <c:axPos val="b"/>
        <c:numFmt formatCode="General" sourceLinked="1"/>
        <c:majorTickMark val="out"/>
        <c:minorTickMark val="none"/>
        <c:tickLblPos val="nextTo"/>
        <c:crossAx val="-1148084560"/>
        <c:crosses val="autoZero"/>
        <c:auto val="1"/>
        <c:lblAlgn val="ctr"/>
        <c:lblOffset val="100"/>
        <c:noMultiLvlLbl val="0"/>
      </c:catAx>
      <c:valAx>
        <c:axId val="-1148084560"/>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148073680"/>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xmlns=""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xmlns=""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xmlns=""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xmlns=""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xmlns=""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xmlns=""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xmlns=""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xmlns=""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xmlns=""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xmlns=""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xmlns=""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xmlns=""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xmlns=""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xmlns=""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xmlns=""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xmlns=""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xmlns=""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xmlns=""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xmlns=""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xmlns=""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xmlns=""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xmlns=""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showGridLines="0" showRowColHeaders="0" tabSelected="1" view="pageBreakPreview" zoomScaleNormal="100" zoomScaleSheetLayoutView="100" workbookViewId="0"/>
  </sheetViews>
  <sheetFormatPr baseColWidth="10" defaultColWidth="11.42578125" defaultRowHeight="15"/>
  <sheetData>
    <row r="23" spans="7:8" ht="20.25">
      <c r="G23" s="148" t="s">
        <v>0</v>
      </c>
      <c r="H23" s="148"/>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view="pageBreakPreview" zoomScale="60" zoomScaleNormal="112" workbookViewId="0">
      <selection activeCell="B34" sqref="B34"/>
    </sheetView>
  </sheetViews>
  <sheetFormatPr baseColWidth="10" defaultColWidth="11.42578125" defaultRowHeight="15"/>
  <cols>
    <col min="1" max="1" width="22.5703125" style="14" customWidth="1"/>
    <col min="2" max="2" width="34.5703125" style="14" bestFit="1" customWidth="1"/>
    <col min="3" max="6" width="26" style="14" bestFit="1" customWidth="1"/>
    <col min="7" max="10" width="9.42578125" style="14" bestFit="1" customWidth="1"/>
    <col min="11" max="11" width="4.28515625" style="14" customWidth="1"/>
    <col min="12" max="15" width="11.42578125" style="14" hidden="1" customWidth="1"/>
    <col min="16" max="19" width="12" style="14" hidden="1" customWidth="1"/>
    <col min="20" max="24" width="15.5703125" style="14" hidden="1" customWidth="1"/>
    <col min="25" max="25" width="22.140625" style="14" bestFit="1" customWidth="1"/>
    <col min="26" max="27" width="9.42578125" style="14" bestFit="1" customWidth="1"/>
    <col min="28" max="28" width="11.42578125" style="14" bestFit="1" customWidth="1"/>
    <col min="29" max="29" width="9.42578125" style="14" bestFit="1" customWidth="1"/>
    <col min="30" max="16384" width="11.42578125" style="14"/>
  </cols>
  <sheetData>
    <row r="1" spans="1:29" ht="30.75" customHeight="1">
      <c r="A1" s="150" t="s">
        <v>1</v>
      </c>
      <c r="B1" s="150"/>
      <c r="C1" s="150"/>
      <c r="D1" s="150"/>
      <c r="E1" s="150"/>
      <c r="G1" s="151" t="s">
        <v>2</v>
      </c>
      <c r="H1" s="151"/>
      <c r="I1" s="151"/>
      <c r="J1" s="151"/>
      <c r="P1" s="14" t="s">
        <v>3</v>
      </c>
      <c r="Y1" s="15" t="s">
        <v>4</v>
      </c>
      <c r="Z1" s="47">
        <v>2021</v>
      </c>
      <c r="AA1" s="16"/>
    </row>
    <row r="2" spans="1:29" ht="32.25" customHeight="1" thickBot="1">
      <c r="B2" s="17" t="s">
        <v>5</v>
      </c>
      <c r="C2" s="18" t="s">
        <v>6</v>
      </c>
      <c r="D2" s="17" t="s">
        <v>7</v>
      </c>
      <c r="E2" s="18" t="s">
        <v>8</v>
      </c>
      <c r="F2" s="19" t="s">
        <v>9</v>
      </c>
      <c r="G2" s="20">
        <f>'1'!Z1+1</f>
        <v>2022</v>
      </c>
      <c r="H2" s="20">
        <f>G2+1</f>
        <v>2023</v>
      </c>
      <c r="I2" s="20">
        <f>H2+1</f>
        <v>2024</v>
      </c>
      <c r="J2" s="20">
        <f>I2+1</f>
        <v>2025</v>
      </c>
      <c r="L2" s="14">
        <f>G2</f>
        <v>2022</v>
      </c>
      <c r="M2" s="14">
        <f>H2</f>
        <v>2023</v>
      </c>
      <c r="N2" s="14">
        <f>M2+1</f>
        <v>2024</v>
      </c>
      <c r="O2" s="14">
        <f>N2+1</f>
        <v>2025</v>
      </c>
      <c r="P2" s="14" t="s">
        <v>10</v>
      </c>
      <c r="Q2" s="14" t="s">
        <v>11</v>
      </c>
      <c r="R2" s="14" t="s">
        <v>12</v>
      </c>
      <c r="S2" s="14" t="s">
        <v>13</v>
      </c>
      <c r="T2" s="14" t="s">
        <v>14</v>
      </c>
      <c r="U2" s="14" t="s">
        <v>15</v>
      </c>
      <c r="V2" s="14" t="s">
        <v>16</v>
      </c>
      <c r="W2" s="14" t="s">
        <v>17</v>
      </c>
      <c r="Y2" s="16"/>
      <c r="Z2" s="16"/>
      <c r="AA2" s="16"/>
    </row>
    <row r="3" spans="1:29" ht="24" thickBot="1">
      <c r="A3" s="21">
        <v>1</v>
      </c>
      <c r="B3" s="12" t="s">
        <v>18</v>
      </c>
      <c r="C3" s="53">
        <v>95200</v>
      </c>
      <c r="D3" s="13">
        <f>25000*20%</f>
        <v>5000</v>
      </c>
      <c r="E3" s="22">
        <f>C3*D3</f>
        <v>476000000</v>
      </c>
      <c r="F3" s="23">
        <f>IF($E$13=0,0,E3/$E$13)</f>
        <v>1</v>
      </c>
      <c r="G3" s="115">
        <v>7.5999999999999998E-2</v>
      </c>
      <c r="H3" s="115">
        <v>0.1</v>
      </c>
      <c r="I3" s="115">
        <v>0.16</v>
      </c>
      <c r="J3" s="115">
        <v>0.3</v>
      </c>
      <c r="K3" s="24"/>
      <c r="L3" s="14">
        <f t="shared" ref="L3:L12" si="0">C3*(1+G3)</f>
        <v>102435.20000000001</v>
      </c>
      <c r="M3" s="14">
        <f>L3*(1+H3)</f>
        <v>112678.72000000002</v>
      </c>
      <c r="N3" s="14">
        <f>M3*(1+I3)</f>
        <v>130707.31520000001</v>
      </c>
      <c r="O3" s="14">
        <f>N3*(1+J3)</f>
        <v>169919.50976000002</v>
      </c>
      <c r="P3" s="25">
        <f>D3*(1+'1'!$Z$4)</f>
        <v>5250</v>
      </c>
      <c r="Q3" s="25">
        <f>P3*(1+'1'!$AA$4)</f>
        <v>5512.5</v>
      </c>
      <c r="R3" s="25">
        <f>Q3*(1+'1'!$AB$4)</f>
        <v>5788.125</v>
      </c>
      <c r="S3" s="25">
        <f>R3*(1+'1'!$AC$4)</f>
        <v>6077.53125</v>
      </c>
      <c r="T3" s="26">
        <f>L3*P3</f>
        <v>537784800.00000012</v>
      </c>
      <c r="U3" s="26">
        <f>M3*Q3</f>
        <v>621141444.00000012</v>
      </c>
      <c r="V3" s="26">
        <f>N3*R3</f>
        <v>756550278.79200006</v>
      </c>
      <c r="W3" s="26">
        <f>O3*S3</f>
        <v>1032691130.5510801</v>
      </c>
      <c r="X3" s="26"/>
      <c r="Y3" s="27" t="s">
        <v>19</v>
      </c>
      <c r="Z3" s="28">
        <f>G2</f>
        <v>2022</v>
      </c>
      <c r="AA3" s="28">
        <f>Z3+1</f>
        <v>2023</v>
      </c>
      <c r="AB3" s="28">
        <f>AA3+1</f>
        <v>2024</v>
      </c>
      <c r="AC3" s="29">
        <f>AB3+1</f>
        <v>2025</v>
      </c>
    </row>
    <row r="4" spans="1:29" ht="23.25">
      <c r="A4" s="21">
        <f>A3+1</f>
        <v>2</v>
      </c>
      <c r="B4" s="12"/>
      <c r="C4" s="53"/>
      <c r="D4" s="13">
        <v>0</v>
      </c>
      <c r="E4" s="22">
        <f t="shared" ref="E4:E12" si="1">C4*D4</f>
        <v>0</v>
      </c>
      <c r="F4" s="23">
        <f t="shared" ref="F4:F12" si="2">IF($E$13=0,0,E4/$E$13)</f>
        <v>0</v>
      </c>
      <c r="G4" s="115">
        <v>0</v>
      </c>
      <c r="H4" s="115">
        <v>0</v>
      </c>
      <c r="I4" s="115">
        <v>0</v>
      </c>
      <c r="J4" s="115">
        <v>0</v>
      </c>
      <c r="K4" s="24"/>
      <c r="L4" s="14">
        <f t="shared" si="0"/>
        <v>0</v>
      </c>
      <c r="M4" s="14">
        <f t="shared" ref="M4:M12" si="3">L4*(1+H4)</f>
        <v>0</v>
      </c>
      <c r="N4" s="14">
        <f t="shared" ref="N4:N12" si="4">M4*(1+I4)</f>
        <v>0</v>
      </c>
      <c r="O4" s="14">
        <f t="shared" ref="O4:O12" si="5">N4*(1+J4)</f>
        <v>0</v>
      </c>
      <c r="P4" s="25">
        <f>D4*(1+'1'!$Z$4)</f>
        <v>0</v>
      </c>
      <c r="Q4" s="25">
        <f>P4*(1+'1'!$AA$4)</f>
        <v>0</v>
      </c>
      <c r="R4" s="25">
        <f>Q4*(1+'1'!$AB$4)</f>
        <v>0</v>
      </c>
      <c r="S4" s="25">
        <f>R4*(1+'1'!$AC$4)</f>
        <v>0</v>
      </c>
      <c r="T4" s="26">
        <f t="shared" ref="T4:T12" si="6">L4*P4</f>
        <v>0</v>
      </c>
      <c r="U4" s="26">
        <f t="shared" ref="U4:U12" si="7">M4*Q4</f>
        <v>0</v>
      </c>
      <c r="V4" s="26">
        <f t="shared" ref="V4:V12" si="8">N4*R4</f>
        <v>0</v>
      </c>
      <c r="W4" s="26">
        <f t="shared" ref="W4:W12" si="9">O4*S4</f>
        <v>0</v>
      </c>
      <c r="X4" s="26"/>
      <c r="Y4" s="117" t="s">
        <v>20</v>
      </c>
      <c r="Z4" s="48">
        <v>0.05</v>
      </c>
      <c r="AA4" s="48">
        <v>0.05</v>
      </c>
      <c r="AB4" s="48">
        <v>0.05</v>
      </c>
      <c r="AC4" s="49">
        <v>0.05</v>
      </c>
    </row>
    <row r="5" spans="1:29" ht="24" thickBot="1">
      <c r="A5" s="21">
        <f t="shared" ref="A5:A12" si="10">A4+1</f>
        <v>3</v>
      </c>
      <c r="B5" s="12"/>
      <c r="C5" s="53"/>
      <c r="D5" s="13">
        <v>0</v>
      </c>
      <c r="E5" s="22">
        <f t="shared" si="1"/>
        <v>0</v>
      </c>
      <c r="F5" s="23">
        <f t="shared" si="2"/>
        <v>0</v>
      </c>
      <c r="G5" s="46">
        <v>0</v>
      </c>
      <c r="H5" s="46">
        <v>0</v>
      </c>
      <c r="I5" s="46">
        <v>0</v>
      </c>
      <c r="J5" s="46">
        <v>0</v>
      </c>
      <c r="K5" s="24"/>
      <c r="L5" s="14">
        <f t="shared" si="0"/>
        <v>0</v>
      </c>
      <c r="M5" s="14">
        <f t="shared" si="3"/>
        <v>0</v>
      </c>
      <c r="N5" s="14">
        <f t="shared" si="4"/>
        <v>0</v>
      </c>
      <c r="O5" s="14">
        <f t="shared" si="5"/>
        <v>0</v>
      </c>
      <c r="P5" s="25">
        <f>D5*(1+'1'!$Z$4)</f>
        <v>0</v>
      </c>
      <c r="Q5" s="25">
        <f>P5*(1+'1'!$AA$4)</f>
        <v>0</v>
      </c>
      <c r="R5" s="25">
        <f>Q5*(1+'1'!$AB$4)</f>
        <v>0</v>
      </c>
      <c r="S5" s="25">
        <f>R5*(1+'1'!$AC$4)</f>
        <v>0</v>
      </c>
      <c r="T5" s="26">
        <f t="shared" si="6"/>
        <v>0</v>
      </c>
      <c r="U5" s="26">
        <f t="shared" si="7"/>
        <v>0</v>
      </c>
      <c r="V5" s="26">
        <f t="shared" si="8"/>
        <v>0</v>
      </c>
      <c r="W5" s="26">
        <f t="shared" si="9"/>
        <v>0</v>
      </c>
      <c r="X5" s="26"/>
      <c r="Y5" s="118" t="s">
        <v>21</v>
      </c>
      <c r="Z5" s="50">
        <v>0.03</v>
      </c>
      <c r="AA5" s="50">
        <v>0.03</v>
      </c>
      <c r="AB5" s="50">
        <v>0.03</v>
      </c>
      <c r="AC5" s="51">
        <v>0.03</v>
      </c>
    </row>
    <row r="6" spans="1:29" ht="15.75" thickBot="1">
      <c r="A6" s="21">
        <f t="shared" si="10"/>
        <v>4</v>
      </c>
      <c r="B6" s="12"/>
      <c r="C6" s="53">
        <v>0</v>
      </c>
      <c r="D6" s="13">
        <v>0</v>
      </c>
      <c r="E6" s="22">
        <f t="shared" si="1"/>
        <v>0</v>
      </c>
      <c r="F6" s="23">
        <f t="shared" si="2"/>
        <v>0</v>
      </c>
      <c r="G6" s="46">
        <v>0</v>
      </c>
      <c r="H6" s="46">
        <v>0</v>
      </c>
      <c r="I6" s="46">
        <v>0</v>
      </c>
      <c r="J6" s="46">
        <v>0</v>
      </c>
      <c r="K6" s="24"/>
      <c r="L6" s="14">
        <f t="shared" si="0"/>
        <v>0</v>
      </c>
      <c r="M6" s="14">
        <f t="shared" si="3"/>
        <v>0</v>
      </c>
      <c r="N6" s="14">
        <f t="shared" si="4"/>
        <v>0</v>
      </c>
      <c r="O6" s="14">
        <f t="shared" si="5"/>
        <v>0</v>
      </c>
      <c r="P6" s="25">
        <f>D6*(1+'1'!$Z$4)</f>
        <v>0</v>
      </c>
      <c r="Q6" s="25">
        <f>P6*(1+'1'!$AA$4)</f>
        <v>0</v>
      </c>
      <c r="R6" s="25">
        <f>Q6*(1+'1'!$AB$4)</f>
        <v>0</v>
      </c>
      <c r="S6" s="25">
        <f>R6*(1+'1'!$AC$4)</f>
        <v>0</v>
      </c>
      <c r="T6" s="26">
        <f t="shared" si="6"/>
        <v>0</v>
      </c>
      <c r="U6" s="26">
        <f t="shared" si="7"/>
        <v>0</v>
      </c>
      <c r="V6" s="26">
        <f t="shared" si="8"/>
        <v>0</v>
      </c>
      <c r="W6" s="26">
        <f t="shared" si="9"/>
        <v>0</v>
      </c>
      <c r="X6" s="26"/>
    </row>
    <row r="7" spans="1:29" ht="24" thickBot="1">
      <c r="A7" s="21">
        <f t="shared" si="10"/>
        <v>5</v>
      </c>
      <c r="B7" s="12"/>
      <c r="C7" s="53">
        <v>0</v>
      </c>
      <c r="D7" s="13">
        <v>0</v>
      </c>
      <c r="E7" s="22">
        <f t="shared" si="1"/>
        <v>0</v>
      </c>
      <c r="F7" s="23">
        <f t="shared" si="2"/>
        <v>0</v>
      </c>
      <c r="G7" s="46">
        <v>0</v>
      </c>
      <c r="H7" s="46">
        <v>0</v>
      </c>
      <c r="I7" s="46">
        <v>0</v>
      </c>
      <c r="J7" s="46">
        <v>0</v>
      </c>
      <c r="K7" s="24"/>
      <c r="L7" s="14">
        <f t="shared" si="0"/>
        <v>0</v>
      </c>
      <c r="M7" s="14">
        <f t="shared" si="3"/>
        <v>0</v>
      </c>
      <c r="N7" s="14">
        <f t="shared" si="4"/>
        <v>0</v>
      </c>
      <c r="O7" s="14">
        <f t="shared" si="5"/>
        <v>0</v>
      </c>
      <c r="P7" s="25">
        <f>D7*(1+'1'!$Z$4)</f>
        <v>0</v>
      </c>
      <c r="Q7" s="25">
        <f>P7*(1+'1'!$AA$4)</f>
        <v>0</v>
      </c>
      <c r="R7" s="25">
        <f>Q7*(1+'1'!$AB$4)</f>
        <v>0</v>
      </c>
      <c r="S7" s="25">
        <f>R7*(1+'1'!$AC$4)</f>
        <v>0</v>
      </c>
      <c r="T7" s="26">
        <f t="shared" si="6"/>
        <v>0</v>
      </c>
      <c r="U7" s="26">
        <f t="shared" si="7"/>
        <v>0</v>
      </c>
      <c r="V7" s="26">
        <f t="shared" si="8"/>
        <v>0</v>
      </c>
      <c r="W7" s="26">
        <f t="shared" si="9"/>
        <v>0</v>
      </c>
      <c r="X7" s="26"/>
      <c r="Y7" s="30" t="s">
        <v>22</v>
      </c>
      <c r="Z7" s="31"/>
      <c r="AA7" s="31"/>
      <c r="AB7" s="52">
        <v>0.34</v>
      </c>
      <c r="AC7" s="32"/>
    </row>
    <row r="8" spans="1:29">
      <c r="A8" s="21">
        <f t="shared" si="10"/>
        <v>6</v>
      </c>
      <c r="B8" s="12"/>
      <c r="C8" s="53">
        <v>0</v>
      </c>
      <c r="D8" s="13">
        <v>0</v>
      </c>
      <c r="E8" s="22">
        <f t="shared" si="1"/>
        <v>0</v>
      </c>
      <c r="F8" s="23">
        <f t="shared" si="2"/>
        <v>0</v>
      </c>
      <c r="G8" s="46">
        <v>0</v>
      </c>
      <c r="H8" s="46">
        <v>0</v>
      </c>
      <c r="I8" s="46">
        <v>0</v>
      </c>
      <c r="J8" s="46">
        <v>0</v>
      </c>
      <c r="K8" s="24"/>
      <c r="L8" s="14">
        <f t="shared" si="0"/>
        <v>0</v>
      </c>
      <c r="M8" s="14">
        <f t="shared" si="3"/>
        <v>0</v>
      </c>
      <c r="N8" s="14">
        <f t="shared" si="4"/>
        <v>0</v>
      </c>
      <c r="O8" s="14">
        <f t="shared" si="5"/>
        <v>0</v>
      </c>
      <c r="P8" s="25">
        <f>D8*(1+'1'!$Z$4)</f>
        <v>0</v>
      </c>
      <c r="Q8" s="25">
        <f>P8*(1+'1'!$AA$4)</f>
        <v>0</v>
      </c>
      <c r="R8" s="25">
        <f>Q8*(1+'1'!$AB$4)</f>
        <v>0</v>
      </c>
      <c r="S8" s="25">
        <f>R8*(1+'1'!$AC$4)</f>
        <v>0</v>
      </c>
      <c r="T8" s="26">
        <f t="shared" si="6"/>
        <v>0</v>
      </c>
      <c r="U8" s="26">
        <f t="shared" si="7"/>
        <v>0</v>
      </c>
      <c r="V8" s="26">
        <f t="shared" si="8"/>
        <v>0</v>
      </c>
      <c r="W8" s="26">
        <f t="shared" si="9"/>
        <v>0</v>
      </c>
      <c r="X8" s="26"/>
    </row>
    <row r="9" spans="1:29">
      <c r="A9" s="21">
        <f t="shared" si="10"/>
        <v>7</v>
      </c>
      <c r="B9" s="12"/>
      <c r="C9" s="53">
        <v>0</v>
      </c>
      <c r="D9" s="13">
        <v>0</v>
      </c>
      <c r="E9" s="22">
        <f t="shared" si="1"/>
        <v>0</v>
      </c>
      <c r="F9" s="23">
        <f t="shared" si="2"/>
        <v>0</v>
      </c>
      <c r="G9" s="46">
        <v>0</v>
      </c>
      <c r="H9" s="46">
        <v>0</v>
      </c>
      <c r="I9" s="46">
        <v>0</v>
      </c>
      <c r="J9" s="46">
        <v>0</v>
      </c>
      <c r="K9" s="24"/>
      <c r="L9" s="14">
        <f t="shared" si="0"/>
        <v>0</v>
      </c>
      <c r="M9" s="14">
        <f t="shared" si="3"/>
        <v>0</v>
      </c>
      <c r="N9" s="14">
        <f t="shared" si="4"/>
        <v>0</v>
      </c>
      <c r="O9" s="14">
        <f t="shared" si="5"/>
        <v>0</v>
      </c>
      <c r="P9" s="25">
        <f>D9*(1+'1'!$Z$4)</f>
        <v>0</v>
      </c>
      <c r="Q9" s="25">
        <f>P9*(1+'1'!$AA$4)</f>
        <v>0</v>
      </c>
      <c r="R9" s="25">
        <f>Q9*(1+'1'!$AB$4)</f>
        <v>0</v>
      </c>
      <c r="S9" s="25">
        <f>R9*(1+'1'!$AC$4)</f>
        <v>0</v>
      </c>
      <c r="T9" s="26">
        <f t="shared" si="6"/>
        <v>0</v>
      </c>
      <c r="U9" s="26">
        <f t="shared" si="7"/>
        <v>0</v>
      </c>
      <c r="V9" s="26">
        <f t="shared" si="8"/>
        <v>0</v>
      </c>
      <c r="W9" s="26">
        <f t="shared" si="9"/>
        <v>0</v>
      </c>
      <c r="X9" s="26"/>
    </row>
    <row r="10" spans="1:29">
      <c r="A10" s="21">
        <f t="shared" si="10"/>
        <v>8</v>
      </c>
      <c r="B10" s="12"/>
      <c r="C10" s="53">
        <v>0</v>
      </c>
      <c r="D10" s="13">
        <v>0</v>
      </c>
      <c r="E10" s="22">
        <f t="shared" si="1"/>
        <v>0</v>
      </c>
      <c r="F10" s="23">
        <f t="shared" si="2"/>
        <v>0</v>
      </c>
      <c r="G10" s="46">
        <v>0</v>
      </c>
      <c r="H10" s="46">
        <v>0</v>
      </c>
      <c r="I10" s="46">
        <v>0</v>
      </c>
      <c r="J10" s="46">
        <v>0</v>
      </c>
      <c r="K10" s="24"/>
      <c r="L10" s="14">
        <f t="shared" si="0"/>
        <v>0</v>
      </c>
      <c r="M10" s="14">
        <f t="shared" si="3"/>
        <v>0</v>
      </c>
      <c r="N10" s="14">
        <f t="shared" si="4"/>
        <v>0</v>
      </c>
      <c r="O10" s="14">
        <f t="shared" si="5"/>
        <v>0</v>
      </c>
      <c r="P10" s="25">
        <f>D10*(1+'1'!$Z$4)</f>
        <v>0</v>
      </c>
      <c r="Q10" s="25">
        <f>P10*(1+'1'!$AA$4)</f>
        <v>0</v>
      </c>
      <c r="R10" s="25">
        <f>Q10*(1+'1'!$AB$4)</f>
        <v>0</v>
      </c>
      <c r="S10" s="25">
        <f>R10*(1+'1'!$AC$4)</f>
        <v>0</v>
      </c>
      <c r="T10" s="26">
        <f t="shared" si="6"/>
        <v>0</v>
      </c>
      <c r="U10" s="26">
        <f t="shared" si="7"/>
        <v>0</v>
      </c>
      <c r="V10" s="26">
        <f t="shared" si="8"/>
        <v>0</v>
      </c>
      <c r="W10" s="26">
        <f t="shared" si="9"/>
        <v>0</v>
      </c>
      <c r="X10" s="26"/>
    </row>
    <row r="11" spans="1:29">
      <c r="A11" s="21">
        <f t="shared" si="10"/>
        <v>9</v>
      </c>
      <c r="B11" s="12"/>
      <c r="C11" s="53">
        <v>0</v>
      </c>
      <c r="D11" s="13">
        <v>0</v>
      </c>
      <c r="E11" s="22">
        <f t="shared" si="1"/>
        <v>0</v>
      </c>
      <c r="F11" s="23">
        <f t="shared" si="2"/>
        <v>0</v>
      </c>
      <c r="G11" s="46">
        <v>0</v>
      </c>
      <c r="H11" s="46">
        <v>0</v>
      </c>
      <c r="I11" s="46">
        <v>0</v>
      </c>
      <c r="J11" s="46">
        <v>0</v>
      </c>
      <c r="K11" s="24"/>
      <c r="L11" s="14">
        <f t="shared" si="0"/>
        <v>0</v>
      </c>
      <c r="M11" s="14">
        <f t="shared" si="3"/>
        <v>0</v>
      </c>
      <c r="N11" s="14">
        <f t="shared" si="4"/>
        <v>0</v>
      </c>
      <c r="O11" s="14">
        <f t="shared" si="5"/>
        <v>0</v>
      </c>
      <c r="P11" s="25">
        <f>D11*(1+'1'!$Z$4)</f>
        <v>0</v>
      </c>
      <c r="Q11" s="25">
        <f>P11*(1+'1'!$AA$4)</f>
        <v>0</v>
      </c>
      <c r="R11" s="25">
        <f>Q11*(1+'1'!$AB$4)</f>
        <v>0</v>
      </c>
      <c r="S11" s="25">
        <f>R11*(1+'1'!$AC$4)</f>
        <v>0</v>
      </c>
      <c r="T11" s="26">
        <f t="shared" si="6"/>
        <v>0</v>
      </c>
      <c r="U11" s="26">
        <f t="shared" si="7"/>
        <v>0</v>
      </c>
      <c r="V11" s="26">
        <f t="shared" si="8"/>
        <v>0</v>
      </c>
      <c r="W11" s="26">
        <f t="shared" si="9"/>
        <v>0</v>
      </c>
      <c r="X11" s="26"/>
    </row>
    <row r="12" spans="1:29">
      <c r="A12" s="21">
        <f t="shared" si="10"/>
        <v>10</v>
      </c>
      <c r="B12" s="12"/>
      <c r="C12" s="53">
        <v>0</v>
      </c>
      <c r="D12" s="13">
        <v>0</v>
      </c>
      <c r="E12" s="22">
        <f t="shared" si="1"/>
        <v>0</v>
      </c>
      <c r="F12" s="23">
        <f t="shared" si="2"/>
        <v>0</v>
      </c>
      <c r="G12" s="46">
        <v>0</v>
      </c>
      <c r="H12" s="46">
        <v>0</v>
      </c>
      <c r="I12" s="46">
        <v>0</v>
      </c>
      <c r="J12" s="46">
        <v>0</v>
      </c>
      <c r="K12" s="24"/>
      <c r="L12" s="14">
        <f t="shared" si="0"/>
        <v>0</v>
      </c>
      <c r="M12" s="14">
        <f t="shared" si="3"/>
        <v>0</v>
      </c>
      <c r="N12" s="14">
        <f t="shared" si="4"/>
        <v>0</v>
      </c>
      <c r="O12" s="14">
        <f t="shared" si="5"/>
        <v>0</v>
      </c>
      <c r="P12" s="25">
        <f>D12*(1+'1'!$Z$4)</f>
        <v>0</v>
      </c>
      <c r="Q12" s="25">
        <f>P12*(1+'1'!$AA$4)</f>
        <v>0</v>
      </c>
      <c r="R12" s="25">
        <f>Q12*(1+'1'!$AB$4)</f>
        <v>0</v>
      </c>
      <c r="S12" s="25">
        <f>R12*(1+'1'!$AC$4)</f>
        <v>0</v>
      </c>
      <c r="T12" s="26">
        <f t="shared" si="6"/>
        <v>0</v>
      </c>
      <c r="U12" s="26">
        <f t="shared" si="7"/>
        <v>0</v>
      </c>
      <c r="V12" s="26">
        <f t="shared" si="8"/>
        <v>0</v>
      </c>
      <c r="W12" s="26">
        <f t="shared" si="9"/>
        <v>0</v>
      </c>
      <c r="X12" s="26"/>
    </row>
    <row r="13" spans="1:29">
      <c r="D13" s="14" t="s">
        <v>23</v>
      </c>
      <c r="E13" s="33">
        <f>SUM(E3:E12)</f>
        <v>476000000</v>
      </c>
      <c r="F13" s="34">
        <f>SUM(F3:F12)</f>
        <v>1</v>
      </c>
      <c r="T13" s="35">
        <f>SUM(T3:T12)</f>
        <v>537784800.00000012</v>
      </c>
      <c r="U13" s="35">
        <f>SUM(U3:U12)</f>
        <v>621141444.00000012</v>
      </c>
      <c r="V13" s="35">
        <f>SUM(V3:V12)</f>
        <v>756550278.79200006</v>
      </c>
      <c r="W13" s="35">
        <f>SUM(W3:W12)</f>
        <v>1032691130.5510801</v>
      </c>
      <c r="X13" s="26"/>
    </row>
    <row r="15" spans="1:29" ht="23.25" customHeight="1">
      <c r="A15" s="150" t="s">
        <v>24</v>
      </c>
      <c r="B15" s="150"/>
      <c r="C15" s="150"/>
      <c r="D15" s="150"/>
      <c r="E15" s="150"/>
      <c r="G15" s="36"/>
    </row>
    <row r="16" spans="1:29" ht="25.5" customHeight="1">
      <c r="B16" s="17" t="s">
        <v>25</v>
      </c>
      <c r="C16" s="37" t="s">
        <v>6</v>
      </c>
      <c r="D16" s="114" t="s">
        <v>26</v>
      </c>
      <c r="E16" s="18" t="s">
        <v>27</v>
      </c>
      <c r="L16" s="14">
        <f>L2</f>
        <v>2022</v>
      </c>
      <c r="M16" s="14">
        <f t="shared" ref="M16:W16" si="11">M2</f>
        <v>2023</v>
      </c>
      <c r="N16" s="14">
        <f t="shared" si="11"/>
        <v>2024</v>
      </c>
      <c r="O16" s="14">
        <f t="shared" si="11"/>
        <v>2025</v>
      </c>
      <c r="P16" s="14" t="str">
        <f t="shared" si="11"/>
        <v>AÑO 2</v>
      </c>
      <c r="Q16" s="14" t="str">
        <f t="shared" si="11"/>
        <v>AÑO 3</v>
      </c>
      <c r="R16" s="14" t="str">
        <f t="shared" si="11"/>
        <v>AÑO 4</v>
      </c>
      <c r="S16" s="14" t="str">
        <f t="shared" si="11"/>
        <v>AÑO 5</v>
      </c>
      <c r="T16" s="14" t="str">
        <f t="shared" si="11"/>
        <v>año 2</v>
      </c>
      <c r="U16" s="14" t="str">
        <f t="shared" si="11"/>
        <v>año 3</v>
      </c>
      <c r="V16" s="14" t="str">
        <f t="shared" si="11"/>
        <v>año 4</v>
      </c>
      <c r="W16" s="14" t="str">
        <f t="shared" si="11"/>
        <v>año 5</v>
      </c>
    </row>
    <row r="17" spans="1:24">
      <c r="A17" s="21">
        <f>A3</f>
        <v>1</v>
      </c>
      <c r="B17" s="91" t="str">
        <f>B3</f>
        <v>Tutoría por hora</v>
      </c>
      <c r="C17" s="39">
        <f>C3</f>
        <v>95200</v>
      </c>
      <c r="D17" s="13">
        <f>(25000*3.29%)+800</f>
        <v>1622.5</v>
      </c>
      <c r="E17" s="22">
        <f>C17*D17</f>
        <v>154462000</v>
      </c>
      <c r="F17" s="23">
        <f>IF($E$27=0,0,E17/$E$27)</f>
        <v>1</v>
      </c>
      <c r="L17" s="14">
        <f t="shared" ref="L17:L26" si="12">C17*(1+G3)</f>
        <v>102435.20000000001</v>
      </c>
      <c r="M17" s="14">
        <f>L17*(1+H3)</f>
        <v>112678.72000000002</v>
      </c>
      <c r="N17" s="14">
        <f>M17*(1+I3)</f>
        <v>130707.31520000001</v>
      </c>
      <c r="O17" s="14">
        <f>N17*(1+J3)</f>
        <v>169919.50976000002</v>
      </c>
      <c r="P17" s="40">
        <f>D17*(1+'1'!$Z$5)</f>
        <v>1671.175</v>
      </c>
      <c r="Q17" s="25">
        <f>P17*(1+'1'!$AA$5)</f>
        <v>1721.31025</v>
      </c>
      <c r="R17" s="25">
        <f>Q17*(1+'1'!$AB$5)</f>
        <v>1772.9495575000001</v>
      </c>
      <c r="S17" s="25">
        <f>R17*(1+'1'!$AC$5)</f>
        <v>1826.1380442250002</v>
      </c>
      <c r="T17" s="40">
        <f t="shared" ref="T17:U19" si="13">L17*P17</f>
        <v>171187145.36000001</v>
      </c>
      <c r="U17" s="26">
        <f t="shared" si="13"/>
        <v>193955035.69288003</v>
      </c>
      <c r="V17" s="26">
        <f>N17*R17</f>
        <v>231737476.64585304</v>
      </c>
      <c r="W17" s="26">
        <f>O17*S17</f>
        <v>310296481.22879726</v>
      </c>
      <c r="X17" s="26"/>
    </row>
    <row r="18" spans="1:24">
      <c r="A18" s="21">
        <f t="shared" ref="A18:B25" si="14">A4</f>
        <v>2</v>
      </c>
      <c r="B18" s="41">
        <f t="shared" si="14"/>
        <v>0</v>
      </c>
      <c r="C18" s="39">
        <f t="shared" ref="C18:C26" si="15">C4</f>
        <v>0</v>
      </c>
      <c r="D18" s="13">
        <v>0</v>
      </c>
      <c r="E18" s="22">
        <f t="shared" ref="E18:E26" si="16">C18*D18</f>
        <v>0</v>
      </c>
      <c r="F18" s="23">
        <f t="shared" ref="F18:F26" si="17">IF($E$27=0,0,E18/$E$27)</f>
        <v>0</v>
      </c>
      <c r="L18" s="14">
        <f t="shared" si="12"/>
        <v>0</v>
      </c>
      <c r="M18" s="14">
        <f t="shared" ref="M18:M26" si="18">L18*(1+H4)</f>
        <v>0</v>
      </c>
      <c r="N18" s="14">
        <f t="shared" ref="N18:N26" si="19">M18*(1+I4)</f>
        <v>0</v>
      </c>
      <c r="O18" s="14">
        <f t="shared" ref="O18:O26" si="20">N18*(1+J4)</f>
        <v>0</v>
      </c>
      <c r="P18" s="40">
        <f>D18*(1+'1'!$Z$5)</f>
        <v>0</v>
      </c>
      <c r="Q18" s="25">
        <f>P18*(1+'1'!$AA$5)</f>
        <v>0</v>
      </c>
      <c r="R18" s="25">
        <f>Q18*(1+'1'!$AB$5)</f>
        <v>0</v>
      </c>
      <c r="S18" s="25">
        <f>R18*(1+'1'!$AC$5)</f>
        <v>0</v>
      </c>
      <c r="T18" s="40">
        <f t="shared" si="13"/>
        <v>0</v>
      </c>
      <c r="U18" s="26">
        <f t="shared" si="13"/>
        <v>0</v>
      </c>
      <c r="V18" s="26">
        <f t="shared" ref="V18:V26" si="21">N18*R18</f>
        <v>0</v>
      </c>
      <c r="W18" s="26">
        <f t="shared" ref="W18:W26" si="22">O18*S18</f>
        <v>0</v>
      </c>
      <c r="X18" s="26"/>
    </row>
    <row r="19" spans="1:24">
      <c r="A19" s="21">
        <f t="shared" si="14"/>
        <v>3</v>
      </c>
      <c r="B19" s="41">
        <f t="shared" si="14"/>
        <v>0</v>
      </c>
      <c r="C19" s="39">
        <f t="shared" si="15"/>
        <v>0</v>
      </c>
      <c r="D19" s="13">
        <v>0</v>
      </c>
      <c r="E19" s="22">
        <f t="shared" si="16"/>
        <v>0</v>
      </c>
      <c r="F19" s="23">
        <f t="shared" si="17"/>
        <v>0</v>
      </c>
      <c r="L19" s="14">
        <f t="shared" si="12"/>
        <v>0</v>
      </c>
      <c r="M19" s="14">
        <f t="shared" si="18"/>
        <v>0</v>
      </c>
      <c r="N19" s="14">
        <f t="shared" si="19"/>
        <v>0</v>
      </c>
      <c r="O19" s="14">
        <f t="shared" si="20"/>
        <v>0</v>
      </c>
      <c r="P19" s="40">
        <f>D19*(1+'1'!$Z$5)</f>
        <v>0</v>
      </c>
      <c r="Q19" s="25">
        <f>P19*(1+'1'!$AA$5)</f>
        <v>0</v>
      </c>
      <c r="R19" s="25">
        <f>Q19*(1+'1'!$AB$5)</f>
        <v>0</v>
      </c>
      <c r="S19" s="25">
        <f>R19*(1+'1'!$AC$5)</f>
        <v>0</v>
      </c>
      <c r="T19" s="40">
        <f t="shared" si="13"/>
        <v>0</v>
      </c>
      <c r="U19" s="26">
        <f t="shared" si="13"/>
        <v>0</v>
      </c>
      <c r="V19" s="26">
        <f t="shared" si="21"/>
        <v>0</v>
      </c>
      <c r="W19" s="26">
        <f t="shared" si="22"/>
        <v>0</v>
      </c>
      <c r="X19" s="26"/>
    </row>
    <row r="20" spans="1:24">
      <c r="A20" s="21">
        <f t="shared" si="14"/>
        <v>4</v>
      </c>
      <c r="B20" s="41">
        <f t="shared" si="14"/>
        <v>0</v>
      </c>
      <c r="C20" s="39">
        <f t="shared" si="15"/>
        <v>0</v>
      </c>
      <c r="D20" s="13">
        <v>0</v>
      </c>
      <c r="E20" s="22">
        <f t="shared" si="16"/>
        <v>0</v>
      </c>
      <c r="F20" s="23">
        <f t="shared" si="17"/>
        <v>0</v>
      </c>
      <c r="L20" s="14">
        <f t="shared" si="12"/>
        <v>0</v>
      </c>
      <c r="M20" s="14">
        <f t="shared" si="18"/>
        <v>0</v>
      </c>
      <c r="N20" s="14">
        <f t="shared" si="19"/>
        <v>0</v>
      </c>
      <c r="O20" s="14">
        <f t="shared" si="20"/>
        <v>0</v>
      </c>
      <c r="P20" s="40">
        <f>D20*(1+'1'!$Z$5)</f>
        <v>0</v>
      </c>
      <c r="Q20" s="25">
        <f>P20*(1+'1'!$AA$5)</f>
        <v>0</v>
      </c>
      <c r="R20" s="25">
        <f>Q20*(1+'1'!$AB$5)</f>
        <v>0</v>
      </c>
      <c r="S20" s="25">
        <f>R20*(1+'1'!$AC$5)</f>
        <v>0</v>
      </c>
      <c r="T20" s="40">
        <f t="shared" ref="T20:T26" si="23">L20*P20</f>
        <v>0</v>
      </c>
      <c r="U20" s="26">
        <f t="shared" ref="U20:U26" si="24">M20*Q20</f>
        <v>0</v>
      </c>
      <c r="V20" s="26">
        <f t="shared" si="21"/>
        <v>0</v>
      </c>
      <c r="W20" s="26">
        <f t="shared" si="22"/>
        <v>0</v>
      </c>
      <c r="X20" s="26"/>
    </row>
    <row r="21" spans="1:24">
      <c r="A21" s="21">
        <f t="shared" si="14"/>
        <v>5</v>
      </c>
      <c r="B21" s="41">
        <f t="shared" si="14"/>
        <v>0</v>
      </c>
      <c r="C21" s="39">
        <f t="shared" si="15"/>
        <v>0</v>
      </c>
      <c r="D21" s="13">
        <v>0</v>
      </c>
      <c r="E21" s="22">
        <f t="shared" si="16"/>
        <v>0</v>
      </c>
      <c r="F21" s="23">
        <f t="shared" si="17"/>
        <v>0</v>
      </c>
      <c r="L21" s="14">
        <f t="shared" si="12"/>
        <v>0</v>
      </c>
      <c r="M21" s="14">
        <f t="shared" si="18"/>
        <v>0</v>
      </c>
      <c r="N21" s="14">
        <f t="shared" si="19"/>
        <v>0</v>
      </c>
      <c r="O21" s="14">
        <f t="shared" si="20"/>
        <v>0</v>
      </c>
      <c r="P21" s="40">
        <f>D21*(1+'1'!$Z$5)</f>
        <v>0</v>
      </c>
      <c r="Q21" s="25">
        <f>P21*(1+'1'!$AA$5)</f>
        <v>0</v>
      </c>
      <c r="R21" s="25">
        <f>Q21*(1+'1'!$AB$5)</f>
        <v>0</v>
      </c>
      <c r="S21" s="25">
        <f>R21*(1+'1'!$AC$5)</f>
        <v>0</v>
      </c>
      <c r="T21" s="40">
        <f t="shared" si="23"/>
        <v>0</v>
      </c>
      <c r="U21" s="26">
        <f t="shared" si="24"/>
        <v>0</v>
      </c>
      <c r="V21" s="26">
        <f t="shared" si="21"/>
        <v>0</v>
      </c>
      <c r="W21" s="26">
        <f t="shared" si="22"/>
        <v>0</v>
      </c>
      <c r="X21" s="26"/>
    </row>
    <row r="22" spans="1:24">
      <c r="A22" s="21">
        <f t="shared" si="14"/>
        <v>6</v>
      </c>
      <c r="B22" s="41">
        <f t="shared" si="14"/>
        <v>0</v>
      </c>
      <c r="C22" s="39">
        <f t="shared" si="15"/>
        <v>0</v>
      </c>
      <c r="D22" s="13">
        <v>0</v>
      </c>
      <c r="E22" s="22">
        <f t="shared" si="16"/>
        <v>0</v>
      </c>
      <c r="F22" s="23">
        <f t="shared" si="17"/>
        <v>0</v>
      </c>
      <c r="L22" s="14">
        <f t="shared" si="12"/>
        <v>0</v>
      </c>
      <c r="M22" s="14">
        <f t="shared" si="18"/>
        <v>0</v>
      </c>
      <c r="N22" s="14">
        <f t="shared" si="19"/>
        <v>0</v>
      </c>
      <c r="O22" s="14">
        <f t="shared" si="20"/>
        <v>0</v>
      </c>
      <c r="P22" s="40">
        <f>D22*(1+'1'!$Z$5)</f>
        <v>0</v>
      </c>
      <c r="Q22" s="25">
        <f>P22*(1+'1'!$AA$5)</f>
        <v>0</v>
      </c>
      <c r="R22" s="25">
        <f>Q22*(1+'1'!$AB$5)</f>
        <v>0</v>
      </c>
      <c r="S22" s="25">
        <f>R22*(1+'1'!$AC$5)</f>
        <v>0</v>
      </c>
      <c r="T22" s="40">
        <f t="shared" si="23"/>
        <v>0</v>
      </c>
      <c r="U22" s="26">
        <f t="shared" si="24"/>
        <v>0</v>
      </c>
      <c r="V22" s="26">
        <f t="shared" si="21"/>
        <v>0</v>
      </c>
      <c r="W22" s="26">
        <f t="shared" si="22"/>
        <v>0</v>
      </c>
      <c r="X22" s="26"/>
    </row>
    <row r="23" spans="1:24">
      <c r="A23" s="21">
        <f t="shared" si="14"/>
        <v>7</v>
      </c>
      <c r="B23" s="41">
        <f t="shared" si="14"/>
        <v>0</v>
      </c>
      <c r="C23" s="39">
        <f t="shared" si="15"/>
        <v>0</v>
      </c>
      <c r="D23" s="13">
        <v>0</v>
      </c>
      <c r="E23" s="22">
        <f t="shared" si="16"/>
        <v>0</v>
      </c>
      <c r="F23" s="23">
        <f t="shared" si="17"/>
        <v>0</v>
      </c>
      <c r="L23" s="14">
        <f t="shared" si="12"/>
        <v>0</v>
      </c>
      <c r="M23" s="14">
        <f t="shared" si="18"/>
        <v>0</v>
      </c>
      <c r="N23" s="14">
        <f t="shared" si="19"/>
        <v>0</v>
      </c>
      <c r="O23" s="14">
        <f t="shared" si="20"/>
        <v>0</v>
      </c>
      <c r="P23" s="40">
        <f>D23*(1+'1'!$Z$5)</f>
        <v>0</v>
      </c>
      <c r="Q23" s="25">
        <f>P23*(1+'1'!$AA$5)</f>
        <v>0</v>
      </c>
      <c r="R23" s="25">
        <f>Q23*(1+'1'!$AB$5)</f>
        <v>0</v>
      </c>
      <c r="S23" s="25">
        <f>R23*(1+'1'!$AC$5)</f>
        <v>0</v>
      </c>
      <c r="T23" s="40">
        <f t="shared" si="23"/>
        <v>0</v>
      </c>
      <c r="U23" s="26">
        <f t="shared" si="24"/>
        <v>0</v>
      </c>
      <c r="V23" s="26">
        <f t="shared" si="21"/>
        <v>0</v>
      </c>
      <c r="W23" s="26">
        <f t="shared" si="22"/>
        <v>0</v>
      </c>
      <c r="X23" s="26"/>
    </row>
    <row r="24" spans="1:24">
      <c r="A24" s="21">
        <f t="shared" si="14"/>
        <v>8</v>
      </c>
      <c r="B24" s="41">
        <f t="shared" si="14"/>
        <v>0</v>
      </c>
      <c r="C24" s="39">
        <f t="shared" si="15"/>
        <v>0</v>
      </c>
      <c r="D24" s="13">
        <v>0</v>
      </c>
      <c r="E24" s="22">
        <f t="shared" si="16"/>
        <v>0</v>
      </c>
      <c r="F24" s="23">
        <f t="shared" si="17"/>
        <v>0</v>
      </c>
      <c r="L24" s="14">
        <f t="shared" si="12"/>
        <v>0</v>
      </c>
      <c r="M24" s="14">
        <f t="shared" si="18"/>
        <v>0</v>
      </c>
      <c r="N24" s="14">
        <f t="shared" si="19"/>
        <v>0</v>
      </c>
      <c r="O24" s="14">
        <f t="shared" si="20"/>
        <v>0</v>
      </c>
      <c r="P24" s="40">
        <f>D24*(1+'1'!$Z$5)</f>
        <v>0</v>
      </c>
      <c r="Q24" s="25">
        <f>P24*(1+'1'!$AA$5)</f>
        <v>0</v>
      </c>
      <c r="R24" s="25">
        <f>Q24*(1+'1'!$AB$5)</f>
        <v>0</v>
      </c>
      <c r="S24" s="25">
        <f>R24*(1+'1'!$AC$5)</f>
        <v>0</v>
      </c>
      <c r="T24" s="40">
        <f t="shared" si="23"/>
        <v>0</v>
      </c>
      <c r="U24" s="26">
        <f t="shared" si="24"/>
        <v>0</v>
      </c>
      <c r="V24" s="26">
        <f t="shared" si="21"/>
        <v>0</v>
      </c>
      <c r="W24" s="26">
        <f t="shared" si="22"/>
        <v>0</v>
      </c>
      <c r="X24" s="26"/>
    </row>
    <row r="25" spans="1:24">
      <c r="A25" s="21">
        <f t="shared" si="14"/>
        <v>9</v>
      </c>
      <c r="B25" s="41">
        <f t="shared" si="14"/>
        <v>0</v>
      </c>
      <c r="C25" s="39">
        <f t="shared" si="15"/>
        <v>0</v>
      </c>
      <c r="D25" s="13">
        <v>0</v>
      </c>
      <c r="E25" s="22">
        <f t="shared" si="16"/>
        <v>0</v>
      </c>
      <c r="F25" s="23">
        <f t="shared" si="17"/>
        <v>0</v>
      </c>
      <c r="L25" s="14">
        <f t="shared" si="12"/>
        <v>0</v>
      </c>
      <c r="M25" s="14">
        <f t="shared" si="18"/>
        <v>0</v>
      </c>
      <c r="N25" s="14">
        <f t="shared" si="19"/>
        <v>0</v>
      </c>
      <c r="O25" s="14">
        <f t="shared" si="20"/>
        <v>0</v>
      </c>
      <c r="P25" s="40">
        <f>D25*(1+'1'!$Z$5)</f>
        <v>0</v>
      </c>
      <c r="Q25" s="25">
        <f>P25*(1+'1'!$AA$5)</f>
        <v>0</v>
      </c>
      <c r="R25" s="25">
        <f>Q25*(1+'1'!$AB$5)</f>
        <v>0</v>
      </c>
      <c r="S25" s="25">
        <f>R25*(1+'1'!$AC$5)</f>
        <v>0</v>
      </c>
      <c r="T25" s="40">
        <f t="shared" si="23"/>
        <v>0</v>
      </c>
      <c r="U25" s="26">
        <f t="shared" si="24"/>
        <v>0</v>
      </c>
      <c r="V25" s="26">
        <f t="shared" si="21"/>
        <v>0</v>
      </c>
      <c r="W25" s="26">
        <f t="shared" si="22"/>
        <v>0</v>
      </c>
      <c r="X25" s="26"/>
    </row>
    <row r="26" spans="1:24">
      <c r="A26" s="21">
        <f>A12</f>
        <v>10</v>
      </c>
      <c r="B26" s="41">
        <f>B12</f>
        <v>0</v>
      </c>
      <c r="C26" s="39">
        <f t="shared" si="15"/>
        <v>0</v>
      </c>
      <c r="D26" s="13">
        <v>0</v>
      </c>
      <c r="E26" s="22">
        <f t="shared" si="16"/>
        <v>0</v>
      </c>
      <c r="F26" s="23">
        <f t="shared" si="17"/>
        <v>0</v>
      </c>
      <c r="L26" s="14">
        <f t="shared" si="12"/>
        <v>0</v>
      </c>
      <c r="M26" s="14">
        <f t="shared" si="18"/>
        <v>0</v>
      </c>
      <c r="N26" s="14">
        <f t="shared" si="19"/>
        <v>0</v>
      </c>
      <c r="O26" s="14">
        <f t="shared" si="20"/>
        <v>0</v>
      </c>
      <c r="P26" s="40">
        <f>D26*(1+'1'!$Z$5)</f>
        <v>0</v>
      </c>
      <c r="Q26" s="25">
        <f>P26*(1+'1'!$AA$5)</f>
        <v>0</v>
      </c>
      <c r="R26" s="25">
        <f>Q26*(1+'1'!$AB$5)</f>
        <v>0</v>
      </c>
      <c r="S26" s="25">
        <f>R26*(1+'1'!$AC$5)</f>
        <v>0</v>
      </c>
      <c r="T26" s="40">
        <f t="shared" si="23"/>
        <v>0</v>
      </c>
      <c r="U26" s="26">
        <f t="shared" si="24"/>
        <v>0</v>
      </c>
      <c r="V26" s="26">
        <f t="shared" si="21"/>
        <v>0</v>
      </c>
      <c r="W26" s="26">
        <f t="shared" si="22"/>
        <v>0</v>
      </c>
      <c r="X26" s="26"/>
    </row>
    <row r="27" spans="1:24">
      <c r="D27" s="14" t="str">
        <f>D13</f>
        <v>TOTAL</v>
      </c>
      <c r="E27" s="33">
        <f>SUM(E17:E26)</f>
        <v>154462000</v>
      </c>
      <c r="F27" s="34">
        <f>SUM(F17:F26)</f>
        <v>1</v>
      </c>
      <c r="T27" s="35">
        <f>SUM(T17:T26)</f>
        <v>171187145.36000001</v>
      </c>
      <c r="U27" s="35">
        <f>SUM(U17:U26)</f>
        <v>193955035.69288003</v>
      </c>
      <c r="V27" s="35">
        <f>SUM(V17:V26)</f>
        <v>231737476.64585304</v>
      </c>
      <c r="W27" s="35">
        <f>SUM(W17:W26)</f>
        <v>310296481.22879726</v>
      </c>
      <c r="X27" s="26"/>
    </row>
    <row r="30" spans="1:24">
      <c r="A30" s="149" t="s">
        <v>28</v>
      </c>
      <c r="B30" s="149"/>
      <c r="C30" s="149"/>
      <c r="D30" s="149"/>
      <c r="E30" s="149"/>
      <c r="F30" s="149"/>
    </row>
    <row r="31" spans="1:24" ht="25.5">
      <c r="A31" s="42" t="s">
        <v>19</v>
      </c>
      <c r="B31" s="43">
        <f>'1'!Z1</f>
        <v>2021</v>
      </c>
      <c r="C31" s="43">
        <f>B31+1</f>
        <v>2022</v>
      </c>
      <c r="D31" s="43">
        <f>C31+1</f>
        <v>2023</v>
      </c>
      <c r="E31" s="43">
        <f>D31+1</f>
        <v>2024</v>
      </c>
      <c r="F31" s="43">
        <f>E31+1</f>
        <v>2025</v>
      </c>
      <c r="H31" s="44"/>
      <c r="I31" s="44"/>
      <c r="J31" s="44"/>
      <c r="K31" s="44"/>
      <c r="L31" s="44"/>
      <c r="M31" s="44"/>
      <c r="N31" s="44"/>
      <c r="O31" s="44"/>
      <c r="P31" s="44"/>
      <c r="Q31" s="44"/>
      <c r="R31" s="44"/>
      <c r="S31" s="44"/>
      <c r="T31" s="44"/>
      <c r="U31" s="44"/>
      <c r="V31" s="44"/>
    </row>
    <row r="32" spans="1:24" ht="15.75">
      <c r="A32" s="137" t="s">
        <v>29</v>
      </c>
      <c r="B32" s="138">
        <f>'1'!E13</f>
        <v>476000000</v>
      </c>
      <c r="C32" s="139">
        <f>'1'!T13</f>
        <v>537784800.00000012</v>
      </c>
      <c r="D32" s="139">
        <f>'1'!U13</f>
        <v>621141444.00000012</v>
      </c>
      <c r="E32" s="139">
        <f>'1'!V13</f>
        <v>756550278.79200006</v>
      </c>
      <c r="F32" s="139">
        <f>'1'!W13</f>
        <v>1032691130.5510801</v>
      </c>
    </row>
    <row r="33" spans="1:6" ht="15.75">
      <c r="A33" s="137" t="s">
        <v>30</v>
      </c>
      <c r="B33" s="138">
        <f>'1'!E27</f>
        <v>154462000</v>
      </c>
      <c r="C33" s="138">
        <f>'1'!T27</f>
        <v>171187145.36000001</v>
      </c>
      <c r="D33" s="138">
        <f>'1'!U27</f>
        <v>193955035.69288003</v>
      </c>
      <c r="E33" s="138">
        <f>'1'!V27</f>
        <v>231737476.64585304</v>
      </c>
      <c r="F33" s="138">
        <f>'1'!W27</f>
        <v>310296481.22879726</v>
      </c>
    </row>
    <row r="34" spans="1:6" ht="21" thickBot="1">
      <c r="A34" s="45" t="s">
        <v>31</v>
      </c>
      <c r="B34" s="116">
        <f>B32-B33</f>
        <v>321538000</v>
      </c>
      <c r="C34" s="116">
        <f>C32-C33</f>
        <v>366597654.6400001</v>
      </c>
      <c r="D34" s="116">
        <f>D32-D33</f>
        <v>427186408.30712008</v>
      </c>
      <c r="E34" s="116">
        <f>E32-E33</f>
        <v>524812802.14614701</v>
      </c>
      <c r="F34" s="116">
        <f>F32-F33</f>
        <v>722394649.32228279</v>
      </c>
    </row>
    <row r="35" spans="1:6" ht="15.7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scale="34" orientation="portrait" r:id="rId1"/>
  <colBreaks count="1" manualBreakCount="1">
    <brk id="29"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M31"/>
  <sheetViews>
    <sheetView showGridLines="0" view="pageBreakPreview" zoomScale="60" zoomScaleNormal="144" workbookViewId="0">
      <pane ySplit="14" topLeftCell="A15" activePane="bottomLeft" state="frozenSplit"/>
      <selection activeCell="B40" sqref="B40"/>
      <selection pane="bottomLeft" activeCell="B3" sqref="B3:C12"/>
    </sheetView>
  </sheetViews>
  <sheetFormatPr baseColWidth="10" defaultColWidth="11.42578125" defaultRowHeight="15"/>
  <cols>
    <col min="1" max="1" width="5.42578125" style="14" customWidth="1"/>
    <col min="2" max="2" width="29.42578125" style="14" bestFit="1" customWidth="1"/>
    <col min="3" max="3" width="20.28515625" style="14" customWidth="1"/>
    <col min="4" max="4" width="11.42578125" style="14"/>
    <col min="5" max="5" width="23.28515625" style="14" customWidth="1"/>
    <col min="6" max="6" width="19.28515625" style="14" customWidth="1"/>
    <col min="7" max="7" width="15.5703125" style="14" bestFit="1" customWidth="1"/>
    <col min="8" max="16384" width="11.42578125" style="14"/>
  </cols>
  <sheetData>
    <row r="1" spans="2:13">
      <c r="B1" s="152" t="s">
        <v>32</v>
      </c>
      <c r="C1" s="152"/>
      <c r="D1" s="152"/>
      <c r="E1" s="152"/>
      <c r="F1" s="152"/>
      <c r="G1" s="152"/>
      <c r="H1" s="152"/>
    </row>
    <row r="2" spans="2:13" ht="3.75" customHeight="1">
      <c r="B2" s="152"/>
      <c r="C2" s="152"/>
      <c r="D2" s="152"/>
      <c r="E2" s="152"/>
      <c r="F2" s="152"/>
      <c r="G2" s="152"/>
      <c r="H2" s="152"/>
    </row>
    <row r="3" spans="2:13">
      <c r="C3" s="21" t="s">
        <v>33</v>
      </c>
      <c r="F3" s="69" t="s">
        <v>34</v>
      </c>
      <c r="G3" s="131"/>
      <c r="H3" s="131"/>
      <c r="I3" s="131"/>
      <c r="J3" s="131"/>
      <c r="K3" s="131"/>
      <c r="L3" s="131"/>
      <c r="M3" s="131"/>
    </row>
    <row r="4" spans="2:13">
      <c r="B4" s="45" t="s">
        <v>35</v>
      </c>
      <c r="C4" s="13">
        <v>0</v>
      </c>
      <c r="F4" s="69"/>
      <c r="G4" s="69"/>
      <c r="H4" s="69"/>
      <c r="I4" s="131"/>
      <c r="J4" s="131"/>
      <c r="K4" s="131"/>
      <c r="L4" s="131"/>
      <c r="M4" s="131"/>
    </row>
    <row r="5" spans="2:13">
      <c r="B5" s="45" t="s">
        <v>36</v>
      </c>
      <c r="C5" s="13">
        <v>0</v>
      </c>
      <c r="F5" s="69">
        <v>10</v>
      </c>
      <c r="G5" s="70">
        <f t="shared" ref="G5:G11" si="0">C5/F5</f>
        <v>0</v>
      </c>
      <c r="H5" s="69"/>
      <c r="I5" s="131"/>
      <c r="J5" s="131"/>
      <c r="K5" s="131"/>
      <c r="L5" s="131"/>
      <c r="M5" s="131"/>
    </row>
    <row r="6" spans="2:13">
      <c r="B6" s="45" t="s">
        <v>37</v>
      </c>
      <c r="C6" s="13">
        <v>0</v>
      </c>
      <c r="F6" s="69">
        <v>5</v>
      </c>
      <c r="G6" s="70">
        <f t="shared" si="0"/>
        <v>0</v>
      </c>
      <c r="H6" s="69"/>
      <c r="I6" s="131"/>
      <c r="J6" s="131"/>
      <c r="K6" s="131"/>
      <c r="L6" s="131"/>
      <c r="M6" s="131"/>
    </row>
    <row r="7" spans="2:13">
      <c r="B7" s="45" t="s">
        <v>38</v>
      </c>
      <c r="C7" s="13">
        <v>22000000</v>
      </c>
      <c r="F7" s="69">
        <v>5</v>
      </c>
      <c r="G7" s="70">
        <f t="shared" si="0"/>
        <v>4400000</v>
      </c>
      <c r="H7" s="69"/>
      <c r="I7" s="131"/>
      <c r="J7" s="131"/>
      <c r="K7" s="131"/>
      <c r="L7" s="131"/>
      <c r="M7" s="131"/>
    </row>
    <row r="8" spans="2:13">
      <c r="B8" s="45" t="s">
        <v>39</v>
      </c>
      <c r="C8" s="13">
        <v>0</v>
      </c>
      <c r="F8" s="69">
        <v>5</v>
      </c>
      <c r="G8" s="70">
        <f t="shared" si="0"/>
        <v>0</v>
      </c>
      <c r="H8" s="69"/>
      <c r="I8" s="131"/>
      <c r="J8" s="131"/>
      <c r="K8" s="131"/>
      <c r="L8" s="131"/>
      <c r="M8" s="131"/>
    </row>
    <row r="9" spans="2:13">
      <c r="B9" s="45" t="s">
        <v>40</v>
      </c>
      <c r="C9" s="13">
        <v>0</v>
      </c>
      <c r="F9" s="69">
        <v>5</v>
      </c>
      <c r="G9" s="70">
        <f t="shared" si="0"/>
        <v>0</v>
      </c>
      <c r="H9" s="69"/>
      <c r="I9" s="131"/>
      <c r="J9" s="131"/>
      <c r="K9" s="131"/>
      <c r="L9" s="131"/>
      <c r="M9" s="131"/>
    </row>
    <row r="10" spans="2:13">
      <c r="B10" s="45" t="s">
        <v>41</v>
      </c>
      <c r="C10" s="13">
        <v>13000000</v>
      </c>
      <c r="F10" s="69">
        <v>5</v>
      </c>
      <c r="G10" s="70">
        <f t="shared" si="0"/>
        <v>2600000</v>
      </c>
      <c r="H10" s="69"/>
      <c r="I10" s="131"/>
      <c r="J10" s="131"/>
      <c r="K10" s="131"/>
      <c r="L10" s="131"/>
      <c r="M10" s="131"/>
    </row>
    <row r="11" spans="2:13">
      <c r="B11" s="45" t="s">
        <v>42</v>
      </c>
      <c r="C11" s="141">
        <v>5000000</v>
      </c>
      <c r="F11" s="69">
        <v>5</v>
      </c>
      <c r="G11" s="70">
        <f t="shared" si="0"/>
        <v>1000000</v>
      </c>
      <c r="H11" s="69"/>
      <c r="I11" s="131"/>
      <c r="J11" s="131"/>
      <c r="K11" s="131"/>
      <c r="L11" s="131"/>
      <c r="M11" s="131"/>
    </row>
    <row r="12" spans="2:13" ht="16.5" thickBot="1">
      <c r="B12" s="71" t="s">
        <v>43</v>
      </c>
      <c r="C12" s="72">
        <f>SUM(C4:C11)</f>
        <v>40000000</v>
      </c>
      <c r="F12" s="69"/>
      <c r="G12" s="70">
        <f>SUM(G5:G11)</f>
        <v>8000000</v>
      </c>
      <c r="H12" s="69"/>
      <c r="I12" s="131"/>
      <c r="J12" s="131"/>
      <c r="K12" s="131"/>
      <c r="L12" s="131"/>
      <c r="M12" s="131"/>
    </row>
    <row r="13" spans="2:13">
      <c r="B13" s="153" t="s">
        <v>44</v>
      </c>
      <c r="C13" s="154"/>
      <c r="D13" s="154"/>
      <c r="E13" s="154"/>
      <c r="F13" s="154"/>
      <c r="G13" s="154"/>
      <c r="H13" s="155"/>
    </row>
    <row r="14" spans="2:13" ht="15.75" thickBot="1">
      <c r="B14" s="156"/>
      <c r="C14" s="157"/>
      <c r="D14" s="157"/>
      <c r="E14" s="157"/>
      <c r="F14" s="157"/>
      <c r="G14" s="157"/>
      <c r="H14" s="158"/>
    </row>
    <row r="15" spans="2:13">
      <c r="B15" s="73"/>
      <c r="C15" s="73"/>
      <c r="D15" s="73"/>
      <c r="E15" s="73"/>
      <c r="F15" s="73"/>
      <c r="G15" s="73"/>
      <c r="H15" s="73"/>
    </row>
    <row r="16" spans="2:13">
      <c r="B16" s="71" t="s">
        <v>45</v>
      </c>
      <c r="E16" s="71" t="s">
        <v>46</v>
      </c>
      <c r="F16" s="38"/>
    </row>
    <row r="17" spans="2:6">
      <c r="C17" s="71" t="s">
        <v>47</v>
      </c>
      <c r="F17" s="71" t="str">
        <f>C17</f>
        <v>VALOR AÑO 1</v>
      </c>
    </row>
    <row r="18" spans="2:6">
      <c r="B18" s="74" t="s">
        <v>48</v>
      </c>
      <c r="C18" s="13">
        <v>87000000</v>
      </c>
      <c r="E18" s="75" t="s">
        <v>49</v>
      </c>
      <c r="F18" s="13">
        <v>78000000</v>
      </c>
    </row>
    <row r="19" spans="2:6">
      <c r="C19" s="76"/>
      <c r="E19" s="75" t="s">
        <v>50</v>
      </c>
      <c r="F19" s="13">
        <v>0</v>
      </c>
    </row>
    <row r="20" spans="2:6">
      <c r="B20" s="74" t="s">
        <v>51</v>
      </c>
      <c r="C20" s="13">
        <v>0</v>
      </c>
      <c r="E20" s="75" t="s">
        <v>52</v>
      </c>
      <c r="F20" s="13">
        <v>0</v>
      </c>
    </row>
    <row r="21" spans="2:6">
      <c r="C21" s="76"/>
      <c r="E21" s="75" t="s">
        <v>53</v>
      </c>
      <c r="F21" s="13">
        <v>0</v>
      </c>
    </row>
    <row r="22" spans="2:6">
      <c r="B22" s="74" t="s">
        <v>54</v>
      </c>
      <c r="C22" s="13">
        <v>0</v>
      </c>
      <c r="E22" s="75" t="s">
        <v>55</v>
      </c>
      <c r="F22" s="13">
        <v>0</v>
      </c>
    </row>
    <row r="23" spans="2:6" ht="15.75">
      <c r="B23" s="14" t="s">
        <v>56</v>
      </c>
      <c r="C23" s="72">
        <f>C18+C20+C22</f>
        <v>87000000</v>
      </c>
      <c r="E23" s="75" t="s">
        <v>57</v>
      </c>
      <c r="F23" s="13">
        <v>0</v>
      </c>
    </row>
    <row r="24" spans="2:6">
      <c r="E24" s="75" t="s">
        <v>58</v>
      </c>
      <c r="F24" s="13">
        <v>0</v>
      </c>
    </row>
    <row r="25" spans="2:6" ht="24.75">
      <c r="B25" s="75" t="s">
        <v>59</v>
      </c>
      <c r="C25" s="13">
        <f>11400000+(9*8000000)</f>
        <v>83400000</v>
      </c>
      <c r="E25" s="99" t="s">
        <v>60</v>
      </c>
      <c r="F25" s="13">
        <v>0</v>
      </c>
    </row>
    <row r="26" spans="2:6">
      <c r="E26" s="99" t="s">
        <v>61</v>
      </c>
      <c r="F26" s="13">
        <v>0</v>
      </c>
    </row>
    <row r="27" spans="2:6" ht="24.75">
      <c r="B27" s="97" t="s">
        <v>62</v>
      </c>
      <c r="C27" s="97"/>
      <c r="E27" s="140" t="s">
        <v>63</v>
      </c>
      <c r="F27" s="13">
        <f>+(1500000*12)+705100</f>
        <v>18705100</v>
      </c>
    </row>
    <row r="28" spans="2:6">
      <c r="B28" s="146">
        <f>'1'!G2</f>
        <v>2022</v>
      </c>
      <c r="C28" s="13">
        <f>8000000*9</f>
        <v>72000000</v>
      </c>
      <c r="E28" s="140" t="s">
        <v>64</v>
      </c>
      <c r="F28" s="13">
        <v>280000</v>
      </c>
    </row>
    <row r="29" spans="2:6" ht="24.75">
      <c r="B29" s="146">
        <f>'1'!H2</f>
        <v>2023</v>
      </c>
      <c r="C29" s="13">
        <f>8000000*8</f>
        <v>64000000</v>
      </c>
      <c r="E29" s="140" t="s">
        <v>65</v>
      </c>
      <c r="F29" s="13">
        <v>13834800</v>
      </c>
    </row>
    <row r="30" spans="2:6">
      <c r="B30" s="146">
        <f>'1'!I2</f>
        <v>2024</v>
      </c>
      <c r="C30" s="13">
        <f>8000000*7</f>
        <v>56000000</v>
      </c>
      <c r="E30" s="99"/>
      <c r="F30" s="13">
        <v>0</v>
      </c>
    </row>
    <row r="31" spans="2:6" ht="15.75">
      <c r="B31" s="146">
        <f>'1'!J2</f>
        <v>2025</v>
      </c>
      <c r="C31" s="13">
        <f>8000000*6</f>
        <v>48000000</v>
      </c>
      <c r="E31" s="75" t="s">
        <v>66</v>
      </c>
      <c r="F31" s="72">
        <f>SUM(F18:F30)</f>
        <v>110819900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scale="50" orientation="portrait" r:id="rId1"/>
  <colBreaks count="1" manualBreakCount="1">
    <brk id="12"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L16"/>
  <sheetViews>
    <sheetView showGridLines="0" view="pageBreakPreview" zoomScale="60" zoomScaleNormal="100" workbookViewId="0">
      <selection activeCell="B14" sqref="B14:D16"/>
    </sheetView>
  </sheetViews>
  <sheetFormatPr baseColWidth="10" defaultColWidth="11.42578125" defaultRowHeight="15"/>
  <cols>
    <col min="1" max="1" width="11.42578125" style="14"/>
    <col min="2" max="2" width="39" style="14" bestFit="1" customWidth="1"/>
    <col min="3" max="4" width="18.5703125" style="14" bestFit="1" customWidth="1"/>
    <col min="5" max="5" width="12.85546875" style="14" customWidth="1"/>
    <col min="6" max="6" width="19.7109375" style="14" customWidth="1"/>
    <col min="7" max="7" width="17" style="14" customWidth="1"/>
    <col min="8" max="8" width="18.140625" style="14" customWidth="1"/>
    <col min="9" max="9" width="17" style="14" bestFit="1" customWidth="1"/>
    <col min="10" max="10" width="21.28515625" style="14" customWidth="1"/>
    <col min="11" max="16384" width="11.42578125" style="14"/>
  </cols>
  <sheetData>
    <row r="2" spans="2:12" ht="29.25" customHeight="1">
      <c r="B2" s="150" t="s">
        <v>67</v>
      </c>
      <c r="C2" s="150"/>
      <c r="D2" s="150"/>
      <c r="E2" s="150"/>
      <c r="F2" s="150"/>
      <c r="G2" s="150"/>
      <c r="H2" s="150"/>
      <c r="I2" s="150"/>
      <c r="J2" s="150"/>
    </row>
    <row r="3" spans="2:12">
      <c r="F3" s="160" t="s">
        <v>68</v>
      </c>
      <c r="G3" s="160"/>
    </row>
    <row r="4" spans="2:12" ht="15.75">
      <c r="B4" s="16" t="s">
        <v>43</v>
      </c>
      <c r="C4" s="72">
        <f>'2'!C12</f>
        <v>40000000</v>
      </c>
      <c r="F4" s="161">
        <v>0.23</v>
      </c>
      <c r="G4" s="161"/>
      <c r="I4" s="14" t="s">
        <v>69</v>
      </c>
      <c r="J4" s="130">
        <v>5</v>
      </c>
      <c r="L4" s="69">
        <v>1</v>
      </c>
    </row>
    <row r="5" spans="2:12">
      <c r="L5" s="69">
        <v>2</v>
      </c>
    </row>
    <row r="6" spans="2:12" ht="15.75" thickBot="1">
      <c r="B6" s="16" t="s">
        <v>70</v>
      </c>
      <c r="F6" s="159" t="s">
        <v>71</v>
      </c>
      <c r="G6" s="159"/>
      <c r="H6" s="159"/>
      <c r="I6" s="159"/>
      <c r="J6" s="159"/>
      <c r="L6" s="69">
        <v>3</v>
      </c>
    </row>
    <row r="7" spans="2:12">
      <c r="C7" s="77" t="s">
        <v>72</v>
      </c>
      <c r="D7" s="77" t="s">
        <v>73</v>
      </c>
      <c r="E7" s="119"/>
      <c r="F7" s="120" t="s">
        <v>74</v>
      </c>
      <c r="G7" s="120" t="s">
        <v>75</v>
      </c>
      <c r="H7" s="120" t="s">
        <v>76</v>
      </c>
      <c r="I7" s="120" t="s">
        <v>77</v>
      </c>
      <c r="J7" s="121" t="s">
        <v>78</v>
      </c>
      <c r="L7" s="69">
        <v>4</v>
      </c>
    </row>
    <row r="8" spans="2:12">
      <c r="B8" s="45" t="s">
        <v>79</v>
      </c>
      <c r="C8" s="54">
        <v>6</v>
      </c>
      <c r="D8" s="25">
        <f>('1'!B33/12)*C8</f>
        <v>77231000</v>
      </c>
      <c r="E8" s="122" t="s">
        <v>80</v>
      </c>
      <c r="F8" s="123"/>
      <c r="G8" s="123"/>
      <c r="H8" s="123"/>
      <c r="I8" s="123"/>
      <c r="J8" s="124">
        <f>D16</f>
        <v>207840950</v>
      </c>
      <c r="L8" s="69">
        <v>5</v>
      </c>
    </row>
    <row r="9" spans="2:12">
      <c r="B9" s="45" t="s">
        <v>81</v>
      </c>
      <c r="C9" s="54">
        <v>6</v>
      </c>
      <c r="D9" s="25">
        <f>('2'!C23/12)*C9</f>
        <v>43500000</v>
      </c>
      <c r="E9" s="122">
        <f>'1'!B31</f>
        <v>2021</v>
      </c>
      <c r="F9" s="126">
        <f>IF(J8&gt;0,J8,0)</f>
        <v>207840950</v>
      </c>
      <c r="G9" s="126">
        <f>F9*$F$4</f>
        <v>47803418.5</v>
      </c>
      <c r="H9" s="126">
        <f>IF(J8&lt;1,0,(I9-G9))</f>
        <v>26333536.502108991</v>
      </c>
      <c r="I9" s="126">
        <f>PMT(F4,J4,J8)*-1</f>
        <v>74136955.002108991</v>
      </c>
      <c r="J9" s="127">
        <f>F9-H9</f>
        <v>181507413.49789101</v>
      </c>
    </row>
    <row r="10" spans="2:12">
      <c r="B10" s="45" t="s">
        <v>82</v>
      </c>
      <c r="C10" s="54">
        <v>6</v>
      </c>
      <c r="D10" s="25">
        <f>('2'!C25/12)*C10</f>
        <v>41700000</v>
      </c>
      <c r="E10" s="122">
        <f>'1'!C31</f>
        <v>2022</v>
      </c>
      <c r="F10" s="126">
        <f>IF(J9&gt;0,J9,0)</f>
        <v>181507413.49789101</v>
      </c>
      <c r="G10" s="126">
        <f>F10*$F$4</f>
        <v>41746705.104514934</v>
      </c>
      <c r="H10" s="126">
        <f>IF(J9&lt;1,0,(I10-G10))</f>
        <v>32390249.897594057</v>
      </c>
      <c r="I10" s="126">
        <f>IF(J9&lt;1,0,(I9*(1+$K$7)))</f>
        <v>74136955.002108991</v>
      </c>
      <c r="J10" s="127">
        <f>F10-H10</f>
        <v>149117163.60029694</v>
      </c>
    </row>
    <row r="11" spans="2:12">
      <c r="B11" s="45" t="s">
        <v>83</v>
      </c>
      <c r="C11" s="54">
        <v>6</v>
      </c>
      <c r="D11" s="25">
        <f>('2'!F31/12)*C11</f>
        <v>55409950</v>
      </c>
      <c r="E11" s="122">
        <f>'1'!D31</f>
        <v>2023</v>
      </c>
      <c r="F11" s="126">
        <f>IF(J10&gt;0,J10,0)</f>
        <v>149117163.60029694</v>
      </c>
      <c r="G11" s="126">
        <f>F11*$F$4</f>
        <v>34296947.628068298</v>
      </c>
      <c r="H11" s="126">
        <f>IF(J10&lt;1,0,(I11-G11))</f>
        <v>39840007.374040693</v>
      </c>
      <c r="I11" s="126">
        <f>IF(J10&lt;1,0,(I10*(1+$K$7)))</f>
        <v>74136955.002108991</v>
      </c>
      <c r="J11" s="127">
        <f>F11-H11</f>
        <v>109277156.22625625</v>
      </c>
    </row>
    <row r="12" spans="2:12" ht="15.75">
      <c r="B12" s="78" t="s">
        <v>23</v>
      </c>
      <c r="C12" s="56"/>
      <c r="D12" s="79">
        <f>SUM(D8:D11)</f>
        <v>217840950</v>
      </c>
      <c r="E12" s="122">
        <f>'1'!E31</f>
        <v>2024</v>
      </c>
      <c r="F12" s="126">
        <f>IF(J11&gt;0,J11,0)</f>
        <v>109277156.22625625</v>
      </c>
      <c r="G12" s="126">
        <f>F12*$F$4</f>
        <v>25133745.93203894</v>
      </c>
      <c r="H12" s="126">
        <f>IF(J11&lt;1,0,(I12-G12))</f>
        <v>49003209.070070051</v>
      </c>
      <c r="I12" s="126">
        <f>IF(J11&lt;1,0,(I11*(1+$K$7)))</f>
        <v>74136955.002108991</v>
      </c>
      <c r="J12" s="127">
        <f>F12-H12</f>
        <v>60273947.156186201</v>
      </c>
    </row>
    <row r="13" spans="2:12" ht="15.75" thickBot="1">
      <c r="E13" s="125">
        <f>'1'!F31</f>
        <v>2025</v>
      </c>
      <c r="F13" s="128">
        <f>IF(J12&gt;0,J12,0)</f>
        <v>60273947.156186201</v>
      </c>
      <c r="G13" s="128">
        <f>F13*$F$4</f>
        <v>13863007.845922826</v>
      </c>
      <c r="H13" s="128">
        <f>IF(J12&lt;1,0,(I13-G13))</f>
        <v>60273947.156186163</v>
      </c>
      <c r="I13" s="128">
        <f>IF(J12&lt;1,0,(I12*(1+$K$7)))</f>
        <v>74136955.002108991</v>
      </c>
      <c r="J13" s="129">
        <f>F13-H13</f>
        <v>0</v>
      </c>
    </row>
    <row r="14" spans="2:12" ht="15.75">
      <c r="B14" s="45" t="s">
        <v>84</v>
      </c>
      <c r="D14" s="72">
        <f>C4+D12</f>
        <v>257840950</v>
      </c>
    </row>
    <row r="15" spans="2:12">
      <c r="B15" s="45" t="s">
        <v>85</v>
      </c>
      <c r="D15" s="55">
        <v>50000000</v>
      </c>
    </row>
    <row r="16" spans="2:12" ht="15.75">
      <c r="B16" s="45" t="s">
        <v>86</v>
      </c>
      <c r="D16" s="80">
        <f>D14-D15</f>
        <v>207840950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formula1>$L$4:$L$8</formula1>
    </dataValidation>
  </dataValidations>
  <pageMargins left="0.7" right="0.7" top="0.75" bottom="0.75" header="0.3" footer="0.3"/>
  <pageSetup paperSize="9" scale="40" orientation="portrait" r:id="rId1"/>
  <colBreaks count="1" manualBreakCount="1">
    <brk id="12"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60" zoomScaleNormal="110" workbookViewId="0">
      <pane xSplit="7" ySplit="1" topLeftCell="H8" activePane="bottomRight" state="frozenSplit"/>
      <selection pane="topRight" activeCell="E1" sqref="E1"/>
      <selection pane="bottomLeft" activeCell="A12" sqref="A12"/>
      <selection pane="bottomRight" activeCell="C15" sqref="C15"/>
    </sheetView>
  </sheetViews>
  <sheetFormatPr baseColWidth="10" defaultColWidth="11.42578125" defaultRowHeight="15"/>
  <cols>
    <col min="1" max="1" width="20.85546875" style="14" customWidth="1"/>
    <col min="2" max="2" width="19.5703125" style="14" customWidth="1"/>
    <col min="3" max="3" width="20.85546875" style="14" customWidth="1"/>
    <col min="4" max="4" width="17.7109375" style="14" customWidth="1"/>
    <col min="5" max="5" width="17.5703125" style="14" customWidth="1"/>
    <col min="6" max="6" width="16.5703125" style="14" customWidth="1"/>
    <col min="7" max="7" width="17.7109375" style="14" customWidth="1"/>
    <col min="8" max="16384" width="11.42578125" style="14"/>
  </cols>
  <sheetData>
    <row r="1" spans="1:7" ht="34.5" customHeight="1">
      <c r="A1" s="162" t="s">
        <v>87</v>
      </c>
      <c r="B1" s="162"/>
      <c r="C1" s="162"/>
      <c r="D1" s="162"/>
      <c r="E1" s="162"/>
      <c r="F1" s="162"/>
      <c r="G1" s="162"/>
    </row>
    <row r="2" spans="1:7" ht="23.25">
      <c r="A2" s="163" t="s">
        <v>88</v>
      </c>
      <c r="B2" s="163"/>
      <c r="C2" s="163"/>
      <c r="D2" s="163"/>
      <c r="E2" s="163"/>
      <c r="F2" s="163"/>
      <c r="G2" s="163"/>
    </row>
    <row r="3" spans="1:7" ht="8.25" customHeight="1">
      <c r="A3" s="145"/>
      <c r="B3" s="145"/>
      <c r="C3" s="145"/>
      <c r="D3" s="145"/>
      <c r="E3" s="145"/>
      <c r="F3" s="145"/>
      <c r="G3" s="145"/>
    </row>
    <row r="4" spans="1:7" ht="15.75">
      <c r="A4" s="164" t="s">
        <v>89</v>
      </c>
      <c r="B4" s="164"/>
      <c r="C4" s="164"/>
      <c r="D4" s="164"/>
      <c r="E4" s="164"/>
      <c r="F4" s="164"/>
      <c r="G4" s="164"/>
    </row>
    <row r="5" spans="1:7" ht="23.25">
      <c r="C5" s="58">
        <f>'1'!B31</f>
        <v>2021</v>
      </c>
      <c r="D5" s="58">
        <f>'1'!C31</f>
        <v>2022</v>
      </c>
      <c r="E5" s="58">
        <f>'1'!D31</f>
        <v>2023</v>
      </c>
      <c r="F5" s="58">
        <f>'1'!E31</f>
        <v>2024</v>
      </c>
      <c r="G5" s="58">
        <f>'1'!F31</f>
        <v>2025</v>
      </c>
    </row>
    <row r="6" spans="1:7">
      <c r="B6" s="14" t="s">
        <v>90</v>
      </c>
      <c r="C6" s="59">
        <f>'1'!B32</f>
        <v>476000000</v>
      </c>
      <c r="D6" s="59">
        <f>'1'!C32</f>
        <v>537784800.00000012</v>
      </c>
      <c r="E6" s="59">
        <f>'1'!D32</f>
        <v>621141444.00000012</v>
      </c>
      <c r="F6" s="59">
        <f>'1'!E32</f>
        <v>756550278.79200006</v>
      </c>
      <c r="G6" s="59">
        <f>'1'!F32</f>
        <v>1032691130.5510801</v>
      </c>
    </row>
    <row r="7" spans="1:7">
      <c r="B7" s="14" t="s">
        <v>91</v>
      </c>
      <c r="C7" s="59">
        <f>'1'!B33</f>
        <v>154462000</v>
      </c>
      <c r="D7" s="59">
        <f>'1'!C33</f>
        <v>171187145.36000001</v>
      </c>
      <c r="E7" s="59">
        <f>'1'!D33</f>
        <v>193955035.69288003</v>
      </c>
      <c r="F7" s="59">
        <f>'1'!E33</f>
        <v>231737476.64585304</v>
      </c>
      <c r="G7" s="59">
        <f>'1'!F33</f>
        <v>310296481.22879726</v>
      </c>
    </row>
    <row r="8" spans="1:7" ht="15.75" thickBot="1">
      <c r="B8" s="60" t="s">
        <v>92</v>
      </c>
      <c r="C8" s="61">
        <f>C6-C7</f>
        <v>321538000</v>
      </c>
      <c r="D8" s="61">
        <f>D6-D7</f>
        <v>366597654.6400001</v>
      </c>
      <c r="E8" s="61">
        <f>E6-E7</f>
        <v>427186408.30712008</v>
      </c>
      <c r="F8" s="61">
        <f>F6-F7</f>
        <v>524812802.14614701</v>
      </c>
      <c r="G8" s="61">
        <f>G6-G7</f>
        <v>722394649.32228279</v>
      </c>
    </row>
    <row r="9" spans="1:7" ht="15.75" thickTop="1">
      <c r="B9" s="14" t="s">
        <v>93</v>
      </c>
      <c r="C9" s="59">
        <f>'2'!C23</f>
        <v>87000000</v>
      </c>
      <c r="D9" s="59">
        <f>C9*(1+'1'!Z4)</f>
        <v>91350000</v>
      </c>
      <c r="E9" s="59">
        <f>D9*(1+'1'!AA4)</f>
        <v>95917500</v>
      </c>
      <c r="F9" s="59">
        <f>E9*(1+'1'!AB4)</f>
        <v>100713375</v>
      </c>
      <c r="G9" s="59">
        <f>F9*(1+'1'!AC4)</f>
        <v>105749043.75</v>
      </c>
    </row>
    <row r="10" spans="1:7">
      <c r="B10" s="14" t="s">
        <v>94</v>
      </c>
      <c r="C10" s="59">
        <f>'2'!F31</f>
        <v>110819900</v>
      </c>
      <c r="D10" s="59">
        <f>C10*(1+'1'!Z4)</f>
        <v>116360895</v>
      </c>
      <c r="E10" s="59">
        <f>D10*(1+'1'!AA4)</f>
        <v>122178939.75</v>
      </c>
      <c r="F10" s="59">
        <f>E10*(1+'1'!AB4)</f>
        <v>128287886.73750001</v>
      </c>
      <c r="G10" s="59">
        <f>F10*(1+'1'!AC4)</f>
        <v>134702281.074375</v>
      </c>
    </row>
    <row r="11" spans="1:7">
      <c r="B11" s="14" t="s">
        <v>95</v>
      </c>
      <c r="C11" s="59">
        <f>'2'!C25</f>
        <v>83400000</v>
      </c>
      <c r="D11" s="59">
        <f>'2'!C28</f>
        <v>72000000</v>
      </c>
      <c r="E11" s="59">
        <f>'2'!C29</f>
        <v>64000000</v>
      </c>
      <c r="F11" s="59">
        <f>'2'!C30</f>
        <v>56000000</v>
      </c>
      <c r="G11" s="59">
        <f>'2'!C31</f>
        <v>48000000</v>
      </c>
    </row>
    <row r="12" spans="1:7">
      <c r="B12" s="14" t="s">
        <v>96</v>
      </c>
      <c r="C12" s="59">
        <f>'2'!G12</f>
        <v>8000000</v>
      </c>
      <c r="D12" s="59">
        <f>C12</f>
        <v>8000000</v>
      </c>
      <c r="E12" s="59">
        <f>D12</f>
        <v>8000000</v>
      </c>
      <c r="F12" s="59">
        <f>E12</f>
        <v>8000000</v>
      </c>
      <c r="G12" s="59">
        <f>F12</f>
        <v>8000000</v>
      </c>
    </row>
    <row r="13" spans="1:7" ht="15.75" thickBot="1">
      <c r="B13" s="60" t="s">
        <v>97</v>
      </c>
      <c r="C13" s="62">
        <f>C8-C9-C10-C11-C12</f>
        <v>32318100</v>
      </c>
      <c r="D13" s="62">
        <f>D8-D9-D10-D11-D12</f>
        <v>78886759.640000105</v>
      </c>
      <c r="E13" s="62">
        <f>E8-E9-E10-E11-E12</f>
        <v>137089968.55712008</v>
      </c>
      <c r="F13" s="62">
        <f>F8-F9-F10-F11-F12</f>
        <v>231811540.408647</v>
      </c>
      <c r="G13" s="62">
        <f>G8-G9-G10-G11-G12</f>
        <v>425943324.49790776</v>
      </c>
    </row>
    <row r="14" spans="1:7" ht="15.75" thickTop="1">
      <c r="B14" s="14" t="s">
        <v>98</v>
      </c>
      <c r="C14" s="59">
        <f>'3'!G9</f>
        <v>47803418.5</v>
      </c>
      <c r="D14" s="59">
        <f>'3'!G10</f>
        <v>41746705.104514934</v>
      </c>
      <c r="E14" s="59">
        <f>'3'!G11</f>
        <v>34296947.628068298</v>
      </c>
      <c r="F14" s="59">
        <f>'3'!G12</f>
        <v>25133745.93203894</v>
      </c>
      <c r="G14" s="59">
        <f>'3'!G13</f>
        <v>13863007.845922826</v>
      </c>
    </row>
    <row r="15" spans="1:7" ht="15.75" thickBot="1">
      <c r="B15" s="60" t="s">
        <v>99</v>
      </c>
      <c r="C15" s="62">
        <f>C13-C14</f>
        <v>-15485318.5</v>
      </c>
      <c r="D15" s="62">
        <f>D13-D14</f>
        <v>37140054.535485171</v>
      </c>
      <c r="E15" s="62">
        <f>E13-E14</f>
        <v>102793020.92905179</v>
      </c>
      <c r="F15" s="62">
        <f>F13-F14</f>
        <v>206677794.47660807</v>
      </c>
      <c r="G15" s="62">
        <f>G13-G14</f>
        <v>412080316.65198493</v>
      </c>
    </row>
    <row r="16" spans="1:7" ht="15.75" thickTop="1">
      <c r="B16" s="14" t="s">
        <v>100</v>
      </c>
      <c r="C16" s="63">
        <f>IF(C15*'1'!$AB$7&lt;0,0,C15*'1'!$AB$7)</f>
        <v>0</v>
      </c>
      <c r="D16" s="63">
        <f>IF(D15*'1'!$AB$7&lt;0,0,D15*'1'!$AB$7)</f>
        <v>12627618.542064959</v>
      </c>
      <c r="E16" s="63">
        <f>IF(E15*'1'!$AB$7&lt;0,0,E15*'1'!$AB$7)</f>
        <v>34949627.115877613</v>
      </c>
      <c r="F16" s="63">
        <f>IF(F15*'1'!$AB$7&lt;0,0,F15*'1'!$AB$7)</f>
        <v>70270450.122046754</v>
      </c>
      <c r="G16" s="63">
        <f>IF(G15*'1'!$AB$7&lt;0,0,G15*'1'!$AB$7)</f>
        <v>140107307.66167489</v>
      </c>
    </row>
    <row r="17" spans="1:8" ht="15.75" thickBot="1">
      <c r="B17" s="64" t="s">
        <v>101</v>
      </c>
      <c r="C17" s="65">
        <f>C15-C16</f>
        <v>-15485318.5</v>
      </c>
      <c r="D17" s="65">
        <f>D15-D16</f>
        <v>24512435.993420213</v>
      </c>
      <c r="E17" s="65">
        <f>E15-E16</f>
        <v>67843393.813174173</v>
      </c>
      <c r="F17" s="65">
        <f>F15-F16</f>
        <v>136407344.35456133</v>
      </c>
      <c r="G17" s="65">
        <f>G15-G16</f>
        <v>271973008.99031007</v>
      </c>
    </row>
    <row r="19" spans="1:8" ht="15.75">
      <c r="A19" s="164" t="s">
        <v>102</v>
      </c>
      <c r="B19" s="164"/>
      <c r="C19" s="164"/>
      <c r="D19" s="164"/>
      <c r="E19" s="164"/>
      <c r="F19" s="164"/>
      <c r="G19" s="164"/>
    </row>
    <row r="20" spans="1:8" ht="23.25">
      <c r="B20" s="66" t="s">
        <v>80</v>
      </c>
      <c r="C20" s="58">
        <f>C5</f>
        <v>2021</v>
      </c>
      <c r="D20" s="58">
        <f>D5</f>
        <v>2022</v>
      </c>
      <c r="E20" s="58">
        <f>E5</f>
        <v>2023</v>
      </c>
      <c r="F20" s="58">
        <f>F5</f>
        <v>2024</v>
      </c>
      <c r="G20" s="58">
        <f>G5</f>
        <v>2025</v>
      </c>
    </row>
    <row r="21" spans="1:8">
      <c r="A21" s="165" t="s">
        <v>103</v>
      </c>
      <c r="B21" s="165"/>
      <c r="C21" s="165"/>
      <c r="D21" s="165"/>
      <c r="E21" s="165"/>
      <c r="F21" s="165"/>
      <c r="G21" s="165"/>
    </row>
    <row r="22" spans="1:8">
      <c r="A22" s="14" t="s">
        <v>104</v>
      </c>
      <c r="B22" s="26">
        <f t="shared" ref="B22:G22" si="0">B38-B26</f>
        <v>217840950</v>
      </c>
      <c r="C22" s="26">
        <f t="shared" si="0"/>
        <v>184022094.99789101</v>
      </c>
      <c r="D22" s="26">
        <f t="shared" si="0"/>
        <v>212257218.13578212</v>
      </c>
      <c r="E22" s="26">
        <f t="shared" si="0"/>
        <v>246070177.15530807</v>
      </c>
      <c r="F22" s="26">
        <f t="shared" si="0"/>
        <v>308951741.63279426</v>
      </c>
      <c r="G22" s="26">
        <f t="shared" si="0"/>
        <v>462080316.65198493</v>
      </c>
    </row>
    <row r="23" spans="1:8">
      <c r="A23" s="14" t="s">
        <v>105</v>
      </c>
      <c r="B23" s="26">
        <f>'2'!C4</f>
        <v>0</v>
      </c>
      <c r="C23" s="26">
        <f t="shared" ref="C23:G24" si="1">B23</f>
        <v>0</v>
      </c>
      <c r="D23" s="26">
        <f t="shared" si="1"/>
        <v>0</v>
      </c>
      <c r="E23" s="26">
        <f t="shared" si="1"/>
        <v>0</v>
      </c>
      <c r="F23" s="26">
        <f t="shared" si="1"/>
        <v>0</v>
      </c>
      <c r="G23" s="26">
        <f t="shared" si="1"/>
        <v>0</v>
      </c>
      <c r="H23" s="26"/>
    </row>
    <row r="24" spans="1:8">
      <c r="A24" s="14" t="s">
        <v>106</v>
      </c>
      <c r="B24" s="26">
        <f>'2'!C12-'2'!C4</f>
        <v>40000000</v>
      </c>
      <c r="C24" s="26">
        <f t="shared" si="1"/>
        <v>40000000</v>
      </c>
      <c r="D24" s="26">
        <f t="shared" si="1"/>
        <v>40000000</v>
      </c>
      <c r="E24" s="26">
        <f t="shared" si="1"/>
        <v>40000000</v>
      </c>
      <c r="F24" s="26">
        <f t="shared" si="1"/>
        <v>40000000</v>
      </c>
      <c r="G24" s="26">
        <f t="shared" si="1"/>
        <v>40000000</v>
      </c>
      <c r="H24" s="26"/>
    </row>
    <row r="25" spans="1:8">
      <c r="A25" s="14" t="s">
        <v>107</v>
      </c>
      <c r="B25" s="26">
        <v>0</v>
      </c>
      <c r="C25" s="26">
        <f>C12</f>
        <v>8000000</v>
      </c>
      <c r="D25" s="26">
        <f>D12+C12</f>
        <v>16000000</v>
      </c>
      <c r="E25" s="26">
        <f>E12+D12+C12</f>
        <v>24000000</v>
      </c>
      <c r="F25" s="26">
        <f>F12+E12+D12+C12</f>
        <v>32000000</v>
      </c>
      <c r="G25" s="26">
        <f>F25+G12</f>
        <v>40000000</v>
      </c>
      <c r="H25" s="26"/>
    </row>
    <row r="26" spans="1:8">
      <c r="A26" s="14" t="s">
        <v>108</v>
      </c>
      <c r="B26" s="26">
        <f t="shared" ref="B26:G26" si="2">B23+(B24-B25)</f>
        <v>40000000</v>
      </c>
      <c r="C26" s="26">
        <f t="shared" si="2"/>
        <v>32000000</v>
      </c>
      <c r="D26" s="26">
        <f t="shared" si="2"/>
        <v>24000000</v>
      </c>
      <c r="E26" s="26">
        <f t="shared" si="2"/>
        <v>16000000</v>
      </c>
      <c r="F26" s="26">
        <f t="shared" si="2"/>
        <v>8000000</v>
      </c>
      <c r="G26" s="26">
        <f t="shared" si="2"/>
        <v>0</v>
      </c>
      <c r="H26" s="26"/>
    </row>
    <row r="27" spans="1:8" ht="15.75" thickBot="1">
      <c r="A27" s="60" t="s">
        <v>109</v>
      </c>
      <c r="B27" s="67">
        <f t="shared" ref="B27:G27" si="3">B22+B26</f>
        <v>257840950</v>
      </c>
      <c r="C27" s="67">
        <f t="shared" si="3"/>
        <v>216022094.99789101</v>
      </c>
      <c r="D27" s="67">
        <f t="shared" si="3"/>
        <v>236257218.13578212</v>
      </c>
      <c r="E27" s="67">
        <f t="shared" si="3"/>
        <v>262070177.15530807</v>
      </c>
      <c r="F27" s="67">
        <f t="shared" si="3"/>
        <v>316951741.63279426</v>
      </c>
      <c r="G27" s="67">
        <f t="shared" si="3"/>
        <v>462080316.65198493</v>
      </c>
      <c r="H27" s="26"/>
    </row>
    <row r="28" spans="1:8" ht="15.75" thickTop="1">
      <c r="A28" s="165" t="s">
        <v>110</v>
      </c>
      <c r="B28" s="165"/>
      <c r="C28" s="165"/>
      <c r="D28" s="165"/>
      <c r="E28" s="165"/>
      <c r="F28" s="165"/>
      <c r="G28" s="165"/>
    </row>
    <row r="29" spans="1:8">
      <c r="A29" s="14" t="s">
        <v>111</v>
      </c>
      <c r="B29" s="14">
        <v>0</v>
      </c>
      <c r="C29" s="63">
        <f>C16</f>
        <v>0</v>
      </c>
      <c r="D29" s="63">
        <f>D16</f>
        <v>12627618.542064959</v>
      </c>
      <c r="E29" s="63">
        <f>E16</f>
        <v>34949627.115877613</v>
      </c>
      <c r="F29" s="63">
        <f>F16</f>
        <v>70270450.122046754</v>
      </c>
      <c r="G29" s="63">
        <f>G16</f>
        <v>140107307.66167489</v>
      </c>
    </row>
    <row r="30" spans="1:8">
      <c r="A30" s="14" t="s">
        <v>112</v>
      </c>
      <c r="B30" s="63">
        <f t="shared" ref="B30:G30" si="4">B29</f>
        <v>0</v>
      </c>
      <c r="C30" s="63">
        <f t="shared" si="4"/>
        <v>0</v>
      </c>
      <c r="D30" s="63">
        <f t="shared" si="4"/>
        <v>12627618.542064959</v>
      </c>
      <c r="E30" s="63">
        <f t="shared" si="4"/>
        <v>34949627.115877613</v>
      </c>
      <c r="F30" s="63">
        <f t="shared" si="4"/>
        <v>70270450.122046754</v>
      </c>
      <c r="G30" s="63">
        <f t="shared" si="4"/>
        <v>140107307.66167489</v>
      </c>
    </row>
    <row r="31" spans="1:8">
      <c r="A31" s="14" t="s">
        <v>113</v>
      </c>
      <c r="B31" s="25">
        <f>'3'!J8</f>
        <v>207840950</v>
      </c>
      <c r="C31" s="25">
        <f>'3'!J9</f>
        <v>181507413.49789101</v>
      </c>
      <c r="D31" s="25">
        <f>'3'!J10</f>
        <v>149117163.60029694</v>
      </c>
      <c r="E31" s="25">
        <f>'3'!J11</f>
        <v>109277156.22625625</v>
      </c>
      <c r="F31" s="25">
        <f>'3'!J12</f>
        <v>60273947.156186201</v>
      </c>
      <c r="G31" s="25">
        <f>'3'!J13</f>
        <v>0</v>
      </c>
    </row>
    <row r="32" spans="1:8" ht="15.75" thickBot="1">
      <c r="A32" s="60" t="s">
        <v>110</v>
      </c>
      <c r="B32" s="67">
        <f t="shared" ref="B32:G32" si="5">B30+B31</f>
        <v>207840950</v>
      </c>
      <c r="C32" s="67">
        <f t="shared" si="5"/>
        <v>181507413.49789101</v>
      </c>
      <c r="D32" s="67">
        <f t="shared" si="5"/>
        <v>161744782.14236191</v>
      </c>
      <c r="E32" s="67">
        <f t="shared" si="5"/>
        <v>144226783.34213388</v>
      </c>
      <c r="F32" s="67">
        <f t="shared" si="5"/>
        <v>130544397.27823296</v>
      </c>
      <c r="G32" s="67">
        <f t="shared" si="5"/>
        <v>140107307.66167489</v>
      </c>
    </row>
    <row r="33" spans="1:7" ht="15.75" thickTop="1">
      <c r="A33" s="165" t="s">
        <v>114</v>
      </c>
      <c r="B33" s="165"/>
      <c r="C33" s="165"/>
      <c r="D33" s="165"/>
      <c r="E33" s="165"/>
      <c r="F33" s="165"/>
      <c r="G33" s="165"/>
    </row>
    <row r="34" spans="1:7">
      <c r="A34" s="14" t="s">
        <v>115</v>
      </c>
      <c r="B34" s="26">
        <f>'3'!D15</f>
        <v>50000000</v>
      </c>
      <c r="C34" s="26">
        <f>B34</f>
        <v>50000000</v>
      </c>
      <c r="D34" s="26">
        <f>C34</f>
        <v>50000000</v>
      </c>
      <c r="E34" s="26">
        <f>D34</f>
        <v>50000000</v>
      </c>
      <c r="F34" s="26">
        <f>E34</f>
        <v>50000000</v>
      </c>
      <c r="G34" s="26">
        <f>F34</f>
        <v>50000000</v>
      </c>
    </row>
    <row r="35" spans="1:7">
      <c r="A35" s="14" t="s">
        <v>116</v>
      </c>
      <c r="B35" s="14">
        <v>0</v>
      </c>
      <c r="C35" s="63">
        <f>C17</f>
        <v>-15485318.5</v>
      </c>
      <c r="D35" s="63">
        <f>D17</f>
        <v>24512435.993420213</v>
      </c>
      <c r="E35" s="63">
        <f>E17</f>
        <v>67843393.813174173</v>
      </c>
      <c r="F35" s="63">
        <f>F17</f>
        <v>136407344.35456133</v>
      </c>
      <c r="G35" s="63">
        <f>G17</f>
        <v>271973008.99031007</v>
      </c>
    </row>
    <row r="36" spans="1:7" ht="15.75" thickBot="1">
      <c r="A36" s="60" t="s">
        <v>117</v>
      </c>
      <c r="B36" s="67">
        <f t="shared" ref="B36:G36" si="6">B34+B35</f>
        <v>50000000</v>
      </c>
      <c r="C36" s="67">
        <f t="shared" si="6"/>
        <v>34514681.5</v>
      </c>
      <c r="D36" s="67">
        <f t="shared" si="6"/>
        <v>74512435.993420213</v>
      </c>
      <c r="E36" s="67">
        <f t="shared" si="6"/>
        <v>117843393.81317417</v>
      </c>
      <c r="F36" s="67">
        <f t="shared" si="6"/>
        <v>186407344.35456133</v>
      </c>
      <c r="G36" s="67">
        <f t="shared" si="6"/>
        <v>321973008.99031007</v>
      </c>
    </row>
    <row r="37" spans="1:7" ht="15.75" thickTop="1"/>
    <row r="38" spans="1:7" ht="15.75" thickBot="1">
      <c r="A38" s="60" t="s">
        <v>118</v>
      </c>
      <c r="B38" s="67">
        <f t="shared" ref="B38:G38" si="7">B32+B36</f>
        <v>257840950</v>
      </c>
      <c r="C38" s="67">
        <f t="shared" si="7"/>
        <v>216022094.99789101</v>
      </c>
      <c r="D38" s="67">
        <f t="shared" si="7"/>
        <v>236257218.13578212</v>
      </c>
      <c r="E38" s="67">
        <f t="shared" si="7"/>
        <v>262070177.15530807</v>
      </c>
      <c r="F38" s="67">
        <f t="shared" si="7"/>
        <v>316951741.63279426</v>
      </c>
      <c r="G38" s="67">
        <f t="shared" si="7"/>
        <v>462080316.65198493</v>
      </c>
    </row>
    <row r="39" spans="1:7" ht="15.75" thickTop="1">
      <c r="A39" s="56" t="s">
        <v>119</v>
      </c>
      <c r="B39" s="68">
        <f t="shared" ref="B39:G39" si="8">B27-B38</f>
        <v>0</v>
      </c>
      <c r="C39" s="68">
        <f t="shared" si="8"/>
        <v>0</v>
      </c>
      <c r="D39" s="68">
        <f t="shared" si="8"/>
        <v>0</v>
      </c>
      <c r="E39" s="68">
        <f t="shared" si="8"/>
        <v>0</v>
      </c>
      <c r="F39" s="68">
        <f t="shared" si="8"/>
        <v>0</v>
      </c>
      <c r="G39" s="68">
        <f t="shared" si="8"/>
        <v>0</v>
      </c>
    </row>
    <row r="41" spans="1:7" ht="15.75">
      <c r="A41" s="164" t="s">
        <v>120</v>
      </c>
      <c r="B41" s="164"/>
      <c r="C41" s="164"/>
      <c r="D41" s="164"/>
      <c r="E41" s="164"/>
      <c r="F41" s="164"/>
      <c r="G41" s="164"/>
    </row>
    <row r="42" spans="1:7">
      <c r="A42" s="165" t="s">
        <v>121</v>
      </c>
      <c r="B42" s="165"/>
      <c r="C42" s="165"/>
      <c r="D42" s="165"/>
      <c r="E42" s="165"/>
      <c r="F42" s="165"/>
      <c r="G42" s="165"/>
    </row>
    <row r="43" spans="1:7" ht="23.25">
      <c r="A43" s="11"/>
      <c r="B43" s="66" t="s">
        <v>80</v>
      </c>
      <c r="C43" s="58">
        <f>C20</f>
        <v>2021</v>
      </c>
      <c r="D43" s="58">
        <f>D20</f>
        <v>2022</v>
      </c>
      <c r="E43" s="58">
        <f>E20</f>
        <v>2023</v>
      </c>
      <c r="F43" s="58">
        <f>F20</f>
        <v>2024</v>
      </c>
      <c r="G43" s="58">
        <f>G20</f>
        <v>2025</v>
      </c>
    </row>
    <row r="44" spans="1:7">
      <c r="A44" s="1" t="s">
        <v>122</v>
      </c>
      <c r="B44" s="2">
        <f t="shared" ref="B44:G44" si="9">B22</f>
        <v>217840950</v>
      </c>
      <c r="C44" s="2">
        <f t="shared" si="9"/>
        <v>184022094.99789101</v>
      </c>
      <c r="D44" s="2">
        <f t="shared" si="9"/>
        <v>212257218.13578212</v>
      </c>
      <c r="E44" s="2">
        <f t="shared" si="9"/>
        <v>246070177.15530807</v>
      </c>
      <c r="F44" s="2">
        <f t="shared" si="9"/>
        <v>308951741.63279426</v>
      </c>
      <c r="G44" s="2">
        <f t="shared" si="9"/>
        <v>462080316.65198493</v>
      </c>
    </row>
    <row r="45" spans="1:7" ht="15.75" thickBot="1">
      <c r="A45" s="1" t="s">
        <v>123</v>
      </c>
      <c r="B45" s="3">
        <f t="shared" ref="B45:G45" si="10">B29</f>
        <v>0</v>
      </c>
      <c r="C45" s="3">
        <f t="shared" si="10"/>
        <v>0</v>
      </c>
      <c r="D45" s="3">
        <f t="shared" si="10"/>
        <v>12627618.542064959</v>
      </c>
      <c r="E45" s="3">
        <f t="shared" si="10"/>
        <v>34949627.115877613</v>
      </c>
      <c r="F45" s="3">
        <f t="shared" si="10"/>
        <v>70270450.122046754</v>
      </c>
      <c r="G45" s="3">
        <f t="shared" si="10"/>
        <v>140107307.66167489</v>
      </c>
    </row>
    <row r="46" spans="1:7" ht="15.75" thickTop="1">
      <c r="A46" s="4" t="s">
        <v>124</v>
      </c>
      <c r="B46" s="5">
        <f t="shared" ref="B46:G46" si="11">B44-B45</f>
        <v>217840950</v>
      </c>
      <c r="C46" s="5">
        <f t="shared" si="11"/>
        <v>184022094.99789101</v>
      </c>
      <c r="D46" s="5">
        <f t="shared" si="11"/>
        <v>199629599.59371716</v>
      </c>
      <c r="E46" s="5">
        <f t="shared" si="11"/>
        <v>211120550.03943044</v>
      </c>
      <c r="F46" s="5">
        <f t="shared" si="11"/>
        <v>238681291.51074749</v>
      </c>
      <c r="G46" s="5">
        <f t="shared" si="11"/>
        <v>321973008.99031007</v>
      </c>
    </row>
    <row r="47" spans="1:7">
      <c r="A47" s="1"/>
      <c r="B47" s="2"/>
      <c r="C47" s="2"/>
      <c r="D47" s="2"/>
      <c r="E47" s="2"/>
      <c r="F47" s="2"/>
      <c r="G47" s="2"/>
    </row>
    <row r="48" spans="1:7">
      <c r="A48" s="4" t="s">
        <v>125</v>
      </c>
      <c r="B48" s="2">
        <f t="shared" ref="B48:G48" si="12">B26</f>
        <v>40000000</v>
      </c>
      <c r="C48" s="2">
        <f t="shared" si="12"/>
        <v>32000000</v>
      </c>
      <c r="D48" s="2">
        <f t="shared" si="12"/>
        <v>24000000</v>
      </c>
      <c r="E48" s="2">
        <f t="shared" si="12"/>
        <v>16000000</v>
      </c>
      <c r="F48" s="2">
        <f t="shared" si="12"/>
        <v>8000000</v>
      </c>
      <c r="G48" s="2">
        <f t="shared" si="12"/>
        <v>0</v>
      </c>
    </row>
    <row r="49" spans="1:7" ht="30" thickBot="1">
      <c r="A49" s="143" t="s">
        <v>126</v>
      </c>
      <c r="B49" s="3">
        <f t="shared" ref="B49:G49" si="13">B25</f>
        <v>0</v>
      </c>
      <c r="C49" s="3">
        <f t="shared" si="13"/>
        <v>8000000</v>
      </c>
      <c r="D49" s="3">
        <f t="shared" si="13"/>
        <v>16000000</v>
      </c>
      <c r="E49" s="3">
        <f t="shared" si="13"/>
        <v>24000000</v>
      </c>
      <c r="F49" s="3">
        <f t="shared" si="13"/>
        <v>32000000</v>
      </c>
      <c r="G49" s="3">
        <f t="shared" si="13"/>
        <v>40000000</v>
      </c>
    </row>
    <row r="50" spans="1:7" ht="15.75" thickTop="1">
      <c r="A50" s="4" t="s">
        <v>127</v>
      </c>
      <c r="B50" s="5">
        <f t="shared" ref="B50:G50" si="14">B48+B49</f>
        <v>40000000</v>
      </c>
      <c r="C50" s="5">
        <f t="shared" si="14"/>
        <v>40000000</v>
      </c>
      <c r="D50" s="5">
        <f t="shared" si="14"/>
        <v>40000000</v>
      </c>
      <c r="E50" s="5">
        <f t="shared" si="14"/>
        <v>40000000</v>
      </c>
      <c r="F50" s="5">
        <f t="shared" si="14"/>
        <v>40000000</v>
      </c>
      <c r="G50" s="5">
        <f t="shared" si="14"/>
        <v>40000000</v>
      </c>
    </row>
    <row r="51" spans="1:7">
      <c r="A51" s="1"/>
      <c r="B51" s="2"/>
      <c r="C51" s="2"/>
      <c r="D51" s="2"/>
      <c r="E51" s="2"/>
      <c r="F51" s="2"/>
      <c r="G51" s="2"/>
    </row>
    <row r="52" spans="1:7" ht="27.75" customHeight="1" thickBot="1">
      <c r="A52" s="142" t="s">
        <v>128</v>
      </c>
      <c r="B52" s="6">
        <f t="shared" ref="B52:G52" si="15">B46+B48</f>
        <v>257840950</v>
      </c>
      <c r="C52" s="6">
        <f t="shared" si="15"/>
        <v>216022094.99789101</v>
      </c>
      <c r="D52" s="6">
        <f t="shared" si="15"/>
        <v>223629599.59371716</v>
      </c>
      <c r="E52" s="6">
        <f t="shared" si="15"/>
        <v>227120550.03943044</v>
      </c>
      <c r="F52" s="6">
        <f t="shared" si="15"/>
        <v>246681291.51074749</v>
      </c>
      <c r="G52" s="6">
        <f t="shared" si="15"/>
        <v>321973008.99031007</v>
      </c>
    </row>
    <row r="53" spans="1:7" ht="15.75" thickTop="1">
      <c r="A53" s="7"/>
      <c r="B53" s="2"/>
      <c r="C53" s="2"/>
      <c r="D53" s="2"/>
      <c r="E53" s="2"/>
      <c r="F53" s="2"/>
      <c r="G53" s="2"/>
    </row>
    <row r="54" spans="1:7">
      <c r="A54" s="166" t="s">
        <v>129</v>
      </c>
      <c r="B54" s="166"/>
      <c r="C54" s="166"/>
      <c r="D54" s="166"/>
      <c r="E54" s="166"/>
      <c r="F54" s="166"/>
      <c r="G54" s="166"/>
    </row>
    <row r="55" spans="1:7">
      <c r="A55" s="1" t="s">
        <v>130</v>
      </c>
      <c r="B55" s="8"/>
      <c r="C55" s="9">
        <f>C13</f>
        <v>32318100</v>
      </c>
      <c r="D55" s="9">
        <f>D13</f>
        <v>78886759.640000105</v>
      </c>
      <c r="E55" s="9">
        <f>E13</f>
        <v>137089968.55712008</v>
      </c>
      <c r="F55" s="9">
        <f>F13</f>
        <v>231811540.408647</v>
      </c>
      <c r="G55" s="9">
        <f>G13</f>
        <v>425943324.49790776</v>
      </c>
    </row>
    <row r="56" spans="1:7" ht="15.75" thickBot="1">
      <c r="A56" s="1" t="s">
        <v>131</v>
      </c>
      <c r="B56" s="8"/>
      <c r="C56" s="10">
        <f>C55*'1'!$AB$7</f>
        <v>10988154</v>
      </c>
      <c r="D56" s="10">
        <f>D55*'1'!$AB$7</f>
        <v>26821498.277600039</v>
      </c>
      <c r="E56" s="10">
        <f>E55*'1'!$AB$7</f>
        <v>46610589.309420832</v>
      </c>
      <c r="F56" s="10">
        <f>F55*'1'!$AB$7</f>
        <v>78815923.738939986</v>
      </c>
      <c r="G56" s="10">
        <f>G55*'1'!$AB$7</f>
        <v>144820730.32928866</v>
      </c>
    </row>
    <row r="57" spans="1:7" ht="15.75" thickTop="1">
      <c r="A57" s="4" t="s">
        <v>132</v>
      </c>
      <c r="B57" s="8"/>
      <c r="C57" s="9">
        <f>C55-C56</f>
        <v>21329946</v>
      </c>
      <c r="D57" s="9">
        <f>D55-D56</f>
        <v>52065261.36240007</v>
      </c>
      <c r="E57" s="9">
        <f>E55-E56</f>
        <v>90479379.247699261</v>
      </c>
      <c r="F57" s="9">
        <f>F55-F56</f>
        <v>152995616.669707</v>
      </c>
      <c r="G57" s="9">
        <f>G55-G56</f>
        <v>281122594.1686191</v>
      </c>
    </row>
    <row r="58" spans="1:7" ht="15.75" thickBot="1">
      <c r="A58" s="1" t="s">
        <v>133</v>
      </c>
      <c r="B58" s="8"/>
      <c r="C58" s="10">
        <f>-(C52-B52)</f>
        <v>41818855.002108991</v>
      </c>
      <c r="D58" s="10">
        <f>-(D52-C52)</f>
        <v>-7607504.595826149</v>
      </c>
      <c r="E58" s="10">
        <f>-(E52-D52)</f>
        <v>-3490950.4457132816</v>
      </c>
      <c r="F58" s="10">
        <f>-(F52-E52)</f>
        <v>-19560741.471317053</v>
      </c>
      <c r="G58" s="10">
        <f>-(G52-F52)</f>
        <v>-75291717.479562581</v>
      </c>
    </row>
    <row r="59" spans="1:7" ht="31.5" thickTop="1" thickBot="1">
      <c r="A59" s="144" t="s">
        <v>134</v>
      </c>
      <c r="B59" s="56"/>
      <c r="C59" s="57">
        <f>SUM(C57:C58)</f>
        <v>63148801.002108991</v>
      </c>
      <c r="D59" s="57">
        <f>SUM(D57:D58)</f>
        <v>44457756.766573921</v>
      </c>
      <c r="E59" s="57">
        <f>SUM(E57:E58)</f>
        <v>86988428.801985979</v>
      </c>
      <c r="F59" s="57">
        <f>SUM(F57:F58)</f>
        <v>133434875.19838995</v>
      </c>
      <c r="G59" s="57">
        <f>SUM(G57:G58)</f>
        <v>205830876.68905652</v>
      </c>
    </row>
    <row r="60" spans="1:7" ht="15.7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pageSetup scale="55" orientation="portrait" r:id="rId1"/>
  <colBreaks count="1" manualBreakCount="1">
    <brk id="10" max="58"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66"/>
  <sheetViews>
    <sheetView showGridLines="0" view="pageBreakPreview" topLeftCell="A2" zoomScale="60" zoomScaleNormal="80" workbookViewId="0">
      <selection activeCell="E35" sqref="E35"/>
    </sheetView>
  </sheetViews>
  <sheetFormatPr baseColWidth="10" defaultColWidth="11.42578125" defaultRowHeight="15"/>
  <cols>
    <col min="1" max="1" width="11.42578125" style="14"/>
    <col min="2" max="2" width="32.5703125" style="14" customWidth="1"/>
    <col min="3" max="3" width="24.28515625" style="14" bestFit="1" customWidth="1"/>
    <col min="4" max="4" width="36.28515625" style="14" bestFit="1" customWidth="1"/>
    <col min="5" max="5" width="41" style="14" customWidth="1"/>
    <col min="6" max="6" width="26" style="14" customWidth="1"/>
    <col min="7" max="8" width="20.7109375" style="14" bestFit="1" customWidth="1"/>
    <col min="9" max="9" width="11.42578125" style="14"/>
    <col min="10" max="10" width="12" style="14" bestFit="1" customWidth="1"/>
    <col min="11" max="14" width="11.42578125" style="14"/>
    <col min="15" max="15" width="15.28515625" style="14" bestFit="1" customWidth="1"/>
    <col min="16" max="16" width="21.5703125" style="14" bestFit="1" customWidth="1"/>
    <col min="17" max="16384" width="11.42578125" style="14"/>
  </cols>
  <sheetData>
    <row r="2" spans="2:16" ht="38.25" customHeight="1">
      <c r="B2" s="150" t="s">
        <v>135</v>
      </c>
      <c r="C2" s="150"/>
      <c r="D2" s="150"/>
      <c r="E2" s="150"/>
      <c r="F2" s="150"/>
      <c r="G2" s="150"/>
      <c r="H2" s="150"/>
    </row>
    <row r="3" spans="2:16" ht="15.75" customHeight="1">
      <c r="B3" s="167" t="s">
        <v>136</v>
      </c>
      <c r="C3" s="167"/>
      <c r="D3" s="167"/>
      <c r="E3" s="168">
        <v>0.18</v>
      </c>
      <c r="F3" s="168"/>
    </row>
    <row r="4" spans="2:16" ht="16.5" customHeight="1">
      <c r="B4" s="167"/>
      <c r="C4" s="167"/>
      <c r="D4" s="167"/>
      <c r="E4" s="168"/>
      <c r="F4" s="168"/>
      <c r="O4" s="101"/>
    </row>
    <row r="5" spans="2:16" ht="16.5" customHeight="1">
      <c r="B5" s="171"/>
      <c r="C5" s="171"/>
      <c r="D5" s="171"/>
      <c r="E5" s="136"/>
      <c r="F5" s="136"/>
      <c r="O5" s="101"/>
    </row>
    <row r="6" spans="2:16" ht="15.75" thickBot="1">
      <c r="O6" s="101"/>
      <c r="P6" s="104"/>
    </row>
    <row r="7" spans="2:16" ht="23.25">
      <c r="B7" s="100" t="s">
        <v>137</v>
      </c>
      <c r="C7" s="81" t="s">
        <v>138</v>
      </c>
      <c r="D7" s="82">
        <f>'4'!C20</f>
        <v>2021</v>
      </c>
      <c r="E7" s="82">
        <f>'4'!D20</f>
        <v>2022</v>
      </c>
      <c r="F7" s="82">
        <f>'4'!E20</f>
        <v>2023</v>
      </c>
      <c r="G7" s="82">
        <f>'4'!F20</f>
        <v>2024</v>
      </c>
      <c r="H7" s="83">
        <f>'4'!G20</f>
        <v>2025</v>
      </c>
      <c r="O7" s="101"/>
      <c r="P7" s="103"/>
    </row>
    <row r="8" spans="2:16" ht="19.5" thickBot="1">
      <c r="B8" s="84"/>
      <c r="C8" s="109">
        <f>-'3'!D14</f>
        <v>-257840950</v>
      </c>
      <c r="D8" s="109">
        <f>'4'!C59</f>
        <v>63148801.002108991</v>
      </c>
      <c r="E8" s="109">
        <f>'4'!D59</f>
        <v>44457756.766573921</v>
      </c>
      <c r="F8" s="109">
        <f>'4'!E59</f>
        <v>86988428.801985979</v>
      </c>
      <c r="G8" s="109">
        <f>'4'!F59</f>
        <v>133434875.19838995</v>
      </c>
      <c r="H8" s="110">
        <f>'4'!G59</f>
        <v>205830876.68905652</v>
      </c>
      <c r="O8" s="101"/>
      <c r="P8" s="103"/>
    </row>
    <row r="9" spans="2:16" ht="15.75" thickBot="1">
      <c r="C9" s="105">
        <f>C8/(1+$E$3)^0</f>
        <v>-257840950</v>
      </c>
      <c r="D9" s="105">
        <f>D8/(1+$E$3)^1</f>
        <v>53515933.052634738</v>
      </c>
      <c r="E9" s="105">
        <f>E8/(1+$E$3)^2</f>
        <v>31928868.691880152</v>
      </c>
      <c r="F9" s="105">
        <f>F8/(1+$E$3)^3</f>
        <v>52943843.334753059</v>
      </c>
      <c r="G9" s="105">
        <f>G8/(1+$E$3)^4</f>
        <v>68824224.184617206</v>
      </c>
      <c r="H9" s="105">
        <f>H8/(1+$E$3)^5</f>
        <v>89970573.185581684</v>
      </c>
      <c r="I9" s="111"/>
      <c r="O9" s="101"/>
      <c r="P9" s="103"/>
    </row>
    <row r="10" spans="2:16" ht="24" thickBot="1">
      <c r="B10" s="30" t="s">
        <v>139</v>
      </c>
      <c r="C10" s="31"/>
      <c r="D10" s="112">
        <f>NPV(E3,D8:H8)+$C$8</f>
        <v>39342492.449466825</v>
      </c>
      <c r="O10" s="101"/>
      <c r="P10" s="103"/>
    </row>
    <row r="11" spans="2:16" ht="27.75" thickBot="1">
      <c r="B11" s="147" t="s">
        <v>140</v>
      </c>
      <c r="C11" s="31"/>
      <c r="D11" s="113">
        <f>IF(ISERROR(IRR(C8:H8)),"NO_APLICA",(IRR(C8:H8)))</f>
        <v>0.23151148255418286</v>
      </c>
      <c r="F11" s="106" t="s">
        <v>141</v>
      </c>
      <c r="G11" s="31"/>
      <c r="H11" s="107">
        <f>IF(ISERROR(-C9/AVERAGE(D9:H9)),"NO_APLICA",(-C9/AVERAGE(D9:H9)))</f>
        <v>4.3380773147185581</v>
      </c>
      <c r="I11" s="108" t="s">
        <v>142</v>
      </c>
      <c r="P11" s="102"/>
    </row>
    <row r="13" spans="2:16" ht="18">
      <c r="B13" s="169" t="s">
        <v>143</v>
      </c>
      <c r="C13" s="169"/>
      <c r="D13" s="169"/>
      <c r="E13" s="169"/>
      <c r="F13" s="169"/>
      <c r="G13" s="169"/>
      <c r="H13" s="169"/>
    </row>
    <row r="14" spans="2:16" ht="36.75">
      <c r="B14" s="85" t="str">
        <f>'1'!B2</f>
        <v>NOMBRE DEL PRODUCTO O SERVICIO</v>
      </c>
      <c r="C14" s="85" t="s">
        <v>144</v>
      </c>
      <c r="D14" s="85" t="s">
        <v>145</v>
      </c>
      <c r="E14" s="85" t="s">
        <v>146</v>
      </c>
      <c r="F14" s="85" t="s">
        <v>147</v>
      </c>
      <c r="H14" s="69"/>
      <c r="I14" s="69"/>
      <c r="J14" s="69" t="s">
        <v>148</v>
      </c>
    </row>
    <row r="15" spans="2:16">
      <c r="B15" s="91" t="str">
        <f>'1'!B3</f>
        <v>Tutoría por hora</v>
      </c>
      <c r="C15" s="86">
        <f>'1'!D3-'1'!D17</f>
        <v>3377.5</v>
      </c>
      <c r="D15" s="87">
        <f>'1'!F3</f>
        <v>1</v>
      </c>
      <c r="E15" s="88">
        <f>C15*D15</f>
        <v>3377.5</v>
      </c>
      <c r="F15" s="89">
        <f t="shared" ref="F15:F24" si="0">$E$28*D15</f>
        <v>83262.73871206514</v>
      </c>
      <c r="G15" s="38" t="s">
        <v>149</v>
      </c>
      <c r="H15" s="70">
        <f>'1'!D3</f>
        <v>5000</v>
      </c>
      <c r="I15" s="90">
        <f t="shared" ref="I15:I24" si="1">$B$35*D15</f>
        <v>166525.47742413028</v>
      </c>
      <c r="J15" s="70">
        <f>'1'!D17</f>
        <v>1622.5</v>
      </c>
    </row>
    <row r="16" spans="2:16">
      <c r="B16" s="91">
        <f>'1'!B4</f>
        <v>0</v>
      </c>
      <c r="C16" s="86">
        <f>'1'!D4-'1'!D18</f>
        <v>0</v>
      </c>
      <c r="D16" s="87">
        <f>'1'!F4</f>
        <v>0</v>
      </c>
      <c r="E16" s="88">
        <f t="shared" ref="E16:E24" si="2">C16*D16</f>
        <v>0</v>
      </c>
      <c r="F16" s="89">
        <f t="shared" si="0"/>
        <v>0</v>
      </c>
      <c r="G16" s="38" t="str">
        <f>G15</f>
        <v>UNIDADES</v>
      </c>
      <c r="H16" s="70">
        <f>'1'!D4</f>
        <v>0</v>
      </c>
      <c r="I16" s="90">
        <f t="shared" si="1"/>
        <v>0</v>
      </c>
      <c r="J16" s="70">
        <f>'1'!D18</f>
        <v>0</v>
      </c>
    </row>
    <row r="17" spans="2:10">
      <c r="B17" s="91">
        <f>'1'!B5</f>
        <v>0</v>
      </c>
      <c r="C17" s="86">
        <f>'1'!D5-'1'!D19</f>
        <v>0</v>
      </c>
      <c r="D17" s="87">
        <f>'1'!F5</f>
        <v>0</v>
      </c>
      <c r="E17" s="88">
        <f t="shared" si="2"/>
        <v>0</v>
      </c>
      <c r="F17" s="89">
        <f t="shared" si="0"/>
        <v>0</v>
      </c>
      <c r="G17" s="38" t="str">
        <f t="shared" ref="G17:G24" si="3">G16</f>
        <v>UNIDADES</v>
      </c>
      <c r="H17" s="70">
        <f>'1'!D5</f>
        <v>0</v>
      </c>
      <c r="I17" s="90">
        <f t="shared" si="1"/>
        <v>0</v>
      </c>
      <c r="J17" s="70">
        <f>'1'!D19</f>
        <v>0</v>
      </c>
    </row>
    <row r="18" spans="2:10">
      <c r="B18" s="91">
        <f>'1'!B6</f>
        <v>0</v>
      </c>
      <c r="C18" s="86">
        <f>'1'!D6-'1'!D20</f>
        <v>0</v>
      </c>
      <c r="D18" s="87">
        <f>'1'!F6</f>
        <v>0</v>
      </c>
      <c r="E18" s="88">
        <f t="shared" si="2"/>
        <v>0</v>
      </c>
      <c r="F18" s="89">
        <f t="shared" si="0"/>
        <v>0</v>
      </c>
      <c r="G18" s="38" t="str">
        <f t="shared" si="3"/>
        <v>UNIDADES</v>
      </c>
      <c r="H18" s="70">
        <f>'1'!D6</f>
        <v>0</v>
      </c>
      <c r="I18" s="90">
        <f t="shared" si="1"/>
        <v>0</v>
      </c>
      <c r="J18" s="70">
        <f>'1'!D20</f>
        <v>0</v>
      </c>
    </row>
    <row r="19" spans="2:10">
      <c r="B19" s="91">
        <f>'1'!B7</f>
        <v>0</v>
      </c>
      <c r="C19" s="86">
        <f>'1'!D7-'1'!D21</f>
        <v>0</v>
      </c>
      <c r="D19" s="87">
        <f>'1'!F7</f>
        <v>0</v>
      </c>
      <c r="E19" s="88">
        <f t="shared" si="2"/>
        <v>0</v>
      </c>
      <c r="F19" s="89">
        <f t="shared" si="0"/>
        <v>0</v>
      </c>
      <c r="G19" s="38" t="str">
        <f t="shared" si="3"/>
        <v>UNIDADES</v>
      </c>
      <c r="H19" s="70">
        <f>'1'!D7</f>
        <v>0</v>
      </c>
      <c r="I19" s="90">
        <f t="shared" si="1"/>
        <v>0</v>
      </c>
      <c r="J19" s="70">
        <f>'1'!D21</f>
        <v>0</v>
      </c>
    </row>
    <row r="20" spans="2:10">
      <c r="B20" s="91">
        <f>'1'!B8</f>
        <v>0</v>
      </c>
      <c r="C20" s="86">
        <f>'1'!D8-'1'!D22</f>
        <v>0</v>
      </c>
      <c r="D20" s="87">
        <f>'1'!F8</f>
        <v>0</v>
      </c>
      <c r="E20" s="88">
        <f t="shared" si="2"/>
        <v>0</v>
      </c>
      <c r="F20" s="89">
        <f t="shared" si="0"/>
        <v>0</v>
      </c>
      <c r="G20" s="38" t="str">
        <f t="shared" si="3"/>
        <v>UNIDADES</v>
      </c>
      <c r="H20" s="70">
        <f>'1'!D8</f>
        <v>0</v>
      </c>
      <c r="I20" s="90">
        <f t="shared" si="1"/>
        <v>0</v>
      </c>
      <c r="J20" s="70">
        <f>'1'!D22</f>
        <v>0</v>
      </c>
    </row>
    <row r="21" spans="2:10">
      <c r="B21" s="91">
        <f>'1'!B9</f>
        <v>0</v>
      </c>
      <c r="C21" s="86">
        <f>'1'!D9-'1'!D23</f>
        <v>0</v>
      </c>
      <c r="D21" s="87">
        <f>'1'!F9</f>
        <v>0</v>
      </c>
      <c r="E21" s="88">
        <f t="shared" si="2"/>
        <v>0</v>
      </c>
      <c r="F21" s="89">
        <f t="shared" si="0"/>
        <v>0</v>
      </c>
      <c r="G21" s="38" t="str">
        <f t="shared" si="3"/>
        <v>UNIDADES</v>
      </c>
      <c r="H21" s="70">
        <f>'1'!D9</f>
        <v>0</v>
      </c>
      <c r="I21" s="90">
        <f t="shared" si="1"/>
        <v>0</v>
      </c>
      <c r="J21" s="70">
        <f>'1'!D23</f>
        <v>0</v>
      </c>
    </row>
    <row r="22" spans="2:10">
      <c r="B22" s="91">
        <f>'1'!B10</f>
        <v>0</v>
      </c>
      <c r="C22" s="86">
        <f>'1'!D10-'1'!D24</f>
        <v>0</v>
      </c>
      <c r="D22" s="87">
        <f>'1'!F10</f>
        <v>0</v>
      </c>
      <c r="E22" s="88">
        <f t="shared" si="2"/>
        <v>0</v>
      </c>
      <c r="F22" s="89">
        <f t="shared" si="0"/>
        <v>0</v>
      </c>
      <c r="G22" s="38" t="str">
        <f t="shared" si="3"/>
        <v>UNIDADES</v>
      </c>
      <c r="H22" s="70">
        <f>'1'!D10</f>
        <v>0</v>
      </c>
      <c r="I22" s="90">
        <f t="shared" si="1"/>
        <v>0</v>
      </c>
      <c r="J22" s="70">
        <f>'1'!D24</f>
        <v>0</v>
      </c>
    </row>
    <row r="23" spans="2:10">
      <c r="B23" s="91">
        <f>'1'!B11</f>
        <v>0</v>
      </c>
      <c r="C23" s="86">
        <f>'1'!D11-'1'!D25</f>
        <v>0</v>
      </c>
      <c r="D23" s="87">
        <f>'1'!F11</f>
        <v>0</v>
      </c>
      <c r="E23" s="88">
        <f t="shared" si="2"/>
        <v>0</v>
      </c>
      <c r="F23" s="89">
        <f t="shared" si="0"/>
        <v>0</v>
      </c>
      <c r="G23" s="38" t="str">
        <f t="shared" si="3"/>
        <v>UNIDADES</v>
      </c>
      <c r="H23" s="70">
        <f>'1'!D11</f>
        <v>0</v>
      </c>
      <c r="I23" s="90">
        <f t="shared" si="1"/>
        <v>0</v>
      </c>
      <c r="J23" s="70">
        <f>'1'!D25</f>
        <v>0</v>
      </c>
    </row>
    <row r="24" spans="2:10">
      <c r="B24" s="91">
        <f>'1'!B12</f>
        <v>0</v>
      </c>
      <c r="C24" s="86">
        <f>'1'!D12-'1'!D26</f>
        <v>0</v>
      </c>
      <c r="D24" s="87">
        <f>'1'!F12</f>
        <v>0</v>
      </c>
      <c r="E24" s="88">
        <f t="shared" si="2"/>
        <v>0</v>
      </c>
      <c r="F24" s="89">
        <f t="shared" si="0"/>
        <v>0</v>
      </c>
      <c r="G24" s="38" t="str">
        <f t="shared" si="3"/>
        <v>UNIDADES</v>
      </c>
      <c r="H24" s="70">
        <f>'1'!D12</f>
        <v>0</v>
      </c>
      <c r="I24" s="90">
        <f t="shared" si="1"/>
        <v>0</v>
      </c>
      <c r="J24" s="70">
        <f>'1'!D26</f>
        <v>0</v>
      </c>
    </row>
    <row r="25" spans="2:10" ht="26.25">
      <c r="B25" s="92"/>
      <c r="C25" s="93"/>
      <c r="D25" s="94"/>
      <c r="E25" s="26"/>
      <c r="F25" s="95">
        <f>SUM(F15:F24)</f>
        <v>83262.73871206514</v>
      </c>
      <c r="G25" s="14" t="str">
        <f>G24</f>
        <v>UNIDADES</v>
      </c>
      <c r="H25" s="70"/>
      <c r="I25" s="90"/>
      <c r="J25" s="70"/>
    </row>
    <row r="26" spans="2:10" ht="12.75" customHeight="1">
      <c r="B26" s="92"/>
      <c r="C26" s="93"/>
      <c r="D26" s="94"/>
      <c r="E26" s="26"/>
      <c r="F26" s="95"/>
      <c r="H26" s="70"/>
      <c r="I26" s="90"/>
      <c r="J26" s="70"/>
    </row>
    <row r="27" spans="2:10" ht="21" customHeight="1">
      <c r="B27" s="172" t="s">
        <v>150</v>
      </c>
      <c r="C27" s="172"/>
      <c r="D27" s="172"/>
      <c r="E27" s="96">
        <f>SUM(E15:E24)</f>
        <v>3377.5</v>
      </c>
      <c r="H27" s="69"/>
      <c r="I27" s="69"/>
      <c r="J27" s="69"/>
    </row>
    <row r="28" spans="2:10" ht="19.5" customHeight="1">
      <c r="B28" s="172" t="s">
        <v>151</v>
      </c>
      <c r="C28" s="172"/>
      <c r="D28" s="172"/>
      <c r="E28" s="95">
        <f>IF(E27=0,0,('2'!C23+'2'!F31+'2'!C25)/'5'!E27)</f>
        <v>83262.73871206514</v>
      </c>
      <c r="F28" s="97" t="s">
        <v>149</v>
      </c>
      <c r="H28" s="98"/>
    </row>
    <row r="29" spans="2:10" ht="26.25">
      <c r="B29" s="172" t="s">
        <v>152</v>
      </c>
      <c r="C29" s="172"/>
      <c r="D29" s="172"/>
      <c r="E29" s="96">
        <f>E49</f>
        <v>416313693.56032568</v>
      </c>
    </row>
    <row r="30" spans="2:10">
      <c r="B30" s="131"/>
      <c r="C30" s="131"/>
      <c r="D30" s="131"/>
      <c r="E30" s="131"/>
      <c r="F30" s="131"/>
      <c r="G30" s="131"/>
    </row>
    <row r="31" spans="2:10" s="69" customFormat="1"/>
    <row r="32" spans="2:10" s="69" customFormat="1">
      <c r="C32" s="69" t="s">
        <v>153</v>
      </c>
      <c r="D32" s="69" t="s">
        <v>154</v>
      </c>
      <c r="E32" s="69" t="s">
        <v>155</v>
      </c>
      <c r="F32" s="69" t="s">
        <v>156</v>
      </c>
    </row>
    <row r="33" spans="2:6" s="69" customFormat="1">
      <c r="B33" s="69">
        <v>0</v>
      </c>
      <c r="C33" s="70">
        <f>'2'!C25+'2'!F31+'2'!C23</f>
        <v>281219900</v>
      </c>
      <c r="D33" s="69">
        <f>0</f>
        <v>0</v>
      </c>
      <c r="E33" s="69">
        <v>0</v>
      </c>
      <c r="F33" s="70">
        <f>C33+E33</f>
        <v>281219900</v>
      </c>
    </row>
    <row r="34" spans="2:6" s="69" customFormat="1">
      <c r="B34" s="90">
        <f>F25</f>
        <v>83262.73871206514</v>
      </c>
      <c r="C34" s="70">
        <f>C33</f>
        <v>281219900</v>
      </c>
      <c r="D34" s="132">
        <f>SUMPRODUCT(F15:F24,H15:H24)</f>
        <v>416313693.56032568</v>
      </c>
      <c r="E34" s="132">
        <f>SUMPRODUCT(F15:F24,J15:J24)</f>
        <v>135093793.56032568</v>
      </c>
      <c r="F34" s="70">
        <f>C34+E34</f>
        <v>416313693.56032568</v>
      </c>
    </row>
    <row r="35" spans="2:6" s="69" customFormat="1">
      <c r="B35" s="90">
        <f>B34*2</f>
        <v>166525.47742413028</v>
      </c>
      <c r="C35" s="70">
        <f>C34</f>
        <v>281219900</v>
      </c>
      <c r="D35" s="132">
        <f>SUMPRODUCT(H15:H24,I15:I24)</f>
        <v>832627387.12065136</v>
      </c>
      <c r="E35" s="132">
        <f>SUMPRODUCT(I15:I24,J15:J24)</f>
        <v>270187587.12065136</v>
      </c>
      <c r="F35" s="70">
        <f>C35+E35</f>
        <v>551407487.12065136</v>
      </c>
    </row>
    <row r="36" spans="2:6" s="69" customFormat="1">
      <c r="C36" s="70"/>
    </row>
    <row r="37" spans="2:6" s="69" customFormat="1">
      <c r="C37" s="70"/>
    </row>
    <row r="38" spans="2:6" s="69" customFormat="1">
      <c r="C38" s="133" t="s">
        <v>157</v>
      </c>
      <c r="D38" s="69" t="s">
        <v>149</v>
      </c>
      <c r="E38" s="69" t="s">
        <v>158</v>
      </c>
    </row>
    <row r="39" spans="2:6" s="69" customFormat="1">
      <c r="B39" s="69">
        <v>1</v>
      </c>
      <c r="C39" s="70">
        <f>'1'!D3</f>
        <v>5000</v>
      </c>
      <c r="D39" s="90">
        <f>F15</f>
        <v>83262.73871206514</v>
      </c>
      <c r="E39" s="69">
        <f>C39*D39</f>
        <v>416313693.56032568</v>
      </c>
    </row>
    <row r="40" spans="2:6" s="69" customFormat="1">
      <c r="B40" s="69">
        <f>B39+1</f>
        <v>2</v>
      </c>
      <c r="C40" s="70">
        <f>'1'!D4</f>
        <v>0</v>
      </c>
      <c r="D40" s="90">
        <f t="shared" ref="D40:D48" si="4">F16</f>
        <v>0</v>
      </c>
      <c r="E40" s="69">
        <f t="shared" ref="E40:E48" si="5">C40*D40</f>
        <v>0</v>
      </c>
    </row>
    <row r="41" spans="2:6" s="69" customFormat="1">
      <c r="B41" s="69">
        <f t="shared" ref="B41:B48" si="6">B40+1</f>
        <v>3</v>
      </c>
      <c r="C41" s="70">
        <f>'1'!D5</f>
        <v>0</v>
      </c>
      <c r="D41" s="90">
        <f t="shared" si="4"/>
        <v>0</v>
      </c>
      <c r="E41" s="69">
        <f t="shared" si="5"/>
        <v>0</v>
      </c>
    </row>
    <row r="42" spans="2:6" s="69" customFormat="1">
      <c r="B42" s="69">
        <f t="shared" si="6"/>
        <v>4</v>
      </c>
      <c r="C42" s="70">
        <f>'1'!D6</f>
        <v>0</v>
      </c>
      <c r="D42" s="90">
        <f t="shared" si="4"/>
        <v>0</v>
      </c>
      <c r="E42" s="69">
        <f t="shared" si="5"/>
        <v>0</v>
      </c>
    </row>
    <row r="43" spans="2:6" s="69" customFormat="1">
      <c r="B43" s="69">
        <f t="shared" si="6"/>
        <v>5</v>
      </c>
      <c r="C43" s="70">
        <f>'1'!D7</f>
        <v>0</v>
      </c>
      <c r="D43" s="90">
        <f t="shared" si="4"/>
        <v>0</v>
      </c>
      <c r="E43" s="69">
        <f t="shared" si="5"/>
        <v>0</v>
      </c>
    </row>
    <row r="44" spans="2:6" s="69" customFormat="1">
      <c r="B44" s="69">
        <f t="shared" si="6"/>
        <v>6</v>
      </c>
      <c r="C44" s="70">
        <f>'1'!D8</f>
        <v>0</v>
      </c>
      <c r="D44" s="90">
        <f t="shared" si="4"/>
        <v>0</v>
      </c>
      <c r="E44" s="69">
        <f t="shared" si="5"/>
        <v>0</v>
      </c>
    </row>
    <row r="45" spans="2:6" s="69" customFormat="1">
      <c r="B45" s="69">
        <f t="shared" si="6"/>
        <v>7</v>
      </c>
      <c r="C45" s="70">
        <f>'1'!D9</f>
        <v>0</v>
      </c>
      <c r="D45" s="90">
        <f t="shared" si="4"/>
        <v>0</v>
      </c>
      <c r="E45" s="69">
        <f t="shared" si="5"/>
        <v>0</v>
      </c>
    </row>
    <row r="46" spans="2:6" s="69" customFormat="1">
      <c r="B46" s="69">
        <f t="shared" si="6"/>
        <v>8</v>
      </c>
      <c r="C46" s="70">
        <f>'1'!D10</f>
        <v>0</v>
      </c>
      <c r="D46" s="90">
        <f t="shared" si="4"/>
        <v>0</v>
      </c>
      <c r="E46" s="69">
        <f t="shared" si="5"/>
        <v>0</v>
      </c>
    </row>
    <row r="47" spans="2:6" s="69" customFormat="1">
      <c r="B47" s="69">
        <f t="shared" si="6"/>
        <v>9</v>
      </c>
      <c r="C47" s="70">
        <f>'1'!D11</f>
        <v>0</v>
      </c>
      <c r="D47" s="90">
        <f t="shared" si="4"/>
        <v>0</v>
      </c>
      <c r="E47" s="69">
        <f t="shared" si="5"/>
        <v>0</v>
      </c>
    </row>
    <row r="48" spans="2:6" s="69" customFormat="1">
      <c r="B48" s="69">
        <f t="shared" si="6"/>
        <v>10</v>
      </c>
      <c r="C48" s="70">
        <f>'1'!D12</f>
        <v>0</v>
      </c>
      <c r="D48" s="90">
        <f t="shared" si="4"/>
        <v>0</v>
      </c>
      <c r="E48" s="69">
        <f t="shared" si="5"/>
        <v>0</v>
      </c>
    </row>
    <row r="49" spans="2:8" s="69" customFormat="1">
      <c r="C49" s="70"/>
      <c r="E49" s="134">
        <f>SUM(E39:E48)</f>
        <v>416313693.56032568</v>
      </c>
    </row>
    <row r="50" spans="2:8" s="69" customFormat="1"/>
    <row r="51" spans="2:8" s="69" customFormat="1">
      <c r="C51" s="70"/>
    </row>
    <row r="52" spans="2:8" s="69" customFormat="1">
      <c r="B52" s="170"/>
      <c r="C52" s="170"/>
      <c r="D52" s="170"/>
      <c r="G52" s="69" t="s">
        <v>159</v>
      </c>
      <c r="H52" s="135">
        <f>'4'!B32/'4'!B27</f>
        <v>0.80608200520514683</v>
      </c>
    </row>
    <row r="53" spans="2:8" s="69" customFormat="1">
      <c r="C53" s="70"/>
      <c r="G53" s="69" t="s">
        <v>160</v>
      </c>
      <c r="H53" s="135">
        <f>'4'!B36/'4'!B27</f>
        <v>0.19391799479485319</v>
      </c>
    </row>
    <row r="54" spans="2:8" s="69" customFormat="1">
      <c r="G54" s="69" t="s">
        <v>161</v>
      </c>
      <c r="H54" s="69">
        <f>'1'!AB7</f>
        <v>0.34</v>
      </c>
    </row>
    <row r="55" spans="2:8" s="69" customFormat="1">
      <c r="G55" s="69" t="s">
        <v>162</v>
      </c>
      <c r="H55" s="135">
        <f>'3'!F4</f>
        <v>0.23</v>
      </c>
    </row>
    <row r="56" spans="2:8" s="69" customFormat="1">
      <c r="G56" s="69" t="s">
        <v>163</v>
      </c>
    </row>
    <row r="57" spans="2:8" s="69" customFormat="1"/>
    <row r="58" spans="2:8" s="69" customFormat="1"/>
    <row r="59" spans="2:8" s="69" customFormat="1"/>
    <row r="60" spans="2:8" s="69" customFormat="1"/>
    <row r="61" spans="2:8" s="69" customFormat="1"/>
    <row r="62" spans="2:8">
      <c r="B62" s="131"/>
      <c r="C62" s="131"/>
      <c r="D62" s="131"/>
      <c r="E62" s="131"/>
      <c r="F62" s="131"/>
      <c r="G62" s="131"/>
    </row>
    <row r="63" spans="2:8">
      <c r="B63" s="131"/>
      <c r="C63" s="131"/>
      <c r="D63" s="131"/>
      <c r="E63" s="131"/>
      <c r="F63" s="131"/>
      <c r="G63" s="131"/>
    </row>
    <row r="64" spans="2:8">
      <c r="B64" s="131"/>
      <c r="C64" s="131"/>
      <c r="D64" s="131"/>
      <c r="E64" s="131"/>
      <c r="F64" s="131"/>
      <c r="G64" s="131"/>
    </row>
    <row r="65" spans="2:7">
      <c r="B65" s="131"/>
      <c r="C65" s="131"/>
      <c r="D65" s="131"/>
      <c r="E65" s="131"/>
      <c r="F65" s="131"/>
      <c r="G65" s="131"/>
    </row>
    <row r="66" spans="2:7">
      <c r="B66" s="131"/>
      <c r="C66" s="131"/>
      <c r="D66" s="131"/>
      <c r="E66" s="131"/>
      <c r="F66" s="131"/>
      <c r="G66" s="131"/>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scale="3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39C0BDB7DEF9C4AAFEE7FF140BD774A" ma:contentTypeVersion="9" ma:contentTypeDescription="Crear nuevo documento." ma:contentTypeScope="" ma:versionID="c396d49c8095971bc43857a5f343a725">
  <xsd:schema xmlns:xsd="http://www.w3.org/2001/XMLSchema" xmlns:xs="http://www.w3.org/2001/XMLSchema" xmlns:p="http://schemas.microsoft.com/office/2006/metadata/properties" xmlns:ns2="8c06f164-bb4e-4b3c-8897-dd3ec79f2279" targetNamespace="http://schemas.microsoft.com/office/2006/metadata/properties" ma:root="true" ma:fieldsID="68ccb23788ecf3c05709eb2b17526546" ns2:_="">
    <xsd:import namespace="8c06f164-bb4e-4b3c-8897-dd3ec79f22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6f164-bb4e-4b3c-8897-dd3ec79f2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681667-CF6A-4DE5-A4C3-C5667B91B50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BE6AF1-392F-4731-BCA0-D174635B8C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6f164-bb4e-4b3c-8897-dd3ec79f2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5550C0-5492-438B-9D31-7C8D75EA81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Menú</vt:lpstr>
      <vt:lpstr>1</vt:lpstr>
      <vt:lpstr>2</vt:lpstr>
      <vt:lpstr>3</vt:lpstr>
      <vt:lpstr>4</vt:lpstr>
      <vt:lpstr>5</vt:lpstr>
      <vt:lpstr>'1'!Área_de_impresión</vt:lpstr>
      <vt:lpstr>'2'!Área_de_impresión</vt:lpstr>
      <vt:lpstr>'3'!Área_de_impresión</vt:lpstr>
      <vt:lpstr>'4'!Área_de_impresión</vt:lpstr>
      <vt:lpstr>Menú!Área_de_impresión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Prof Gest Comercial</cp:lastModifiedBy>
  <cp:revision/>
  <dcterms:created xsi:type="dcterms:W3CDTF">2013-07-30T17:19:59Z</dcterms:created>
  <dcterms:modified xsi:type="dcterms:W3CDTF">2020-11-11T13:11:50Z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0x010100139C0BDB7DEF9C4AAFEE7FF140BD774A</vt:lpwstr>
  </property>
</Properties>
</file>