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9"/>
  <workbookPr codeName="ThisWorkbook" defaultThemeVersion="124226"/>
  <mc:AlternateContent xmlns:mc="http://schemas.openxmlformats.org/markup-compatibility/2006">
    <mc:Choice Requires="x15">
      <x15ac:absPath xmlns:x15ac="http://schemas.microsoft.com/office/spreadsheetml/2010/11/ac" url="/Users/javiersotelo/MBA/15 Trabajo de Grado/Tercera Entrega/"/>
    </mc:Choice>
  </mc:AlternateContent>
  <xr:revisionPtr revIDLastSave="0" documentId="13_ncr:1_{A4EE41B6-D39A-3443-9BE8-2359B9AD204B}" xr6:coauthVersionLast="47" xr6:coauthVersionMax="47" xr10:uidLastSave="{00000000-0000-0000-0000-000000000000}"/>
  <bookViews>
    <workbookView xWindow="0" yWindow="500" windowWidth="28800" windowHeight="15780" tabRatio="703" activeTab="1" xr2:uid="{00000000-000D-0000-FFFF-FFFF00000000}"/>
  </bookViews>
  <sheets>
    <sheet name="Menú" sheetId="7" r:id="rId1"/>
    <sheet name="1" sheetId="1" r:id="rId2"/>
    <sheet name="2" sheetId="4" r:id="rId3"/>
    <sheet name="3" sheetId="3" r:id="rId4"/>
    <sheet name="4" sheetId="5" r:id="rId5"/>
    <sheet name="5" sheetId="6" r:id="rId6"/>
    <sheet name="Activos Fijos" sheetId="9" r:id="rId7"/>
    <sheet name="Activos Movibles" sheetId="10" r:id="rId8"/>
    <sheet name="Gastos fijos" sheetId="11" r:id="rId9"/>
  </sheets>
  <definedNames>
    <definedName name="_xlnm.Print_Area" localSheetId="0">Menú!$B$2:$J$24</definedName>
  </definedNames>
  <calcPr calcId="191029"/>
</workbook>
</file>

<file path=xl/calcChain.xml><?xml version="1.0" encoding="utf-8"?>
<calcChain xmlns="http://schemas.openxmlformats.org/spreadsheetml/2006/main">
  <c r="F7" i="11" l="1"/>
  <c r="F16" i="11"/>
  <c r="F22" i="4"/>
  <c r="F11" i="11"/>
  <c r="F13" i="11"/>
  <c r="F25" i="4" s="1"/>
  <c r="F12" i="11"/>
  <c r="F24" i="4" s="1"/>
  <c r="F9" i="11"/>
  <c r="F20" i="4" s="1"/>
  <c r="F10" i="11"/>
  <c r="F21" i="4" s="1"/>
  <c r="F18" i="9"/>
  <c r="C6" i="4"/>
  <c r="C7" i="4"/>
  <c r="F13" i="10"/>
  <c r="F12" i="10"/>
  <c r="E5" i="11"/>
  <c r="E4" i="11"/>
  <c r="E3" i="11"/>
  <c r="F3" i="11" s="1"/>
  <c r="C18" i="4" s="1"/>
  <c r="E6" i="11"/>
  <c r="C8" i="1"/>
  <c r="C7" i="1"/>
  <c r="C6" i="1"/>
  <c r="C3" i="1"/>
  <c r="C4" i="1"/>
  <c r="C5" i="1"/>
  <c r="F10" i="9"/>
  <c r="F14" i="10"/>
  <c r="F15" i="10" s="1"/>
  <c r="E28" i="11"/>
  <c r="E24" i="11"/>
  <c r="F14" i="11"/>
  <c r="F26" i="4" s="1"/>
  <c r="F15" i="11"/>
  <c r="F27" i="4" s="1"/>
  <c r="F8" i="11"/>
  <c r="F19" i="4" s="1"/>
  <c r="F11" i="10"/>
  <c r="F10" i="10"/>
  <c r="F9" i="10"/>
  <c r="F8" i="10"/>
  <c r="F7" i="10"/>
  <c r="F6" i="10"/>
  <c r="F5" i="10"/>
  <c r="F4" i="10"/>
  <c r="F3" i="10"/>
  <c r="F17" i="9"/>
  <c r="F16" i="9"/>
  <c r="F15" i="9"/>
  <c r="F6" i="9"/>
  <c r="F14" i="9"/>
  <c r="F13" i="9"/>
  <c r="F12" i="9"/>
  <c r="F11" i="9"/>
  <c r="F5" i="9"/>
  <c r="F4" i="9"/>
  <c r="F7" i="9" s="1"/>
  <c r="C4" i="4" s="1"/>
  <c r="F9" i="9"/>
  <c r="F3" i="9"/>
  <c r="H55" i="6"/>
  <c r="H54" i="6"/>
  <c r="F4" i="11" l="1"/>
  <c r="F6" i="11"/>
  <c r="F5" i="11"/>
  <c r="C5" i="4"/>
  <c r="B41" i="6"/>
  <c r="B42" i="6" s="1"/>
  <c r="B43" i="6" s="1"/>
  <c r="B44" i="6" s="1"/>
  <c r="B45" i="6" s="1"/>
  <c r="B46" i="6" s="1"/>
  <c r="B47" i="6" s="1"/>
  <c r="B48" i="6" s="1"/>
  <c r="B40" i="6"/>
  <c r="C40" i="6"/>
  <c r="C41" i="6"/>
  <c r="C42" i="6"/>
  <c r="C43" i="6"/>
  <c r="C44" i="6"/>
  <c r="C45" i="6"/>
  <c r="C46" i="6"/>
  <c r="C47" i="6"/>
  <c r="C48" i="6"/>
  <c r="C39" i="6"/>
  <c r="C22" i="4" l="1"/>
  <c r="F11" i="5"/>
  <c r="G11" i="5"/>
  <c r="E11" i="5" l="1"/>
  <c r="D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9" i="3" l="1"/>
  <c r="F17" i="4"/>
  <c r="F31" i="4"/>
  <c r="C10" i="5" s="1"/>
  <c r="D10" i="5" s="1"/>
  <c r="E10" i="5" s="1"/>
  <c r="F10" i="5" s="1"/>
  <c r="G10" i="5" s="1"/>
  <c r="C12" i="4"/>
  <c r="D11" i="3" l="1"/>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E20" i="11" l="1"/>
  <c r="E21" i="11"/>
  <c r="C5" i="5"/>
  <c r="C20" i="5" s="1"/>
  <c r="D7" i="6" s="1"/>
  <c r="E9" i="3"/>
  <c r="G9" i="5"/>
  <c r="H2" i="1"/>
  <c r="B28" i="4"/>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E25" i="11" l="1"/>
  <c r="D5" i="5"/>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E29" i="11" l="1"/>
  <c r="C25" i="4" s="1"/>
  <c r="D43" i="5"/>
  <c r="E5" i="5"/>
  <c r="E20" i="5" s="1"/>
  <c r="F7" i="6" s="1"/>
  <c r="E11" i="3"/>
  <c r="G25" i="5"/>
  <c r="D8" i="3"/>
  <c r="M16" i="1"/>
  <c r="N2" i="1"/>
  <c r="E27" i="6"/>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28" i="6" l="1"/>
  <c r="F19" i="6" s="1"/>
  <c r="D43" i="6" s="1"/>
  <c r="E43" i="6" s="1"/>
  <c r="C11" i="5"/>
  <c r="C13" i="5" s="1"/>
  <c r="C55" i="5" s="1"/>
  <c r="C56" i="5" s="1"/>
  <c r="C57" i="5" s="1"/>
  <c r="D10" i="3"/>
  <c r="D12" i="3" s="1"/>
  <c r="D14" i="3" s="1"/>
  <c r="C33" i="6"/>
  <c r="E43" i="5"/>
  <c r="F5" i="5"/>
  <c r="F20" i="5" s="1"/>
  <c r="G7" i="6" s="1"/>
  <c r="E12" i="3"/>
  <c r="G24" i="5"/>
  <c r="G26" i="5" s="1"/>
  <c r="F26" i="5"/>
  <c r="N16" i="1"/>
  <c r="O2" i="1"/>
  <c r="O16" i="1" s="1"/>
  <c r="V13" i="1"/>
  <c r="V27" i="1"/>
  <c r="E33" i="1" s="1"/>
  <c r="F7" i="5" s="1"/>
  <c r="W27" i="1"/>
  <c r="W13" i="1"/>
  <c r="E26" i="5"/>
  <c r="E48" i="5" s="1"/>
  <c r="E50" i="5" s="1"/>
  <c r="G49" i="5"/>
  <c r="C34" i="1"/>
  <c r="D7" i="5"/>
  <c r="D8" i="5" s="1"/>
  <c r="D34" i="1"/>
  <c r="E7" i="5"/>
  <c r="E8" i="5" s="1"/>
  <c r="F31" i="1"/>
  <c r="E13" i="3" s="1"/>
  <c r="F22" i="6" l="1"/>
  <c r="D46" i="6" s="1"/>
  <c r="E46" i="6" s="1"/>
  <c r="F24" i="6"/>
  <c r="D48" i="6" s="1"/>
  <c r="E48" i="6" s="1"/>
  <c r="F18" i="6"/>
  <c r="D42" i="6" s="1"/>
  <c r="E42" i="6" s="1"/>
  <c r="F21" i="6"/>
  <c r="D45" i="6" s="1"/>
  <c r="E45" i="6" s="1"/>
  <c r="F16" i="6"/>
  <c r="D40" i="6" s="1"/>
  <c r="E40" i="6" s="1"/>
  <c r="F23" i="6"/>
  <c r="D47" i="6" s="1"/>
  <c r="E47" i="6" s="1"/>
  <c r="F17" i="6"/>
  <c r="D41" i="6" s="1"/>
  <c r="E41" i="6" s="1"/>
  <c r="F20" i="6"/>
  <c r="D44" i="6" s="1"/>
  <c r="E44" i="6" s="1"/>
  <c r="F15" i="6"/>
  <c r="D39" i="6" s="1"/>
  <c r="E39" i="6" s="1"/>
  <c r="C8" i="6"/>
  <c r="D16" i="3"/>
  <c r="J8" i="3" s="1"/>
  <c r="B31" i="5" s="1"/>
  <c r="B32" i="5" s="1"/>
  <c r="F33" i="6"/>
  <c r="C34" i="6"/>
  <c r="C35" i="6" s="1"/>
  <c r="F43" i="5"/>
  <c r="F33" i="1"/>
  <c r="G7" i="5" s="1"/>
  <c r="F32" i="1"/>
  <c r="G6" i="5" s="1"/>
  <c r="E32" i="1"/>
  <c r="F6" i="5" s="1"/>
  <c r="F8" i="5" s="1"/>
  <c r="F13" i="5" s="1"/>
  <c r="D13" i="5"/>
  <c r="D55" i="5" s="1"/>
  <c r="D56" i="5" s="1"/>
  <c r="D57" i="5" s="1"/>
  <c r="E13" i="5"/>
  <c r="E55" i="5" s="1"/>
  <c r="E56" i="5" s="1"/>
  <c r="E57" i="5" s="1"/>
  <c r="G48" i="5"/>
  <c r="G50" i="5" s="1"/>
  <c r="F48" i="5"/>
  <c r="F50" i="5" s="1"/>
  <c r="G5" i="5"/>
  <c r="G20" i="5" s="1"/>
  <c r="H7" i="6" s="1"/>
  <c r="D34" i="6" l="1"/>
  <c r="E34" i="6"/>
  <c r="F34" i="6" s="1"/>
  <c r="E49" i="6"/>
  <c r="E29" i="6" s="1"/>
  <c r="F25" i="6"/>
  <c r="B34" i="6" s="1"/>
  <c r="B35" i="6" s="1"/>
  <c r="I20" i="6" s="1"/>
  <c r="B38" i="5"/>
  <c r="B22" i="5" s="1"/>
  <c r="B44" i="5" s="1"/>
  <c r="B46" i="5" s="1"/>
  <c r="B52" i="5" s="1"/>
  <c r="F34" i="1"/>
  <c r="E34" i="1"/>
  <c r="G8" i="5"/>
  <c r="G13" i="5" s="1"/>
  <c r="G55" i="5" s="1"/>
  <c r="G56" i="5" s="1"/>
  <c r="G57" i="5" s="1"/>
  <c r="I9" i="3"/>
  <c r="F9" i="3"/>
  <c r="G9" i="3" s="1"/>
  <c r="C14" i="5" s="1"/>
  <c r="C15" i="5" s="1"/>
  <c r="C16" i="5" s="1"/>
  <c r="C29" i="5" s="1"/>
  <c r="F55" i="5"/>
  <c r="F56" i="5" s="1"/>
  <c r="F57" i="5" s="1"/>
  <c r="G43" i="5"/>
  <c r="I16" i="6" l="1"/>
  <c r="I18" i="6"/>
  <c r="I24" i="6"/>
  <c r="I23" i="6"/>
  <c r="I15" i="6"/>
  <c r="I22" i="6"/>
  <c r="I17" i="6"/>
  <c r="I19" i="6"/>
  <c r="I21" i="6"/>
  <c r="B27" i="5"/>
  <c r="B39" i="5" s="1"/>
  <c r="C17" i="5"/>
  <c r="C35" i="5" s="1"/>
  <c r="C36" i="5" s="1"/>
  <c r="H9" i="3"/>
  <c r="J9" i="3" s="1"/>
  <c r="I10" i="3" s="1"/>
  <c r="C30" i="5"/>
  <c r="C45" i="5"/>
  <c r="E35" i="6" l="1"/>
  <c r="F35" i="6" s="1"/>
  <c r="D35" i="6"/>
  <c r="H52" i="6"/>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0" i="5" l="1"/>
  <c r="I13" i="3"/>
  <c r="H13" i="3" s="1"/>
  <c r="J13" i="3" s="1"/>
  <c r="G31" i="5" s="1"/>
  <c r="G29" i="5"/>
  <c r="G45" i="5" s="1"/>
  <c r="F31" i="5"/>
  <c r="E46" i="5"/>
  <c r="E52" i="5" s="1"/>
  <c r="E58" i="5" s="1"/>
  <c r="E59" i="5" s="1"/>
  <c r="F8" i="6" s="1"/>
  <c r="G35" i="5"/>
  <c r="G36" i="5" s="1"/>
  <c r="G30" i="5" l="1"/>
  <c r="G32" i="5" s="1"/>
  <c r="G38" i="5" s="1"/>
  <c r="G22" i="5" s="1"/>
  <c r="F32" i="5"/>
  <c r="F38" i="5" s="1"/>
  <c r="F22" i="5" s="1"/>
  <c r="F44" i="5" s="1"/>
  <c r="F46" i="5" s="1"/>
  <c r="F52" i="5" s="1"/>
  <c r="F58" i="5" s="1"/>
  <c r="F59" i="5" s="1"/>
  <c r="G8" i="6"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3" authorId="0" shapeId="0" xr:uid="{00000000-0006-0000-0100-000006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3" authorId="0" shapeId="0" xr:uid="{00000000-0006-0000-0100-000007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3" authorId="0" shapeId="0" xr:uid="{00000000-0006-0000-0100-000008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4" authorId="0" shapeId="0" xr:uid="{47BC1506-56D8-1B40-BA4F-4F52BB0E298E}">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4" authorId="0" shapeId="0" xr:uid="{D0370764-25F4-C349-AC2E-FCAC1AF82244}">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4" authorId="0" shapeId="0" xr:uid="{827EB124-679F-0245-AFF2-431E529476E6}">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4" authorId="0" shapeId="0" xr:uid="{00000000-0006-0000-0100-000009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H5" authorId="0" shapeId="0" xr:uid="{83B63290-51D3-AC48-8D52-799627972C12}">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5" authorId="0" shapeId="0" xr:uid="{D597C891-0375-C147-AE4E-A401F1666E6C}">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5" authorId="0" shapeId="0" xr:uid="{9D6B5F9E-884A-DF46-8D9E-800E7C1012E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5" authorId="0" shapeId="0" xr:uid="{00000000-0006-0000-0100-00000A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AB7" authorId="0" shapeId="0" xr:uid="{00000000-0006-0000-0100-00000B000000}">
      <text>
        <r>
          <rPr>
            <b/>
            <sz val="9"/>
            <color rgb="FF000000"/>
            <rFont val="Tahoma"/>
            <family val="2"/>
          </rPr>
          <t>DARIO MAURICIO REYES GIRALDO:</t>
        </r>
        <r>
          <rPr>
            <sz val="9"/>
            <color rgb="FF000000"/>
            <rFont val="Tahoma"/>
            <family val="2"/>
          </rPr>
          <t xml:space="preserve">
</t>
        </r>
        <r>
          <rPr>
            <sz val="9"/>
            <color rgb="FF000000"/>
            <rFont val="Tahoma"/>
            <family val="2"/>
          </rPr>
          <t>incluya la tasa de impuesto de Renta vigente.</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00000000-0006-0000-0200-000007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6" authorId="0" shapeId="0" xr:uid="{00000000-0006-0000-0200-000008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7" authorId="0" shapeId="0" xr:uid="{00000000-0006-0000-0200-000009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8" authorId="0" shapeId="0" xr:uid="{00000000-0006-0000-0200-00000A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9" authorId="0" shapeId="0" xr:uid="{843D53A5-F95A-3F4C-9437-5A441261A453}">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30" authorId="0" shapeId="0" xr:uid="{00000000-0006-0000-0200-00000C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rgb="FF000000"/>
            <rFont val="Tahoma"/>
            <family val="2"/>
          </rPr>
          <t>DARIO MAURICIO REYES GIRALDO:</t>
        </r>
        <r>
          <rPr>
            <sz val="9"/>
            <color rgb="FF000000"/>
            <rFont val="Tahoma"/>
            <family val="2"/>
          </rPr>
          <t xml:space="preserve">
</t>
        </r>
        <r>
          <rPr>
            <sz val="9"/>
            <color rgb="FF000000"/>
            <rFont val="Tahoma"/>
            <family val="2"/>
          </rPr>
          <t>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rgb="FF000000"/>
            <rFont val="Tahoma"/>
            <family val="2"/>
          </rPr>
          <t>DARIO MAURICIO REYES GIRALDO:</t>
        </r>
        <r>
          <rPr>
            <sz val="9"/>
            <color rgb="FF000000"/>
            <rFont val="Tahoma"/>
            <family val="2"/>
          </rPr>
          <t xml:space="preserve">
</t>
        </r>
        <r>
          <rPr>
            <sz val="9"/>
            <color rgb="FF000000"/>
            <rFont val="Tahoma"/>
            <family val="2"/>
          </rPr>
          <t>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rgb="FF000000"/>
            <rFont val="Tahoma"/>
            <family val="2"/>
          </rPr>
          <t>DARIO MAURICIO REYES GIRALDO:</t>
        </r>
        <r>
          <rPr>
            <sz val="9"/>
            <color rgb="FF000000"/>
            <rFont val="Tahoma"/>
            <family val="2"/>
          </rPr>
          <t xml:space="preserve">
</t>
        </r>
        <r>
          <rPr>
            <sz val="9"/>
            <color rgb="FF000000"/>
            <rFont val="Tahoma"/>
            <family val="2"/>
          </rPr>
          <t>Si el resultado es negativo, no es valido!</t>
        </r>
      </text>
    </comment>
  </commentList>
</comments>
</file>

<file path=xl/sharedStrings.xml><?xml version="1.0" encoding="utf-8"?>
<sst xmlns="http://schemas.openxmlformats.org/spreadsheetml/2006/main" count="299" uniqueCount="231">
  <si>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</si>
  <si>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</si>
  <si>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</si>
  <si>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</si>
  <si>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</si>
  <si>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</si>
  <si>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</si>
  <si>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</si>
  <si>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</si>
  <si>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</si>
  <si>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</si>
  <si>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</si>
  <si>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</si>
  <si>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</si>
  <si>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</si>
  <si>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</si>
  <si>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</si>
  <si>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</si>
  <si>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</si>
  <si>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</si>
  <si>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</si>
  <si>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</si>
  <si>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</si>
  <si>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</si>
  <si>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</si>
  <si>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</si>
  <si>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</si>
  <si>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</si>
  <si>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</si>
  <si>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</si>
  <si>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</si>
  <si>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</si>
  <si>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</si>
  <si>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</si>
  <si>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</si>
  <si>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</si>
  <si>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</si>
  <si>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</si>
  <si>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</si>
  <si>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</si>
  <si>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</si>
  <si>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</si>
  <si>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</si>
  <si>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</si>
  <si>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</si>
  <si>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</si>
  <si>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</si>
  <si>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</si>
  <si>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</si>
  <si>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</si>
  <si>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</si>
  <si>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</si>
  <si>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</si>
  <si>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</si>
  <si>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</si>
  <si>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</si>
  <si>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</si>
  <si>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</si>
  <si>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</si>
  <si>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</si>
  <si>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</si>
  <si>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</si>
  <si>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</si>
  <si>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</si>
  <si>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</si>
  <si>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</si>
  <si>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</si>
  <si>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</si>
  <si>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</si>
  <si>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</si>
  <si>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</si>
  <si>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</si>
  <si>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</si>
  <si>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</si>
  <si>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</si>
  <si>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</si>
  <si>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</si>
  <si>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</si>
  <si>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</si>
  <si>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</si>
  <si>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</si>
  <si>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</si>
  <si>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</si>
  <si>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</si>
  <si>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</si>
  <si>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</si>
  <si>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</si>
  <si>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</si>
  <si>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</si>
  <si>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</si>
  <si>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</si>
  <si>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</si>
  <si>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</si>
  <si>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</si>
  <si>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</si>
  <si>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</si>
  <si>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</si>
  <si>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</si>
  <si>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</si>
  <si>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</si>
  <si>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</si>
  <si>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</si>
  <si>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</si>
  <si>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</si>
  <si>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</si>
  <si>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</si>
  <si>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</si>
  <si>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</si>
  <si>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</si>
  <si>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</si>
  <si>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</si>
  <si>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</si>
  <si>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</si>
  <si>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</si>
  <si>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</si>
  <si>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</si>
  <si>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</si>
  <si>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</si>
  <si>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</si>
  <si>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</si>
  <si>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</si>
  <si>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</si>
  <si>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</si>
  <si>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</si>
  <si>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</si>
  <si>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</si>
  <si>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</si>
  <si>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</si>
  <si>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</si>
  <si>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</si>
  <si>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</si>
  <si>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</si>
  <si>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</si>
  <si>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</si>
  <si>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</si>
  <si>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</si>
  <si>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</si>
  <si>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t>PRODUCCIÓN/SERVICIO:</t>
  </si>
  <si>
    <t>ARRIENDO:</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</si>
  <si>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</si>
  <si>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</si>
  <si>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</si>
  <si>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</si>
  <si>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</si>
  <si>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</si>
  <si>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</si>
  <si>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</si>
  <si>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</si>
  <si>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</si>
  <si>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</si>
  <si>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</si>
  <si>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</si>
  <si>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</si>
  <si>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</si>
  <si>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</si>
  <si>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</si>
  <si>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</si>
  <si>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Hospedaje Glamping Tipo 1</t>
  </si>
  <si>
    <t>Hospedaje Glamping Tipo 2</t>
  </si>
  <si>
    <t>Hospedaje Glamping Tipo 3</t>
  </si>
  <si>
    <t>Actividades complementarias</t>
  </si>
  <si>
    <t>Alimentos</t>
  </si>
  <si>
    <t>Licores</t>
  </si>
  <si>
    <t>ACTIVOS FIJOS</t>
  </si>
  <si>
    <t>ITEM</t>
  </si>
  <si>
    <t>DESCRIPCION</t>
  </si>
  <si>
    <t>UNIDAD</t>
  </si>
  <si>
    <t>CANTIDAD</t>
  </si>
  <si>
    <t>VALOR UNITARIO</t>
  </si>
  <si>
    <t>m2</t>
  </si>
  <si>
    <t>Parqueadero y caminos peatonales</t>
  </si>
  <si>
    <t>Sistema de recoleccion aguas negras</t>
  </si>
  <si>
    <t>UN</t>
  </si>
  <si>
    <t>Baño con accesorios</t>
  </si>
  <si>
    <t>Bañera</t>
  </si>
  <si>
    <t>Calentador de Gas</t>
  </si>
  <si>
    <t>Malla catamaran</t>
  </si>
  <si>
    <t>Cama con colchon</t>
  </si>
  <si>
    <t>Lenceria</t>
  </si>
  <si>
    <t>Mesa de noche</t>
  </si>
  <si>
    <t>Decoracion</t>
  </si>
  <si>
    <t>Comedor exterior y sillas</t>
  </si>
  <si>
    <t>Parasol</t>
  </si>
  <si>
    <t>Accesorios de Cocina</t>
  </si>
  <si>
    <t>Mensualidad</t>
  </si>
  <si>
    <t>Otros</t>
  </si>
  <si>
    <r>
      <t xml:space="preserve">COSTO UNITARIO DEL PDTO O </t>
    </r>
    <r>
      <rPr>
        <b/>
        <u/>
        <sz val="8"/>
        <color theme="1"/>
        <rFont val="Arial"/>
        <family val="2"/>
      </rPr>
      <t>SERVICIO</t>
    </r>
  </si>
  <si>
    <r>
      <t>Distribución</t>
    </r>
    <r>
      <rPr>
        <sz val="10"/>
        <color theme="1"/>
        <rFont val="Times New Roman"/>
        <family val="1"/>
      </rPr>
      <t>: Comisión por publicación en Booking.</t>
    </r>
  </si>
  <si>
    <r>
      <t>Distribución</t>
    </r>
    <r>
      <rPr>
        <sz val="10"/>
        <color theme="1"/>
        <rFont val="Times New Roman"/>
        <family val="1"/>
      </rPr>
      <t>: Comisión por publicación en Airbnb.</t>
    </r>
  </si>
  <si>
    <r>
      <t>Distribución</t>
    </r>
    <r>
      <rPr>
        <sz val="10"/>
        <color theme="1"/>
        <rFont val="Times New Roman"/>
        <family val="1"/>
      </rPr>
      <t>: Dominio y mantenimiento pagina web.</t>
    </r>
  </si>
  <si>
    <r>
      <t>Distribución</t>
    </r>
    <r>
      <rPr>
        <sz val="10"/>
        <color theme="1"/>
        <rFont val="Times New Roman"/>
        <family val="1"/>
      </rPr>
      <t>: Cuenta de Instagram y Facebook.</t>
    </r>
  </si>
  <si>
    <r>
      <t>Promoción</t>
    </r>
    <r>
      <rPr>
        <sz val="10"/>
        <color theme="1"/>
        <rFont val="Times New Roman"/>
        <family val="1"/>
      </rPr>
      <t>: Publicidad en Instagram.</t>
    </r>
  </si>
  <si>
    <r>
      <t>Promoción</t>
    </r>
    <r>
      <rPr>
        <sz val="10"/>
        <color theme="1"/>
        <rFont val="Times New Roman"/>
        <family val="1"/>
      </rPr>
      <t>: Publicidad en Booking y Airbnb.</t>
    </r>
  </si>
  <si>
    <r>
      <t>Promoción</t>
    </r>
    <r>
      <rPr>
        <sz val="10"/>
        <color theme="1"/>
        <rFont val="Times New Roman"/>
        <family val="1"/>
      </rPr>
      <t>: Email marketing.</t>
    </r>
  </si>
  <si>
    <r>
      <t>Promoción</t>
    </r>
    <r>
      <rPr>
        <sz val="10"/>
        <color theme="1"/>
        <rFont val="Times New Roman"/>
        <family val="1"/>
      </rPr>
      <t>: Google Ads.</t>
    </r>
  </si>
  <si>
    <t>10% de los hospedajes llegaran por Airbnb</t>
  </si>
  <si>
    <t>20% de los hospedajes llegaran por Booking</t>
  </si>
  <si>
    <t>2700 pesos por click, se esperan unos 500 clicks anuales</t>
  </si>
  <si>
    <t>1200 pesos, se esperan 1000 clicks</t>
  </si>
  <si>
    <t>Silla y cojines</t>
  </si>
  <si>
    <t>Calentador de ambiente electrico</t>
  </si>
  <si>
    <t>Reglamentacion y preparacion del terreno</t>
  </si>
  <si>
    <t>Adecuacion cocina ya existente</t>
  </si>
  <si>
    <t>Alojamiento Tipo 1 instalado.</t>
  </si>
  <si>
    <t>Alojamiento Tipo 2 instalado.</t>
  </si>
  <si>
    <t>Alojamiento Tipo 3 instalado.</t>
  </si>
  <si>
    <t>Plataformas para alojamientos pequeña</t>
  </si>
  <si>
    <t>ACTIVOS MOVIBLES</t>
  </si>
  <si>
    <t>GASTOS DE MERCADEO</t>
  </si>
  <si>
    <t>Administrador</t>
  </si>
  <si>
    <t>Auxiliar 1</t>
  </si>
  <si>
    <t>Auxiliar 2</t>
  </si>
  <si>
    <t>Mantenimiento instalaciones</t>
  </si>
  <si>
    <t>Muebles de recepcion</t>
  </si>
  <si>
    <t>Equipo de computo</t>
  </si>
  <si>
    <t>Auxiliar contable anual</t>
  </si>
  <si>
    <t>Internet</t>
  </si>
  <si>
    <t>Celular</t>
  </si>
  <si>
    <t>Vigilante</t>
  </si>
  <si>
    <t>Consumibles de aseo</t>
  </si>
  <si>
    <t>CONSUMIBLES COCINA</t>
  </si>
  <si>
    <t>Consumibles de cocina</t>
  </si>
  <si>
    <t>OUTSOURCING</t>
  </si>
  <si>
    <t>EMPLEADO</t>
  </si>
  <si>
    <t>Anual</t>
  </si>
  <si>
    <t>DESCRIPCIÓN</t>
  </si>
  <si>
    <t>Servicios públicos (Energía y Gas Propano)</t>
  </si>
  <si>
    <t>Papelería</t>
  </si>
  <si>
    <t>ÍTEM</t>
  </si>
  <si>
    <r>
      <t>Promoción</t>
    </r>
    <r>
      <rPr>
        <sz val="10"/>
        <color theme="1"/>
        <rFont val="Times New Roman"/>
        <family val="1"/>
      </rPr>
      <t>: Participación en eventos y feria.</t>
    </r>
  </si>
  <si>
    <t>MANTENIMIENTO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</si>
</sst>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8" formatCode="&quot;$&quot;#,##0.00;[Red]\-&quot;$&quot;#,##0.00"/>
    <numFmt numFmtId="42" formatCode="_-&quot;$&quot;* #,##0_-;\-&quot;$&quot;* #,##0_-;_-&quot;$&quot;* &quot;-&quot;_-;_-@_-"/>
    <numFmt numFmtId="164" formatCode="&quot;$&quot;\ #,##0.00_);[Red]\(&quot;$&quot;\ #,##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240A]\ * #,##0.00_-;\-[$$-240A]\ * #,##0.00_-;_-[$$-240A]\ * &quot;-&quot;??_-;_-@_-"/>
    <numFmt numFmtId="180" formatCode="_-&quot;$&quot;* #,##0_-;\-&quot;$&quot;* #,##0_-;_-&quot;$&quot;* &quot;-&quot;??_-;_-@_-"/>
  </numFmts>
  <fonts count="67"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sz val="11"/>
      <color theme="1"/>
      <name val="Arial"/>
      <family val="2"/>
    </font>
    <font>
      <b/>
      <sz val="11"/>
      <color theme="1"/>
      <name val="Arial"/>
      <family val="2"/>
    </font>
    <font>
      <sz val="18"/>
      <color theme="1"/>
      <name val="Aharoni"/>
    </font>
    <font>
      <b/>
      <sz val="12"/>
      <color theme="1"/>
      <name val="Aharoni"/>
    </font>
    <font>
      <b/>
      <sz val="14"/>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1"/>
      <name val="Arial"/>
      <family val="2"/>
    </font>
    <font>
      <sz val="10"/>
      <color theme="1"/>
      <name val="Arial"/>
      <family val="2"/>
    </font>
    <font>
      <sz val="11"/>
      <color theme="0"/>
      <name val="Arial"/>
      <family val="2"/>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sz val="11"/>
      <color theme="1"/>
      <name val="Aharoni"/>
    </font>
    <font>
      <b/>
      <sz val="9"/>
      <color theme="1"/>
      <name val="Aharoni"/>
    </font>
    <font>
      <sz val="10"/>
      <color theme="1"/>
      <name val="Aharoni"/>
    </font>
    <font>
      <b/>
      <sz val="16"/>
      <color theme="1"/>
      <name val="Arial"/>
      <family val="2"/>
    </font>
    <font>
      <sz val="11"/>
      <color rgb="FFFF0000"/>
      <name val="Calibri"/>
      <family val="2"/>
      <scheme val="minor"/>
    </font>
    <font>
      <b/>
      <sz val="11"/>
      <color theme="0"/>
      <name val="Calibri"/>
      <family val="2"/>
      <scheme val="minor"/>
    </font>
    <font>
      <b/>
      <sz val="11"/>
      <color theme="0"/>
      <name val="Aharoni"/>
    </font>
    <font>
      <b/>
      <sz val="9"/>
      <color rgb="FF000000"/>
      <name val="Tahoma"/>
      <family val="2"/>
    </font>
    <font>
      <sz val="9"/>
      <color rgb="FF000000"/>
      <name val="Tahoma"/>
      <family val="2"/>
    </font>
    <font>
      <b/>
      <sz val="14"/>
      <color theme="1"/>
      <name val="Arial"/>
      <family val="2"/>
    </font>
    <font>
      <b/>
      <sz val="10"/>
      <color theme="1"/>
      <name val="Arial"/>
      <family val="2"/>
    </font>
    <font>
      <sz val="12"/>
      <color theme="0"/>
      <name val="Arial"/>
      <family val="2"/>
    </font>
    <font>
      <b/>
      <sz val="8"/>
      <color theme="1"/>
      <name val="Arial"/>
      <family val="2"/>
    </font>
    <font>
      <b/>
      <sz val="18"/>
      <color theme="1"/>
      <name val="Arial"/>
      <family val="2"/>
    </font>
    <font>
      <b/>
      <u/>
      <sz val="8"/>
      <color theme="1"/>
      <name val="Arial"/>
      <family val="2"/>
    </font>
    <font>
      <b/>
      <sz val="12"/>
      <color theme="1"/>
      <name val="Arial"/>
      <family val="2"/>
    </font>
    <font>
      <sz val="20"/>
      <color theme="1"/>
      <name val="Arial"/>
      <family val="2"/>
    </font>
    <font>
      <i/>
      <sz val="10"/>
      <color theme="1"/>
      <name val="Times New Roman"/>
      <family val="1"/>
    </font>
    <font>
      <sz val="10"/>
      <color theme="1"/>
      <name val="Times New Roman"/>
      <family val="1"/>
    </font>
    <font>
      <b/>
      <sz val="14"/>
      <name val="Arial"/>
      <family val="2"/>
    </font>
    <font>
      <sz val="14"/>
      <color theme="0"/>
      <name val="Arial"/>
      <family val="2"/>
    </font>
    <font>
      <sz val="11"/>
      <color theme="1"/>
      <name val="Times New Roman"/>
      <family val="1"/>
    </font>
    <font>
      <b/>
      <sz val="12"/>
      <color theme="1"/>
      <name val="Times New Roman"/>
      <family val="1"/>
    </font>
    <font>
      <b/>
      <sz val="18"/>
      <color theme="1"/>
      <name val="Times New Roman"/>
      <family val="1"/>
    </font>
    <font>
      <sz val="12"/>
      <color theme="1"/>
      <name val="Times New Roman"/>
      <family val="1"/>
    </font>
    <font>
      <sz val="12"/>
      <name val="Times New Roman"/>
      <family val="1"/>
    </font>
    <font>
      <b/>
      <sz val="12"/>
      <name val="Times New Roman"/>
      <family val="1"/>
    </font>
  </fonts>
  <fills count="10">
    <fill>
      <patternFill patternType="none"/>
    </fill>
    <fill>
      <patternFill patternType="gray125"/>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6" tint="0.39997558519241921"/>
        <bgColor indexed="64"/>
      </patternFill>
    </fill>
  </fills>
  <borders count="26">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bottom style="medium">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double">
        <color indexed="64"/>
      </top>
      <bottom style="thin">
        <color indexed="64"/>
      </bottom>
      <diagonal/>
    </border>
  </borders>
  <cellStyleXfs count="10">
    <xf numFmtId="0" fontId="0" fillId="0" borderId="0"/>
    <xf numFmtId="165" fontId="6" fillId="0" borderId="0" applyFont="0" applyFill="0" applyBorder="0" applyAlignment="0" applyProtection="0"/>
    <xf numFmtId="9" fontId="6" fillId="0" borderId="0" applyFont="0" applyFill="0" applyBorder="0" applyAlignment="0" applyProtection="0"/>
    <xf numFmtId="166" fontId="21" fillId="0" borderId="0" applyFont="0" applyFill="0" applyBorder="0" applyAlignment="0" applyProtection="0"/>
    <xf numFmtId="166" fontId="6" fillId="0" borderId="0" applyFont="0" applyFill="0" applyBorder="0" applyAlignment="0" applyProtection="0"/>
    <xf numFmtId="0" fontId="32" fillId="0" borderId="0" applyNumberFormat="0" applyFill="0" applyBorder="0" applyAlignment="0" applyProtection="0"/>
    <xf numFmtId="0" fontId="21" fillId="0" borderId="0"/>
    <xf numFmtId="0" fontId="5" fillId="0" borderId="0"/>
    <xf numFmtId="42" fontId="5" fillId="0" borderId="0" applyFont="0" applyFill="0" applyBorder="0" applyAlignment="0" applyProtection="0"/>
    <xf numFmtId="42" fontId="6" fillId="0" borderId="0" applyFont="0" applyFill="0" applyBorder="0" applyAlignment="0" applyProtection="0"/>
  </cellStyleXfs>
  <cellXfs count="236">
    <xf numFmtId="0" fontId="0" fillId="0" borderId="0" xfId="0"/>
    <xf numFmtId="165" fontId="27" fillId="3" borderId="0" xfId="1" applyFont="1" applyFill="1" applyProtection="1">
      <protection locked="0"/>
    </xf>
    <xf numFmtId="0" fontId="0" fillId="0" borderId="0" xfId="0" applyProtection="1">
      <protection hidden="1"/>
    </xf>
    <xf numFmtId="0" fontId="9" fillId="0" borderId="0" xfId="0" applyFont="1" applyProtection="1">
      <protection hidden="1"/>
    </xf>
    <xf numFmtId="0" fontId="11" fillId="0" borderId="0" xfId="0" applyFont="1" applyAlignment="1" applyProtection="1">
      <alignment horizontal="center"/>
      <protection hidden="1"/>
    </xf>
    <xf numFmtId="168" fontId="1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8" fillId="0" borderId="4" xfId="0" applyFont="1" applyBorder="1" applyProtection="1">
      <protection hidden="1"/>
    </xf>
    <xf numFmtId="0" fontId="0" fillId="0" borderId="5" xfId="0" applyBorder="1" applyProtection="1">
      <protection hidden="1"/>
    </xf>
    <xf numFmtId="168" fontId="11" fillId="4" borderId="0" xfId="0" applyNumberFormat="1" applyFont="1" applyFill="1" applyProtection="1">
      <protection hidden="1"/>
    </xf>
    <xf numFmtId="9" fontId="11" fillId="4" borderId="0" xfId="2" applyFont="1" applyFill="1" applyAlignment="1" applyProtection="1">
      <alignment horizontal="center"/>
      <protection hidden="1"/>
    </xf>
    <xf numFmtId="0" fontId="10" fillId="0" borderId="0" xfId="0" applyFont="1" applyProtection="1">
      <protection hidden="1"/>
    </xf>
    <xf numFmtId="0" fontId="10" fillId="0" borderId="0" xfId="0" applyFont="1" applyAlignment="1" applyProtection="1">
      <alignment horizontal="center"/>
      <protection hidden="1"/>
    </xf>
    <xf numFmtId="49" fontId="10" fillId="0" borderId="0" xfId="0" applyNumberFormat="1" applyFont="1" applyProtection="1">
      <protection hidden="1"/>
    </xf>
    <xf numFmtId="0" fontId="18" fillId="0" borderId="0" xfId="0" applyFont="1" applyProtection="1">
      <protection hidden="1"/>
    </xf>
    <xf numFmtId="167" fontId="10" fillId="0" borderId="0" xfId="1" applyNumberFormat="1" applyFont="1" applyProtection="1">
      <protection hidden="1"/>
    </xf>
    <xf numFmtId="167" fontId="10" fillId="0" borderId="0" xfId="0" applyNumberFormat="1" applyFont="1" applyProtection="1">
      <protection hidden="1"/>
    </xf>
    <xf numFmtId="0" fontId="17" fillId="0" borderId="0" xfId="0" applyFont="1" applyProtection="1">
      <protection hidden="1"/>
    </xf>
    <xf numFmtId="9" fontId="27" fillId="3" borderId="0" xfId="2" applyFont="1" applyFill="1" applyProtection="1">
      <protection locked="0"/>
    </xf>
    <xf numFmtId="0" fontId="0" fillId="4" borderId="0" xfId="0" applyFill="1" applyProtection="1">
      <protection hidden="1"/>
    </xf>
    <xf numFmtId="0" fontId="19" fillId="0" borderId="0" xfId="0" applyFont="1" applyProtection="1">
      <protection hidden="1"/>
    </xf>
    <xf numFmtId="165" fontId="19" fillId="0" borderId="0" xfId="0" applyNumberFormat="1" applyFont="1" applyProtection="1">
      <protection hidden="1"/>
    </xf>
    <xf numFmtId="0" fontId="11" fillId="0" borderId="0" xfId="0" applyFont="1" applyProtection="1">
      <protection hidden="1"/>
    </xf>
    <xf numFmtId="165" fontId="22" fillId="0" borderId="0" xfId="0" applyNumberFormat="1" applyFont="1" applyProtection="1">
      <protection hidden="1"/>
    </xf>
    <xf numFmtId="0" fontId="8" fillId="0" borderId="0" xfId="0" applyFont="1" applyAlignment="1" applyProtection="1">
      <alignment horizontal="left" wrapText="1"/>
      <protection hidden="1"/>
    </xf>
    <xf numFmtId="0" fontId="8" fillId="0" borderId="0" xfId="0" applyFont="1" applyProtection="1">
      <protection hidden="1"/>
    </xf>
    <xf numFmtId="0" fontId="20" fillId="0" borderId="0" xfId="0" applyFont="1" applyAlignment="1" applyProtection="1">
      <alignment wrapText="1"/>
      <protection hidden="1"/>
    </xf>
    <xf numFmtId="171" fontId="0" fillId="0" borderId="0" xfId="1" applyNumberFormat="1" applyFont="1" applyProtection="1">
      <protection hidden="1"/>
    </xf>
    <xf numFmtId="0" fontId="17" fillId="0" borderId="0" xfId="0" applyFont="1" applyAlignment="1" applyProtection="1">
      <alignment horizontal="center"/>
      <protection hidden="1"/>
    </xf>
    <xf numFmtId="0" fontId="28" fillId="4" borderId="0" xfId="0" applyFont="1" applyFill="1" applyProtection="1">
      <protection hidden="1"/>
    </xf>
    <xf numFmtId="165" fontId="22" fillId="4" borderId="0" xfId="0" applyNumberFormat="1" applyFont="1" applyFill="1" applyProtection="1">
      <protection hidden="1"/>
    </xf>
    <xf numFmtId="165" fontId="29" fillId="0" borderId="0" xfId="0" applyNumberFormat="1" applyFont="1" applyProtection="1">
      <protection hidden="1"/>
    </xf>
    <xf numFmtId="0" fontId="24" fillId="0" borderId="9" xfId="0" applyFont="1" applyBorder="1" applyAlignment="1" applyProtection="1">
      <alignment horizontal="center" vertical="center"/>
      <protection hidden="1"/>
    </xf>
    <xf numFmtId="0" fontId="12" fillId="0" borderId="9" xfId="0" applyFont="1" applyBorder="1" applyAlignment="1" applyProtection="1">
      <alignment horizontal="center" vertical="center"/>
      <protection hidden="1"/>
    </xf>
    <xf numFmtId="0" fontId="12" fillId="0" borderId="10" xfId="0" applyFont="1" applyBorder="1" applyAlignment="1" applyProtection="1">
      <alignment horizontal="center" vertical="center"/>
      <protection hidden="1"/>
    </xf>
    <xf numFmtId="0" fontId="0" fillId="0" borderId="11" xfId="0" applyBorder="1" applyProtection="1">
      <protection hidden="1"/>
    </xf>
    <xf numFmtId="0" fontId="30" fillId="0" borderId="0" xfId="0" applyFont="1" applyAlignment="1" applyProtection="1">
      <alignment wrapText="1"/>
      <protection hidden="1"/>
    </xf>
    <xf numFmtId="0" fontId="10" fillId="0" borderId="0" xfId="0" applyFont="1" applyAlignment="1" applyProtection="1">
      <protection hidden="1"/>
    </xf>
    <xf numFmtId="165" fontId="10" fillId="0" borderId="0" xfId="0" applyNumberFormat="1" applyFont="1" applyAlignment="1" applyProtection="1">
      <protection hidden="1"/>
    </xf>
    <xf numFmtId="9" fontId="10" fillId="0" borderId="0" xfId="0" applyNumberFormat="1" applyFont="1" applyProtection="1">
      <protection hidden="1"/>
    </xf>
    <xf numFmtId="165" fontId="10" fillId="0" borderId="0" xfId="0" applyNumberFormat="1" applyFont="1" applyProtection="1">
      <protection hidden="1"/>
    </xf>
    <xf numFmtId="166" fontId="10" fillId="0" borderId="0" xfId="0" applyNumberFormat="1" applyFont="1" applyProtection="1">
      <protection hidden="1"/>
    </xf>
    <xf numFmtId="166" fontId="19" fillId="0" borderId="0" xfId="0" applyNumberFormat="1" applyFont="1" applyProtection="1">
      <protection hidden="1"/>
    </xf>
    <xf numFmtId="0" fontId="10" fillId="0" borderId="0" xfId="0" applyFont="1" applyAlignment="1" applyProtection="1">
      <alignment horizontal="left"/>
      <protection hidden="1"/>
    </xf>
    <xf numFmtId="0" fontId="0" fillId="0" borderId="0" xfId="0" applyAlignment="1" applyProtection="1">
      <protection hidden="1"/>
    </xf>
    <xf numFmtId="165" fontId="0" fillId="0" borderId="0" xfId="0" applyNumberFormat="1" applyAlignment="1" applyProtection="1">
      <protection hidden="1"/>
    </xf>
    <xf numFmtId="9" fontId="0" fillId="0" borderId="0" xfId="0" applyNumberFormat="1" applyProtection="1">
      <protection hidden="1"/>
    </xf>
    <xf numFmtId="166" fontId="31" fillId="0" borderId="0" xfId="4" applyFont="1" applyProtection="1">
      <protection hidden="1"/>
    </xf>
    <xf numFmtId="165" fontId="31" fillId="0" borderId="0" xfId="1" applyFont="1" applyProtection="1">
      <protection hidden="1"/>
    </xf>
    <xf numFmtId="0" fontId="7" fillId="0" borderId="0" xfId="0" applyFont="1" applyProtection="1">
      <protection hidden="1"/>
    </xf>
    <xf numFmtId="166" fontId="7" fillId="0" borderId="0" xfId="4" applyFont="1" applyProtection="1">
      <protection hidden="1"/>
    </xf>
    <xf numFmtId="0" fontId="20" fillId="0" borderId="0" xfId="0" applyFont="1" applyAlignment="1" applyProtection="1">
      <alignment wrapText="1"/>
      <protection locked="0"/>
    </xf>
    <xf numFmtId="0" fontId="22" fillId="0" borderId="8" xfId="0" applyFont="1" applyBorder="1" applyProtection="1">
      <protection hidden="1"/>
    </xf>
    <xf numFmtId="8" fontId="0" fillId="0" borderId="0" xfId="0" applyNumberFormat="1" applyProtection="1">
      <protection hidden="1"/>
    </xf>
    <xf numFmtId="0" fontId="21" fillId="0" borderId="0" xfId="6"/>
    <xf numFmtId="177" fontId="21" fillId="0" borderId="0" xfId="6" applyNumberFormat="1"/>
    <xf numFmtId="8" fontId="21" fillId="0" borderId="0" xfId="6" applyNumberFormat="1"/>
    <xf numFmtId="0" fontId="19" fillId="0" borderId="0" xfId="0" applyNumberFormat="1" applyFont="1" applyProtection="1">
      <protection hidden="1"/>
    </xf>
    <xf numFmtId="0" fontId="23" fillId="0" borderId="4" xfId="0" applyFont="1" applyBorder="1" applyProtection="1">
      <protection hidden="1"/>
    </xf>
    <xf numFmtId="2" fontId="35" fillId="5" borderId="5" xfId="0" applyNumberFormat="1" applyFont="1" applyFill="1" applyBorder="1" applyProtection="1">
      <protection hidden="1"/>
    </xf>
    <xf numFmtId="0" fontId="34" fillId="0" borderId="6" xfId="0" applyFont="1" applyBorder="1" applyProtection="1">
      <protection hidden="1"/>
    </xf>
    <xf numFmtId="0" fontId="37" fillId="0" borderId="4" xfId="0" applyFont="1" applyBorder="1" applyProtection="1">
      <protection hidden="1"/>
    </xf>
    <xf numFmtId="178" fontId="38" fillId="0" borderId="3" xfId="0" applyNumberFormat="1" applyFont="1" applyBorder="1" applyProtection="1">
      <protection hidden="1"/>
    </xf>
    <xf numFmtId="178" fontId="38" fillId="0" borderId="12" xfId="0" applyNumberFormat="1" applyFont="1" applyBorder="1" applyProtection="1">
      <protection hidden="1"/>
    </xf>
    <xf numFmtId="0" fontId="0" fillId="0" borderId="0" xfId="0" applyNumberFormat="1" applyProtection="1">
      <protection hidden="1"/>
    </xf>
    <xf numFmtId="164" fontId="35" fillId="4" borderId="6" xfId="0" applyNumberFormat="1" applyFont="1" applyFill="1" applyBorder="1" applyProtection="1">
      <protection hidden="1"/>
    </xf>
    <xf numFmtId="0" fontId="40" fillId="0" borderId="0" xfId="0" applyFont="1" applyProtection="1">
      <protection hidden="1"/>
    </xf>
    <xf numFmtId="0" fontId="41" fillId="0" borderId="0" xfId="0" applyFont="1" applyAlignment="1" applyProtection="1">
      <alignment wrapText="1"/>
      <protection hidden="1"/>
    </xf>
    <xf numFmtId="0" fontId="7" fillId="0" borderId="0" xfId="0" applyFont="1" applyAlignment="1" applyProtection="1">
      <alignment horizontal="center"/>
      <protection hidden="1"/>
    </xf>
    <xf numFmtId="0" fontId="42" fillId="0" borderId="0" xfId="0" applyFont="1" applyProtection="1">
      <protection hidden="1"/>
    </xf>
    <xf numFmtId="167" fontId="43" fillId="5" borderId="1" xfId="1" applyNumberFormat="1" applyFont="1" applyFill="1" applyBorder="1" applyProtection="1">
      <protection hidden="1"/>
    </xf>
    <xf numFmtId="0" fontId="0" fillId="0" borderId="8" xfId="0" applyBorder="1" applyProtection="1">
      <protection hidden="1"/>
    </xf>
    <xf numFmtId="0" fontId="25" fillId="0" borderId="15" xfId="0" applyFont="1" applyFill="1" applyBorder="1" applyAlignment="1">
      <alignment horizontal="center"/>
    </xf>
    <xf numFmtId="0" fontId="25" fillId="0" borderId="16" xfId="0" applyFont="1" applyFill="1" applyBorder="1" applyAlignment="1">
      <alignment horizontal="center"/>
    </xf>
    <xf numFmtId="0" fontId="7" fillId="0" borderId="13" xfId="0" applyFont="1" applyBorder="1" applyAlignment="1" applyProtection="1">
      <alignment horizontal="center"/>
      <protection hidden="1"/>
    </xf>
    <xf numFmtId="0" fontId="7" fillId="0" borderId="11" xfId="0" applyFont="1" applyBorder="1" applyAlignment="1" applyProtection="1">
      <alignment horizontal="center"/>
      <protection hidden="1"/>
    </xf>
    <xf numFmtId="0" fontId="44" fillId="0" borderId="0" xfId="0" applyFont="1" applyProtection="1">
      <protection hidden="1"/>
    </xf>
    <xf numFmtId="165" fontId="19" fillId="0" borderId="0" xfId="1" applyFont="1" applyProtection="1">
      <protection hidden="1"/>
    </xf>
    <xf numFmtId="0" fontId="19" fillId="0" borderId="0" xfId="0" applyFont="1" applyAlignment="1" applyProtection="1">
      <alignment horizontal="center"/>
      <protection hidden="1"/>
    </xf>
    <xf numFmtId="165" fontId="45" fillId="0" borderId="0" xfId="1" applyFont="1" applyProtection="1">
      <protection hidden="1"/>
    </xf>
    <xf numFmtId="9" fontId="19" fillId="0" borderId="0" xfId="2" applyFont="1" applyProtection="1">
      <protection hidden="1"/>
    </xf>
    <xf numFmtId="10" fontId="39" fillId="0" borderId="0" xfId="2" applyNumberFormat="1" applyFont="1" applyFill="1" applyAlignment="1" applyProtection="1">
      <alignment horizontal="center" vertical="center"/>
      <protection locked="0"/>
    </xf>
    <xf numFmtId="0" fontId="5" fillId="0" borderId="0" xfId="7"/>
    <xf numFmtId="0" fontId="5" fillId="0" borderId="17" xfId="7" applyBorder="1" applyAlignment="1">
      <alignment horizontal="center"/>
    </xf>
    <xf numFmtId="0" fontId="5" fillId="0" borderId="0" xfId="7" applyAlignment="1">
      <alignment horizontal="center"/>
    </xf>
    <xf numFmtId="0" fontId="5" fillId="0" borderId="17" xfId="7" applyBorder="1"/>
    <xf numFmtId="42" fontId="0" fillId="0" borderId="17" xfId="8" applyFont="1" applyBorder="1"/>
    <xf numFmtId="179" fontId="5" fillId="0" borderId="17" xfId="7" applyNumberFormat="1" applyBorder="1"/>
    <xf numFmtId="179" fontId="5" fillId="0" borderId="0" xfId="7" applyNumberFormat="1"/>
    <xf numFmtId="179" fontId="5" fillId="0" borderId="17" xfId="7" applyNumberFormat="1" applyFill="1" applyBorder="1"/>
    <xf numFmtId="42" fontId="7" fillId="0" borderId="17" xfId="8" applyFont="1" applyBorder="1"/>
    <xf numFmtId="179" fontId="22" fillId="0" borderId="17" xfId="7" applyNumberFormat="1" applyFont="1" applyBorder="1"/>
    <xf numFmtId="0" fontId="22" fillId="0" borderId="17" xfId="7" applyFont="1" applyBorder="1"/>
    <xf numFmtId="0" fontId="52" fillId="0" borderId="0" xfId="0" applyFont="1" applyAlignment="1" applyProtection="1">
      <alignment wrapText="1"/>
      <protection hidden="1"/>
    </xf>
    <xf numFmtId="0" fontId="52" fillId="0" borderId="0" xfId="0" applyFont="1" applyAlignment="1" applyProtection="1">
      <alignment vertical="center" wrapText="1"/>
      <protection hidden="1"/>
    </xf>
    <xf numFmtId="0" fontId="53" fillId="2" borderId="0" xfId="0" applyFont="1" applyFill="1" applyAlignment="1" applyProtection="1">
      <alignment wrapText="1"/>
      <protection hidden="1"/>
    </xf>
    <xf numFmtId="9" fontId="10" fillId="0" borderId="0" xfId="2" applyFont="1" applyAlignment="1" applyProtection="1">
      <alignment horizontal="center"/>
      <protection hidden="1"/>
    </xf>
    <xf numFmtId="165" fontId="10" fillId="0" borderId="0" xfId="1" applyFont="1" applyProtection="1">
      <protection hidden="1"/>
    </xf>
    <xf numFmtId="0" fontId="49" fillId="0" borderId="4" xfId="0" applyFont="1" applyFill="1" applyBorder="1" applyProtection="1">
      <protection hidden="1"/>
    </xf>
    <xf numFmtId="0" fontId="53" fillId="0" borderId="5" xfId="0" applyFont="1" applyFill="1" applyBorder="1" applyAlignment="1" applyProtection="1">
      <alignment horizontal="center"/>
      <protection hidden="1"/>
    </xf>
    <xf numFmtId="0" fontId="53" fillId="0" borderId="6" xfId="0" applyFont="1" applyFill="1" applyBorder="1" applyAlignment="1" applyProtection="1">
      <alignment horizontal="center"/>
      <protection hidden="1"/>
    </xf>
    <xf numFmtId="0" fontId="11" fillId="0" borderId="4" xfId="0" applyFont="1" applyBorder="1" applyProtection="1">
      <protection hidden="1"/>
    </xf>
    <xf numFmtId="0" fontId="10" fillId="0" borderId="5" xfId="0" applyFont="1" applyBorder="1" applyProtection="1">
      <protection hidden="1"/>
    </xf>
    <xf numFmtId="0" fontId="10" fillId="0" borderId="6" xfId="0" applyFont="1" applyBorder="1" applyProtection="1">
      <protection hidden="1"/>
    </xf>
    <xf numFmtId="165" fontId="11" fillId="0" borderId="0" xfId="0" applyNumberFormat="1" applyFont="1" applyProtection="1">
      <protection hidden="1"/>
    </xf>
    <xf numFmtId="168" fontId="10" fillId="0" borderId="0" xfId="0" applyNumberFormat="1" applyFont="1" applyProtection="1">
      <protection hidden="1"/>
    </xf>
    <xf numFmtId="0" fontId="52" fillId="0" borderId="0" xfId="0" applyFont="1" applyAlignment="1" applyProtection="1">
      <alignment vertical="center"/>
      <protection hidden="1"/>
    </xf>
    <xf numFmtId="170" fontId="10" fillId="0" borderId="0" xfId="0" applyNumberFormat="1" applyFont="1" applyProtection="1">
      <protection hidden="1"/>
    </xf>
    <xf numFmtId="0" fontId="55" fillId="0" borderId="0" xfId="0" applyFont="1" applyProtection="1">
      <protection hidden="1"/>
    </xf>
    <xf numFmtId="0" fontId="56" fillId="0" borderId="0" xfId="0" applyFont="1" applyAlignment="1" applyProtection="1">
      <alignment horizontal="center"/>
      <protection hidden="1"/>
    </xf>
    <xf numFmtId="0" fontId="56" fillId="0" borderId="0" xfId="0" applyFont="1" applyProtection="1">
      <protection hidden="1"/>
    </xf>
    <xf numFmtId="0" fontId="26" fillId="0" borderId="0" xfId="0" applyFont="1" applyProtection="1">
      <protection hidden="1"/>
    </xf>
    <xf numFmtId="0" fontId="5" fillId="0" borderId="17" xfId="7" applyBorder="1" applyAlignment="1">
      <alignment horizontal="center"/>
    </xf>
    <xf numFmtId="0" fontId="57" fillId="0" borderId="21" xfId="0" applyFont="1" applyBorder="1" applyAlignment="1">
      <alignment vertical="center" wrapText="1"/>
    </xf>
    <xf numFmtId="42" fontId="5" fillId="0" borderId="17" xfId="9" applyFont="1" applyBorder="1"/>
    <xf numFmtId="42" fontId="5" fillId="0" borderId="22" xfId="9" applyFont="1" applyBorder="1"/>
    <xf numFmtId="0" fontId="3" fillId="0" borderId="17" xfId="7" applyFont="1" applyBorder="1"/>
    <xf numFmtId="0" fontId="22" fillId="0" borderId="17" xfId="7" applyFont="1" applyBorder="1" applyAlignment="1">
      <alignment horizontal="center"/>
    </xf>
    <xf numFmtId="0" fontId="2" fillId="0" borderId="17" xfId="7" applyFont="1" applyBorder="1"/>
    <xf numFmtId="0" fontId="2" fillId="0" borderId="17" xfId="7" applyFont="1" applyBorder="1" applyAlignment="1">
      <alignment horizontal="center"/>
    </xf>
    <xf numFmtId="0" fontId="27" fillId="6" borderId="0" xfId="0" applyFont="1" applyFill="1" applyAlignment="1" applyProtection="1">
      <alignment vertical="center"/>
      <protection locked="0"/>
    </xf>
    <xf numFmtId="165" fontId="27" fillId="6" borderId="0" xfId="1" applyFont="1" applyFill="1" applyAlignment="1" applyProtection="1">
      <alignment vertical="center"/>
      <protection locked="0"/>
    </xf>
    <xf numFmtId="168" fontId="10" fillId="0" borderId="0" xfId="1" applyNumberFormat="1" applyFont="1" applyAlignment="1" applyProtection="1">
      <alignment vertical="center"/>
      <protection hidden="1"/>
    </xf>
    <xf numFmtId="0" fontId="27" fillId="3" borderId="0" xfId="0" applyFont="1" applyFill="1" applyAlignment="1" applyProtection="1">
      <alignment vertical="center"/>
      <protection locked="0"/>
    </xf>
    <xf numFmtId="166" fontId="27" fillId="3" borderId="0" xfId="4" applyFont="1" applyFill="1" applyAlignment="1" applyProtection="1">
      <alignment vertical="center"/>
      <protection locked="0"/>
    </xf>
    <xf numFmtId="165" fontId="27" fillId="3" borderId="0" xfId="1" applyFont="1" applyFill="1" applyAlignment="1" applyProtection="1">
      <alignment vertical="center"/>
      <protection locked="0"/>
    </xf>
    <xf numFmtId="0" fontId="10" fillId="0" borderId="0" xfId="0" applyFont="1" applyAlignment="1" applyProtection="1">
      <alignment vertical="center"/>
      <protection hidden="1"/>
    </xf>
    <xf numFmtId="168" fontId="10" fillId="8" borderId="0" xfId="1" applyNumberFormat="1" applyFont="1" applyFill="1" applyAlignment="1" applyProtection="1">
      <alignment vertical="center"/>
      <protection hidden="1"/>
    </xf>
    <xf numFmtId="168" fontId="11" fillId="7" borderId="0" xfId="0" applyNumberFormat="1" applyFont="1" applyFill="1" applyAlignment="1" applyProtection="1">
      <alignment vertical="center"/>
      <protection hidden="1"/>
    </xf>
    <xf numFmtId="0" fontId="50" fillId="4" borderId="0" xfId="0" applyFont="1" applyFill="1" applyAlignment="1" applyProtection="1">
      <alignment vertical="center" wrapText="1"/>
      <protection hidden="1"/>
    </xf>
    <xf numFmtId="0" fontId="50" fillId="4" borderId="0" xfId="0" applyFont="1" applyFill="1" applyAlignment="1" applyProtection="1">
      <alignment horizontal="right" vertical="center" wrapText="1"/>
      <protection hidden="1"/>
    </xf>
    <xf numFmtId="0" fontId="5" fillId="0" borderId="17" xfId="7" applyBorder="1" applyAlignment="1">
      <alignment horizontal="center"/>
    </xf>
    <xf numFmtId="0" fontId="22" fillId="0" borderId="17" xfId="7" applyFont="1" applyBorder="1" applyAlignment="1">
      <alignment horizontal="center"/>
    </xf>
    <xf numFmtId="165" fontId="27" fillId="6" borderId="0" xfId="1" applyFont="1" applyFill="1" applyProtection="1">
      <protection locked="0"/>
    </xf>
    <xf numFmtId="174" fontId="27" fillId="6" borderId="0" xfId="4" applyNumberFormat="1" applyFont="1" applyFill="1" applyAlignment="1" applyProtection="1">
      <alignment vertical="center"/>
      <protection locked="0"/>
    </xf>
    <xf numFmtId="0" fontId="11" fillId="0" borderId="0" xfId="0" applyFont="1" applyAlignment="1" applyProtection="1">
      <alignment horizontal="right" vertical="center"/>
      <protection hidden="1"/>
    </xf>
    <xf numFmtId="169" fontId="27" fillId="6" borderId="0" xfId="2" applyNumberFormat="1" applyFont="1" applyFill="1" applyProtection="1">
      <protection locked="0"/>
    </xf>
    <xf numFmtId="0" fontId="51" fillId="6" borderId="0" xfId="0" applyFont="1" applyFill="1" applyProtection="1">
      <protection hidden="1"/>
    </xf>
    <xf numFmtId="9" fontId="10" fillId="4" borderId="0" xfId="2" applyFont="1" applyFill="1" applyAlignment="1" applyProtection="1">
      <alignment horizontal="center"/>
      <protection hidden="1"/>
    </xf>
    <xf numFmtId="0" fontId="59" fillId="0" borderId="0" xfId="0" applyFont="1" applyFill="1" applyAlignment="1" applyProtection="1">
      <alignment horizontal="right"/>
      <protection hidden="1"/>
    </xf>
    <xf numFmtId="169" fontId="60" fillId="6" borderId="0" xfId="2" applyNumberFormat="1" applyFont="1" applyFill="1" applyBorder="1" applyProtection="1">
      <protection locked="0"/>
    </xf>
    <xf numFmtId="169" fontId="60" fillId="6" borderId="14" xfId="2" applyNumberFormat="1" applyFont="1" applyFill="1" applyBorder="1" applyProtection="1">
      <protection locked="0"/>
    </xf>
    <xf numFmtId="169" fontId="60" fillId="6" borderId="3" xfId="2" applyNumberFormat="1" applyFont="1" applyFill="1" applyBorder="1" applyProtection="1">
      <protection locked="0"/>
    </xf>
    <xf numFmtId="169" fontId="60" fillId="6" borderId="12" xfId="2" applyNumberFormat="1" applyFont="1" applyFill="1" applyBorder="1" applyProtection="1">
      <protection locked="0"/>
    </xf>
    <xf numFmtId="0" fontId="11" fillId="0" borderId="13" xfId="0" applyFont="1" applyBorder="1" applyAlignment="1" applyProtection="1">
      <alignment wrapText="1"/>
      <protection hidden="1"/>
    </xf>
    <xf numFmtId="0" fontId="11" fillId="0" borderId="11" xfId="0" applyFont="1" applyBorder="1" applyProtection="1">
      <protection hidden="1"/>
    </xf>
    <xf numFmtId="169" fontId="60" fillId="6" borderId="5" xfId="2" applyNumberFormat="1" applyFont="1" applyFill="1" applyBorder="1" applyProtection="1">
      <protection locked="0"/>
    </xf>
    <xf numFmtId="0" fontId="60" fillId="6" borderId="0" xfId="0" applyFont="1" applyFill="1" applyProtection="1">
      <protection locked="0"/>
    </xf>
    <xf numFmtId="0" fontId="1" fillId="0" borderId="17" xfId="7" applyFont="1" applyBorder="1"/>
    <xf numFmtId="0" fontId="1" fillId="0" borderId="17" xfId="7" applyFont="1" applyBorder="1" applyAlignment="1">
      <alignment horizontal="center"/>
    </xf>
    <xf numFmtId="42" fontId="5" fillId="0" borderId="23" xfId="9" applyFont="1" applyBorder="1"/>
    <xf numFmtId="42" fontId="22" fillId="0" borderId="17" xfId="7" applyNumberFormat="1" applyFont="1" applyBorder="1"/>
    <xf numFmtId="176" fontId="27" fillId="6" borderId="0" xfId="4" applyNumberFormat="1" applyFont="1" applyFill="1" applyAlignment="1" applyProtection="1">
      <alignment horizontal="center"/>
      <protection locked="0"/>
    </xf>
    <xf numFmtId="0" fontId="19" fillId="6" borderId="0" xfId="0" applyFont="1" applyFill="1" applyProtection="1">
      <protection locked="0" hidden="1"/>
    </xf>
    <xf numFmtId="165" fontId="27" fillId="6" borderId="0" xfId="1" applyFont="1" applyFill="1" applyAlignment="1" applyProtection="1">
      <alignment horizontal="center"/>
      <protection locked="0"/>
    </xf>
    <xf numFmtId="180" fontId="10" fillId="0" borderId="0" xfId="0" applyNumberFormat="1" applyFont="1" applyBorder="1"/>
    <xf numFmtId="180" fontId="10" fillId="0" borderId="14" xfId="0" applyNumberFormat="1" applyFont="1" applyBorder="1"/>
    <xf numFmtId="180" fontId="10" fillId="0" borderId="0" xfId="0" applyNumberFormat="1" applyFont="1" applyFill="1" applyBorder="1" applyProtection="1">
      <protection hidden="1"/>
    </xf>
    <xf numFmtId="180" fontId="10" fillId="0" borderId="14" xfId="0" applyNumberFormat="1" applyFont="1" applyFill="1" applyBorder="1" applyProtection="1">
      <protection hidden="1"/>
    </xf>
    <xf numFmtId="180" fontId="10" fillId="0" borderId="3" xfId="0" applyNumberFormat="1" applyFont="1" applyFill="1" applyBorder="1" applyProtection="1">
      <protection hidden="1"/>
    </xf>
    <xf numFmtId="180" fontId="10" fillId="0" borderId="12" xfId="0" applyNumberFormat="1" applyFont="1" applyFill="1" applyBorder="1" applyProtection="1">
      <protection hidden="1"/>
    </xf>
    <xf numFmtId="10" fontId="36" fillId="9" borderId="6" xfId="2" applyNumberFormat="1" applyFont="1" applyFill="1" applyBorder="1" applyAlignment="1" applyProtection="1">
      <alignment horizontal="center" vertical="center"/>
      <protection hidden="1"/>
    </xf>
    <xf numFmtId="168" fontId="31" fillId="0" borderId="0" xfId="1" applyNumberFormat="1" applyFont="1" applyProtection="1">
      <protection hidden="1"/>
    </xf>
    <xf numFmtId="0" fontId="33" fillId="5" borderId="0" xfId="5" applyFont="1" applyFill="1" applyAlignment="1">
      <alignment horizontal="center"/>
    </xf>
    <xf numFmtId="0" fontId="10" fillId="0" borderId="0" xfId="0" applyFont="1" applyAlignment="1" applyProtection="1">
      <alignment horizontal="center"/>
      <protection hidden="1"/>
    </xf>
    <xf numFmtId="0" fontId="49" fillId="0" borderId="0" xfId="0" applyFont="1" applyAlignment="1" applyProtection="1">
      <alignment horizontal="center" vertical="center"/>
      <protection hidden="1"/>
    </xf>
    <xf numFmtId="0" fontId="50" fillId="0" borderId="0" xfId="0" applyFont="1" applyAlignment="1" applyProtection="1">
      <alignment horizontal="center" wrapText="1"/>
      <protection hidden="1"/>
    </xf>
    <xf numFmtId="0" fontId="14" fillId="0" borderId="0" xfId="0" applyFont="1" applyFill="1" applyAlignment="1" applyProtection="1">
      <alignment horizontal="left" wrapText="1"/>
      <protection hidden="1"/>
    </xf>
    <xf numFmtId="0" fontId="8" fillId="9" borderId="8" xfId="0" applyFont="1" applyFill="1" applyBorder="1" applyAlignment="1" applyProtection="1">
      <alignment horizontal="left" wrapText="1"/>
      <protection hidden="1"/>
    </xf>
    <xf numFmtId="0" fontId="8" fillId="9" borderId="9" xfId="0" applyFont="1" applyFill="1" applyBorder="1" applyAlignment="1" applyProtection="1">
      <alignment horizontal="left" wrapText="1"/>
      <protection hidden="1"/>
    </xf>
    <xf numFmtId="0" fontId="8" fillId="9" borderId="10" xfId="0" applyFont="1" applyFill="1" applyBorder="1" applyAlignment="1" applyProtection="1">
      <alignment horizontal="left" wrapText="1"/>
      <protection hidden="1"/>
    </xf>
    <xf numFmtId="0" fontId="8" fillId="9" borderId="11" xfId="0" applyFont="1" applyFill="1" applyBorder="1" applyAlignment="1" applyProtection="1">
      <alignment horizontal="left" wrapText="1"/>
      <protection hidden="1"/>
    </xf>
    <xf numFmtId="0" fontId="8" fillId="9" borderId="3" xfId="0" applyFont="1" applyFill="1" applyBorder="1" applyAlignment="1" applyProtection="1">
      <alignment horizontal="left" wrapText="1"/>
      <protection hidden="1"/>
    </xf>
    <xf numFmtId="0" fontId="8" fillId="9" borderId="12" xfId="0" applyFont="1" applyFill="1" applyBorder="1" applyAlignment="1" applyProtection="1">
      <alignment horizontal="left" wrapText="1"/>
      <protection hidden="1"/>
    </xf>
    <xf numFmtId="0" fontId="9" fillId="0" borderId="0" xfId="0" applyFont="1" applyBorder="1" applyAlignment="1" applyProtection="1">
      <alignment horizontal="center"/>
      <protection hidden="1"/>
    </xf>
    <xf numFmtId="0" fontId="0" fillId="0" borderId="0" xfId="0" applyAlignment="1" applyProtection="1">
      <alignment horizontal="center"/>
      <protection hidden="1"/>
    </xf>
    <xf numFmtId="10" fontId="27" fillId="6" borderId="0" xfId="2" applyNumberFormat="1" applyFont="1" applyFill="1" applyAlignment="1" applyProtection="1">
      <alignment horizontal="center"/>
      <protection locked="0"/>
    </xf>
    <xf numFmtId="0" fontId="14" fillId="0" borderId="0" xfId="0" applyFont="1" applyAlignment="1" applyProtection="1">
      <alignment horizontal="center" vertical="center"/>
      <protection hidden="1"/>
    </xf>
    <xf numFmtId="0" fontId="46" fillId="0" borderId="0" xfId="0" applyFont="1" applyAlignment="1" applyProtection="1">
      <alignment horizontal="left"/>
      <protection hidden="1"/>
    </xf>
    <xf numFmtId="0" fontId="13" fillId="0" borderId="0" xfId="0" applyFont="1" applyAlignment="1" applyProtection="1">
      <alignment horizontal="left" wrapText="1"/>
      <protection hidden="1"/>
    </xf>
    <xf numFmtId="0" fontId="8" fillId="0" borderId="0" xfId="0" applyFont="1" applyAlignment="1" applyProtection="1">
      <alignment horizontal="left"/>
      <protection hidden="1"/>
    </xf>
    <xf numFmtId="0" fontId="13" fillId="0" borderId="0" xfId="0" applyFont="1" applyAlignment="1" applyProtection="1">
      <alignment wrapText="1"/>
      <protection hidden="1"/>
    </xf>
    <xf numFmtId="10" fontId="39" fillId="6" borderId="0" xfId="2" applyNumberFormat="1" applyFont="1" applyFill="1" applyAlignment="1" applyProtection="1">
      <alignment horizontal="center" vertical="center"/>
      <protection locked="0"/>
    </xf>
    <xf numFmtId="0" fontId="14" fillId="4" borderId="0" xfId="0" applyFont="1" applyFill="1" applyAlignment="1" applyProtection="1">
      <alignment horizontal="center"/>
      <protection hidden="1"/>
    </xf>
    <xf numFmtId="0" fontId="5" fillId="0" borderId="17" xfId="7" applyBorder="1" applyAlignment="1">
      <alignment horizontal="center"/>
    </xf>
    <xf numFmtId="0" fontId="5" fillId="0" borderId="18" xfId="7" applyBorder="1" applyAlignment="1">
      <alignment horizontal="center"/>
    </xf>
    <xf numFmtId="0" fontId="5" fillId="0" borderId="19" xfId="7" applyBorder="1" applyAlignment="1">
      <alignment horizontal="center"/>
    </xf>
    <xf numFmtId="0" fontId="5" fillId="0" borderId="20" xfId="7" applyBorder="1" applyAlignment="1">
      <alignment horizontal="center"/>
    </xf>
    <xf numFmtId="0" fontId="2" fillId="0" borderId="18" xfId="7" applyFont="1" applyBorder="1" applyAlignment="1">
      <alignment horizontal="center"/>
    </xf>
    <xf numFmtId="0" fontId="2" fillId="0" borderId="19" xfId="7" applyFont="1" applyBorder="1" applyAlignment="1">
      <alignment horizontal="center"/>
    </xf>
    <xf numFmtId="0" fontId="2" fillId="0" borderId="20" xfId="7" applyFont="1" applyBorder="1" applyAlignment="1">
      <alignment horizontal="center"/>
    </xf>
    <xf numFmtId="0" fontId="4" fillId="0" borderId="17" xfId="7" applyFont="1" applyBorder="1" applyAlignment="1">
      <alignment horizontal="center" wrapText="1"/>
    </xf>
    <xf numFmtId="0" fontId="5" fillId="0" borderId="17" xfId="7" applyBorder="1" applyAlignment="1">
      <alignment horizontal="center" wrapText="1"/>
    </xf>
    <xf numFmtId="0" fontId="4" fillId="0" borderId="17" xfId="7" applyFont="1" applyBorder="1" applyAlignment="1">
      <alignment horizontal="center"/>
    </xf>
    <xf numFmtId="0" fontId="5" fillId="0" borderId="23" xfId="7" applyBorder="1" applyAlignment="1">
      <alignment horizontal="center"/>
    </xf>
    <xf numFmtId="0" fontId="22" fillId="0" borderId="17" xfId="7" applyFont="1" applyBorder="1" applyAlignment="1">
      <alignment horizontal="center"/>
    </xf>
    <xf numFmtId="0" fontId="4" fillId="0" borderId="22" xfId="7" applyFont="1" applyBorder="1" applyAlignment="1">
      <alignment horizontal="center" wrapText="1"/>
    </xf>
    <xf numFmtId="0" fontId="5" fillId="0" borderId="22" xfId="7" applyBorder="1" applyAlignment="1">
      <alignment horizontal="center" wrapText="1"/>
    </xf>
    <xf numFmtId="0" fontId="61" fillId="0" borderId="0" xfId="0" applyFont="1" applyFill="1" applyProtection="1">
      <protection hidden="1"/>
    </xf>
    <xf numFmtId="0" fontId="63" fillId="0" borderId="0" xfId="0" applyFont="1" applyFill="1" applyAlignment="1" applyProtection="1">
      <alignment horizontal="center" vertical="center"/>
      <protection hidden="1"/>
    </xf>
    <xf numFmtId="0" fontId="63" fillId="0" borderId="0" xfId="0" applyFont="1" applyFill="1" applyAlignment="1" applyProtection="1">
      <alignment horizontal="center" vertical="center"/>
      <protection hidden="1"/>
    </xf>
    <xf numFmtId="0" fontId="62" fillId="0" borderId="0" xfId="0" applyFont="1" applyFill="1" applyAlignment="1" applyProtection="1">
      <alignment horizontal="center"/>
      <protection hidden="1"/>
    </xf>
    <xf numFmtId="165" fontId="61" fillId="0" borderId="0" xfId="0" applyNumberFormat="1" applyFont="1" applyFill="1" applyProtection="1">
      <protection hidden="1"/>
    </xf>
    <xf numFmtId="0" fontId="63" fillId="0" borderId="24" xfId="0" applyFont="1" applyFill="1" applyBorder="1" applyAlignment="1" applyProtection="1">
      <alignment horizontal="center" vertical="center"/>
      <protection hidden="1"/>
    </xf>
    <xf numFmtId="0" fontId="62" fillId="0" borderId="19" xfId="0" applyFont="1" applyFill="1" applyBorder="1" applyAlignment="1" applyProtection="1">
      <alignment horizontal="center"/>
      <protection hidden="1"/>
    </xf>
    <xf numFmtId="0" fontId="64" fillId="0" borderId="0" xfId="0" applyFont="1" applyFill="1" applyProtection="1">
      <protection hidden="1"/>
    </xf>
    <xf numFmtId="0" fontId="64" fillId="0" borderId="0" xfId="0" applyFont="1" applyFill="1" applyAlignment="1" applyProtection="1">
      <alignment horizontal="center" vertical="center"/>
      <protection hidden="1"/>
    </xf>
    <xf numFmtId="167" fontId="64" fillId="0" borderId="0" xfId="1" applyNumberFormat="1" applyFont="1" applyFill="1" applyProtection="1">
      <protection hidden="1"/>
    </xf>
    <xf numFmtId="0" fontId="62" fillId="0" borderId="1" xfId="0" applyFont="1" applyFill="1" applyBorder="1" applyProtection="1">
      <protection hidden="1"/>
    </xf>
    <xf numFmtId="167" fontId="64" fillId="0" borderId="1" xfId="0" applyNumberFormat="1" applyFont="1" applyFill="1" applyBorder="1" applyProtection="1">
      <protection hidden="1"/>
    </xf>
    <xf numFmtId="173" fontId="64" fillId="0" borderId="1" xfId="0" applyNumberFormat="1" applyFont="1" applyFill="1" applyBorder="1" applyProtection="1">
      <protection hidden="1"/>
    </xf>
    <xf numFmtId="173" fontId="64" fillId="0" borderId="0" xfId="0" applyNumberFormat="1" applyFont="1" applyFill="1" applyProtection="1">
      <protection hidden="1"/>
    </xf>
    <xf numFmtId="0" fontId="62" fillId="0" borderId="2" xfId="0" applyFont="1" applyFill="1" applyBorder="1" applyProtection="1">
      <protection hidden="1"/>
    </xf>
    <xf numFmtId="173" fontId="62" fillId="0" borderId="2" xfId="0" applyNumberFormat="1" applyFont="1" applyFill="1" applyBorder="1" applyProtection="1">
      <protection hidden="1"/>
    </xf>
    <xf numFmtId="165" fontId="64" fillId="0" borderId="0" xfId="0" applyNumberFormat="1" applyFont="1" applyFill="1" applyProtection="1">
      <protection hidden="1"/>
    </xf>
    <xf numFmtId="165" fontId="62" fillId="0" borderId="1" xfId="0" applyNumberFormat="1" applyFont="1" applyFill="1" applyBorder="1" applyProtection="1">
      <protection hidden="1"/>
    </xf>
    <xf numFmtId="165" fontId="64" fillId="0" borderId="0" xfId="1" applyFont="1" applyFill="1" applyProtection="1">
      <protection hidden="1"/>
    </xf>
    <xf numFmtId="0" fontId="64" fillId="0" borderId="25" xfId="0" applyFont="1" applyFill="1" applyBorder="1" applyProtection="1">
      <protection hidden="1"/>
    </xf>
    <xf numFmtId="165" fontId="64" fillId="0" borderId="25" xfId="0" applyNumberFormat="1" applyFont="1" applyFill="1" applyBorder="1" applyProtection="1">
      <protection hidden="1"/>
    </xf>
    <xf numFmtId="174" fontId="64" fillId="0" borderId="0" xfId="3" applyNumberFormat="1" applyFont="1" applyFill="1" applyBorder="1" applyProtection="1">
      <protection hidden="1"/>
    </xf>
    <xf numFmtId="0" fontId="65" fillId="0" borderId="0" xfId="0" applyFont="1" applyFill="1" applyBorder="1" applyProtection="1">
      <protection hidden="1"/>
    </xf>
    <xf numFmtId="172" fontId="64" fillId="0" borderId="7" xfId="1" applyNumberFormat="1" applyFont="1" applyFill="1" applyBorder="1" applyProtection="1">
      <protection hidden="1"/>
    </xf>
    <xf numFmtId="0" fontId="66" fillId="0" borderId="0" xfId="0" applyFont="1" applyFill="1" applyBorder="1" applyProtection="1">
      <protection hidden="1"/>
    </xf>
    <xf numFmtId="172" fontId="66" fillId="0" borderId="1" xfId="1" applyNumberFormat="1" applyFont="1" applyFill="1" applyBorder="1" applyProtection="1">
      <protection hidden="1"/>
    </xf>
    <xf numFmtId="175" fontId="64" fillId="0" borderId="7" xfId="1" applyNumberFormat="1" applyFont="1" applyFill="1" applyBorder="1" applyProtection="1">
      <protection hidden="1"/>
    </xf>
    <xf numFmtId="0" fontId="62" fillId="0" borderId="0" xfId="0" applyFont="1" applyFill="1" applyBorder="1" applyAlignment="1" applyProtection="1">
      <alignment horizontal="center"/>
      <protection hidden="1"/>
    </xf>
    <xf numFmtId="0" fontId="64" fillId="0" borderId="0" xfId="0" applyFont="1" applyFill="1" applyBorder="1" applyAlignment="1" applyProtection="1">
      <alignment horizontal="center" vertical="center"/>
      <protection hidden="1"/>
    </xf>
    <xf numFmtId="172" fontId="64" fillId="0" borderId="0" xfId="1" applyNumberFormat="1" applyFont="1" applyFill="1" applyBorder="1" applyProtection="1">
      <protection hidden="1"/>
    </xf>
    <xf numFmtId="172" fontId="66" fillId="0" borderId="0" xfId="1" applyNumberFormat="1" applyFont="1" applyFill="1" applyBorder="1" applyProtection="1">
      <protection hidden="1"/>
    </xf>
    <xf numFmtId="174" fontId="65" fillId="0" borderId="0" xfId="3" applyNumberFormat="1" applyFont="1" applyFill="1" applyBorder="1" applyProtection="1">
      <protection hidden="1"/>
    </xf>
    <xf numFmtId="0" fontId="64" fillId="0" borderId="0" xfId="0" applyFont="1" applyFill="1" applyBorder="1" applyProtection="1">
      <protection hidden="1"/>
    </xf>
    <xf numFmtId="175" fontId="64" fillId="0" borderId="0" xfId="1" applyNumberFormat="1" applyFont="1" applyFill="1" applyBorder="1" applyProtection="1">
      <protection hidden="1"/>
    </xf>
    <xf numFmtId="0" fontId="66" fillId="0" borderId="24" xfId="0" applyFont="1" applyFill="1" applyBorder="1" applyProtection="1">
      <protection hidden="1"/>
    </xf>
    <xf numFmtId="0" fontId="64" fillId="0" borderId="24" xfId="0" applyFont="1" applyFill="1" applyBorder="1" applyProtection="1">
      <protection hidden="1"/>
    </xf>
    <xf numFmtId="172" fontId="66" fillId="0" borderId="19" xfId="1" applyNumberFormat="1" applyFont="1" applyFill="1" applyBorder="1" applyProtection="1">
      <protection hidden="1"/>
    </xf>
  </cellXfs>
  <cellStyles count="10">
    <cellStyle name="Hipervínculo" xfId="5" builtinId="8"/>
    <cellStyle name="Millares" xfId="4" builtinId="3"/>
    <cellStyle name="Millares_Modelo Financiero ACME Final 2" xfId="3" xr:uid="{00000000-0005-0000-0000-000002000000}"/>
    <cellStyle name="Moneda" xfId="1" builtinId="4"/>
    <cellStyle name="Moneda [0]" xfId="9" builtinId="7"/>
    <cellStyle name="Moneda [0] 2" xfId="8" xr:uid="{57418E8A-1D8D-0149-A2EF-68155211F675}"/>
    <cellStyle name="Normal" xfId="0" builtinId="0"/>
    <cellStyle name="Normal 2" xfId="6" xr:uid="{00000000-0005-0000-0000-000005000000}"/>
    <cellStyle name="Normal 3" xfId="7" xr:uid="{886CB7B3-E3FF-7246-89C7-6AD1B7A933DF}"/>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18712012899643032"/>
          <c:y val="4.6935091776695567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304.00711830004076</c:v>
                </c:pt>
                <c:pt idx="2">
                  <c:v>608.01423660008152</c:v>
                </c:pt>
              </c:numCache>
            </c:numRef>
          </c:cat>
          <c:val>
            <c:numRef>
              <c:f>'5'!$C$33:$C$35</c:f>
              <c:numCache>
                <c:formatCode>_("$"\ * #,##0.00_);_("$"\ * \(#,##0.00\);_("$"\ * "-"??_);_(@_)</c:formatCode>
                <c:ptCount val="3"/>
                <c:pt idx="0">
                  <c:v>104448952</c:v>
                </c:pt>
                <c:pt idx="1">
                  <c:v>104448952</c:v>
                </c:pt>
                <c:pt idx="2">
                  <c:v>104448952</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304.00711830004076</c:v>
                </c:pt>
                <c:pt idx="2">
                  <c:v>608.01423660008152</c:v>
                </c:pt>
              </c:numCache>
            </c:numRef>
          </c:cat>
          <c:val>
            <c:numRef>
              <c:f>'5'!$D$33:$D$35</c:f>
              <c:numCache>
                <c:formatCode>_("$"\ * #,##0.00_);_("$"\ * \(#,##0.00\);_("$"\ * "-"??_);_(@_)</c:formatCode>
                <c:ptCount val="3"/>
                <c:pt idx="0" formatCode="General">
                  <c:v>0</c:v>
                </c:pt>
                <c:pt idx="1">
                  <c:v>106426119.24905087</c:v>
                </c:pt>
                <c:pt idx="2">
                  <c:v>212852238.49810171</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304.00711830004076</c:v>
                </c:pt>
                <c:pt idx="2">
                  <c:v>608.01423660008152</c:v>
                </c:pt>
              </c:numCache>
            </c:numRef>
          </c:cat>
          <c:val>
            <c:numRef>
              <c:f>'5'!$F$33:$F$35</c:f>
              <c:numCache>
                <c:formatCode>_("$"\ * #,##0.00_);_("$"\ * \(#,##0.00\);_("$"\ * "-"??_);_(@_)</c:formatCode>
                <c:ptCount val="3"/>
                <c:pt idx="0">
                  <c:v>104448952</c:v>
                </c:pt>
                <c:pt idx="1">
                  <c:v>106426119.24905087</c:v>
                </c:pt>
                <c:pt idx="2">
                  <c:v>108403286.49810173</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1334237</xdr:colOff>
      <xdr:row>13</xdr:row>
      <xdr:rowOff>49214</xdr:rowOff>
    </xdr:from>
    <xdr:to>
      <xdr:col>13</xdr:col>
      <xdr:colOff>73099</xdr:colOff>
      <xdr:row>26</xdr:row>
      <xdr:rowOff>127001</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E28" sqref="E28"/>
    </sheetView>
  </sheetViews>
  <sheetFormatPr baseColWidth="10" defaultRowHeight="15" x14ac:dyDescent="0.2"/>
  <sheetData>
    <row r="23" spans="7:8" ht="20" x14ac:dyDescent="0.2">
      <c r="G23" s="164" t="s">
        <v>135</v>
      </c>
      <c r="H23" s="164"/>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88" zoomScaleNormal="88" workbookViewId="0">
      <selection sqref="A1:E1"/>
    </sheetView>
  </sheetViews>
  <sheetFormatPr baseColWidth="10" defaultColWidth="11.5" defaultRowHeight="14" x14ac:dyDescent="0.15"/>
  <cols>
    <col min="1" max="1" width="19.6640625" style="12" customWidth="1"/>
    <col min="2" max="2" width="30.33203125" style="12" customWidth="1"/>
    <col min="3" max="3" width="25" style="12" customWidth="1"/>
    <col min="4" max="4" width="30.83203125" style="12" customWidth="1"/>
    <col min="5" max="5" width="26.83203125" style="12" customWidth="1"/>
    <col min="6" max="6" width="24.6640625" style="12" customWidth="1"/>
    <col min="7" max="10" width="9.5" style="12" bestFit="1" customWidth="1"/>
    <col min="11" max="11" width="4.33203125" style="12" customWidth="1"/>
    <col min="12" max="15" width="11.5" style="12" hidden="1" customWidth="1"/>
    <col min="16" max="19" width="12" style="12" hidden="1" customWidth="1"/>
    <col min="20" max="24" width="15.5" style="12" hidden="1" customWidth="1"/>
    <col min="25" max="25" width="22.1640625" style="12" bestFit="1" customWidth="1"/>
    <col min="26" max="27" width="9.5" style="12" bestFit="1" customWidth="1"/>
    <col min="28" max="28" width="11.5" style="12" bestFit="1" customWidth="1"/>
    <col min="29" max="29" width="9.5" style="12" bestFit="1" customWidth="1"/>
    <col min="30" max="16384" width="11.5" style="12"/>
  </cols>
  <sheetData>
    <row r="1" spans="1:29" ht="30.75" customHeight="1" x14ac:dyDescent="0.2">
      <c r="A1" s="166" t="s">
        <v>5</v>
      </c>
      <c r="B1" s="166"/>
      <c r="C1" s="166"/>
      <c r="D1" s="166"/>
      <c r="E1" s="166"/>
      <c r="G1" s="167" t="s">
        <v>12</v>
      </c>
      <c r="H1" s="167"/>
      <c r="I1" s="167"/>
      <c r="J1" s="167"/>
      <c r="P1" s="12" t="s">
        <v>16</v>
      </c>
      <c r="Y1" s="138" t="s">
        <v>9</v>
      </c>
      <c r="Z1" s="148">
        <v>2022</v>
      </c>
    </row>
    <row r="2" spans="1:29" ht="20" customHeight="1" thickBot="1" x14ac:dyDescent="0.3">
      <c r="B2" s="130" t="s">
        <v>4</v>
      </c>
      <c r="C2" s="130" t="s">
        <v>0</v>
      </c>
      <c r="D2" s="130" t="s">
        <v>7</v>
      </c>
      <c r="E2" s="131" t="s">
        <v>1</v>
      </c>
      <c r="F2" s="140" t="s">
        <v>27</v>
      </c>
      <c r="G2" s="96">
        <f>'1'!Z1+1</f>
        <v>2023</v>
      </c>
      <c r="H2" s="96">
        <f>G2+1</f>
        <v>2024</v>
      </c>
      <c r="I2" s="96">
        <f t="shared" ref="I2:J2" si="0">H2+1</f>
        <v>2025</v>
      </c>
      <c r="J2" s="96">
        <f t="shared" si="0"/>
        <v>2026</v>
      </c>
      <c r="L2" s="12">
        <f>G2</f>
        <v>2023</v>
      </c>
      <c r="M2" s="12">
        <f>H2</f>
        <v>2024</v>
      </c>
      <c r="N2" s="12">
        <f>M2+1</f>
        <v>2025</v>
      </c>
      <c r="O2" s="12">
        <f>N2+1</f>
        <v>2026</v>
      </c>
      <c r="P2" s="12" t="s">
        <v>13</v>
      </c>
      <c r="Q2" s="12" t="s">
        <v>11</v>
      </c>
      <c r="R2" s="12" t="s">
        <v>23</v>
      </c>
      <c r="S2" s="12" t="s">
        <v>24</v>
      </c>
      <c r="T2" s="12" t="s">
        <v>17</v>
      </c>
      <c r="U2" s="12" t="s">
        <v>18</v>
      </c>
      <c r="V2" s="12" t="s">
        <v>25</v>
      </c>
      <c r="W2" s="12" t="s">
        <v>26</v>
      </c>
    </row>
    <row r="3" spans="1:29" ht="20" customHeight="1" thickBot="1" x14ac:dyDescent="0.3">
      <c r="A3" s="4">
        <v>1</v>
      </c>
      <c r="B3" s="121" t="s">
        <v>157</v>
      </c>
      <c r="C3" s="135">
        <f>ROUND((6*52)*60%,0)</f>
        <v>187</v>
      </c>
      <c r="D3" s="122">
        <v>280000</v>
      </c>
      <c r="E3" s="128">
        <f>C3*D3</f>
        <v>52360000</v>
      </c>
      <c r="F3" s="139">
        <f>IF($E$13=0,0,E3/$E$13)</f>
        <v>0.23122102009273571</v>
      </c>
      <c r="G3" s="137">
        <v>0.05</v>
      </c>
      <c r="H3" s="137">
        <v>7.0000000000000007E-2</v>
      </c>
      <c r="I3" s="137">
        <v>0.09</v>
      </c>
      <c r="J3" s="137">
        <v>0.11</v>
      </c>
      <c r="K3" s="5"/>
      <c r="L3" s="12">
        <f t="shared" ref="L3:L12" si="1">C3*(1+G3)</f>
        <v>196.35</v>
      </c>
      <c r="M3" s="12">
        <f>L3*(1+H3)</f>
        <v>210.09450000000001</v>
      </c>
      <c r="N3" s="12">
        <f t="shared" ref="N3:O3" si="2">M3*(1+I3)</f>
        <v>229.00300500000003</v>
      </c>
      <c r="O3" s="12">
        <f t="shared" si="2"/>
        <v>254.19333555000006</v>
      </c>
      <c r="P3" s="98">
        <f>D3*(1+'1'!$Z$4)</f>
        <v>291592</v>
      </c>
      <c r="Q3" s="98">
        <f>P3*(1+'1'!$AA$4)</f>
        <v>301797.71999999997</v>
      </c>
      <c r="R3" s="98">
        <f>Q3*(1+'1'!$AB$4)</f>
        <v>310851.65159999998</v>
      </c>
      <c r="S3" s="98">
        <f>R3*(1+'1'!$AC$4)</f>
        <v>319244.64619319997</v>
      </c>
      <c r="T3" s="41">
        <f>L3*P3</f>
        <v>57254089.199999996</v>
      </c>
      <c r="U3" s="41">
        <f>M3*Q3</f>
        <v>63406041.084539995</v>
      </c>
      <c r="V3" s="41">
        <f>N3*R3</f>
        <v>71185962.325613067</v>
      </c>
      <c r="W3" s="41">
        <f>O3*S3</f>
        <v>81149861.472329125</v>
      </c>
      <c r="X3" s="41"/>
      <c r="Y3" s="99" t="s">
        <v>10</v>
      </c>
      <c r="Z3" s="100">
        <f>G2</f>
        <v>2023</v>
      </c>
      <c r="AA3" s="100">
        <f>Z3+1</f>
        <v>2024</v>
      </c>
      <c r="AB3" s="100">
        <f t="shared" ref="AB3:AC3" si="3">AA3+1</f>
        <v>2025</v>
      </c>
      <c r="AC3" s="101">
        <f t="shared" si="3"/>
        <v>2026</v>
      </c>
    </row>
    <row r="4" spans="1:29" ht="20" customHeight="1" x14ac:dyDescent="0.2">
      <c r="A4" s="4">
        <f>A3+1</f>
        <v>2</v>
      </c>
      <c r="B4" s="121" t="s">
        <v>158</v>
      </c>
      <c r="C4" s="135">
        <f t="shared" ref="C4:C5" si="4">ROUND((6*52)*60%,0)</f>
        <v>187</v>
      </c>
      <c r="D4" s="122">
        <v>360000</v>
      </c>
      <c r="E4" s="128">
        <f t="shared" ref="E4:E12" si="5">C4*D4</f>
        <v>67320000</v>
      </c>
      <c r="F4" s="139">
        <f t="shared" ref="F4:F12" si="6">IF($E$13=0,0,E4/$E$13)</f>
        <v>0.29728416869066021</v>
      </c>
      <c r="G4" s="137">
        <v>0.05</v>
      </c>
      <c r="H4" s="137">
        <v>7.0000000000000007E-2</v>
      </c>
      <c r="I4" s="137">
        <v>0.09</v>
      </c>
      <c r="J4" s="137">
        <v>0.11</v>
      </c>
      <c r="K4" s="5"/>
      <c r="L4" s="12">
        <f t="shared" si="1"/>
        <v>196.35</v>
      </c>
      <c r="M4" s="12">
        <f t="shared" ref="M4:M12" si="7">L4*(1+H4)</f>
        <v>210.09450000000001</v>
      </c>
      <c r="N4" s="12">
        <f t="shared" ref="N4:N12" si="8">M4*(1+I4)</f>
        <v>229.00300500000003</v>
      </c>
      <c r="O4" s="12">
        <f t="shared" ref="O4:O12" si="9">N4*(1+J4)</f>
        <v>254.19333555000006</v>
      </c>
      <c r="P4" s="98">
        <f>D4*(1+'1'!$Z$4)</f>
        <v>374904.00000000006</v>
      </c>
      <c r="Q4" s="98">
        <f>P4*(1+'1'!$AA$4)</f>
        <v>388025.64</v>
      </c>
      <c r="R4" s="98">
        <f>Q4*(1+'1'!$AB$4)</f>
        <v>399666.40920000005</v>
      </c>
      <c r="S4" s="98">
        <f>R4*(1+'1'!$AC$4)</f>
        <v>410457.40224840003</v>
      </c>
      <c r="T4" s="41">
        <f t="shared" ref="T4:T12" si="10">L4*P4</f>
        <v>73612400.400000006</v>
      </c>
      <c r="U4" s="41">
        <f t="shared" ref="U4:U12" si="11">M4*Q4</f>
        <v>81522052.822980002</v>
      </c>
      <c r="V4" s="41">
        <f t="shared" ref="V4:V12" si="12">N4*R4</f>
        <v>91524808.704359666</v>
      </c>
      <c r="W4" s="41">
        <f t="shared" ref="W4:W12" si="13">O4*S4</f>
        <v>104335536.1787089</v>
      </c>
      <c r="X4" s="41"/>
      <c r="Y4" s="145" t="s">
        <v>14</v>
      </c>
      <c r="Z4" s="141">
        <v>4.1399999999999999E-2</v>
      </c>
      <c r="AA4" s="141">
        <v>3.5000000000000003E-2</v>
      </c>
      <c r="AB4" s="141">
        <v>0.03</v>
      </c>
      <c r="AC4" s="142">
        <v>2.7E-2</v>
      </c>
    </row>
    <row r="5" spans="1:29" ht="20" customHeight="1" thickBot="1" x14ac:dyDescent="0.25">
      <c r="A5" s="4">
        <f t="shared" ref="A5:A12" si="14">A4+1</f>
        <v>3</v>
      </c>
      <c r="B5" s="121" t="s">
        <v>159</v>
      </c>
      <c r="C5" s="135">
        <f t="shared" si="4"/>
        <v>187</v>
      </c>
      <c r="D5" s="122">
        <v>450000</v>
      </c>
      <c r="E5" s="128">
        <f t="shared" si="5"/>
        <v>84150000</v>
      </c>
      <c r="F5" s="139">
        <f t="shared" si="6"/>
        <v>0.37160521086332526</v>
      </c>
      <c r="G5" s="137">
        <v>0.05</v>
      </c>
      <c r="H5" s="137">
        <v>7.0000000000000007E-2</v>
      </c>
      <c r="I5" s="137">
        <v>0.09</v>
      </c>
      <c r="J5" s="137">
        <v>0.11</v>
      </c>
      <c r="K5" s="5"/>
      <c r="L5" s="12">
        <f t="shared" si="1"/>
        <v>196.35</v>
      </c>
      <c r="M5" s="12">
        <f t="shared" si="7"/>
        <v>210.09450000000001</v>
      </c>
      <c r="N5" s="12">
        <f t="shared" si="8"/>
        <v>229.00300500000003</v>
      </c>
      <c r="O5" s="12">
        <f t="shared" si="9"/>
        <v>254.19333555000006</v>
      </c>
      <c r="P5" s="98">
        <f>D5*(1+'1'!$Z$4)</f>
        <v>468630.00000000006</v>
      </c>
      <c r="Q5" s="98">
        <f>P5*(1+'1'!$AA$4)</f>
        <v>485032.05000000005</v>
      </c>
      <c r="R5" s="98">
        <f>Q5*(1+'1'!$AB$4)</f>
        <v>499583.01150000008</v>
      </c>
      <c r="S5" s="98">
        <f>R5*(1+'1'!$AC$4)</f>
        <v>513071.75281050004</v>
      </c>
      <c r="T5" s="41">
        <f t="shared" si="10"/>
        <v>92015500.500000015</v>
      </c>
      <c r="U5" s="41">
        <f t="shared" si="11"/>
        <v>101902566.02872501</v>
      </c>
      <c r="V5" s="41">
        <f t="shared" si="12"/>
        <v>114406010.88044959</v>
      </c>
      <c r="W5" s="41">
        <f t="shared" si="13"/>
        <v>130419420.22338612</v>
      </c>
      <c r="X5" s="41"/>
      <c r="Y5" s="146" t="s">
        <v>15</v>
      </c>
      <c r="Z5" s="143">
        <v>0.05</v>
      </c>
      <c r="AA5" s="143">
        <v>0.03</v>
      </c>
      <c r="AB5" s="143">
        <v>0.02</v>
      </c>
      <c r="AC5" s="144">
        <v>0.01</v>
      </c>
    </row>
    <row r="6" spans="1:29" ht="20" customHeight="1" thickBot="1" x14ac:dyDescent="0.2">
      <c r="A6" s="4">
        <f t="shared" si="14"/>
        <v>4</v>
      </c>
      <c r="B6" s="121" t="s">
        <v>161</v>
      </c>
      <c r="C6" s="135">
        <f>ROUNDDOWN((C5*36%)*3,0)</f>
        <v>201</v>
      </c>
      <c r="D6" s="122">
        <v>50000</v>
      </c>
      <c r="E6" s="128">
        <f t="shared" si="5"/>
        <v>10050000</v>
      </c>
      <c r="F6" s="139">
        <f t="shared" si="6"/>
        <v>4.4380657981894459E-2</v>
      </c>
      <c r="G6" s="137">
        <v>0.05</v>
      </c>
      <c r="H6" s="137">
        <v>7.0000000000000007E-2</v>
      </c>
      <c r="I6" s="137">
        <v>0.09</v>
      </c>
      <c r="J6" s="137">
        <v>0.11</v>
      </c>
      <c r="K6" s="5"/>
      <c r="L6" s="12">
        <f t="shared" si="1"/>
        <v>211.05</v>
      </c>
      <c r="M6" s="12">
        <f t="shared" si="7"/>
        <v>225.82350000000002</v>
      </c>
      <c r="N6" s="12">
        <f t="shared" si="8"/>
        <v>246.14761500000003</v>
      </c>
      <c r="O6" s="12">
        <f t="shared" si="9"/>
        <v>273.22385265000008</v>
      </c>
      <c r="P6" s="98">
        <f>D6*(1+'1'!$Z$4)</f>
        <v>52070.000000000007</v>
      </c>
      <c r="Q6" s="98">
        <f>P6*(1+'1'!$AA$4)</f>
        <v>53892.450000000004</v>
      </c>
      <c r="R6" s="98">
        <f>Q6*(1+'1'!$AB$4)</f>
        <v>55509.223500000007</v>
      </c>
      <c r="S6" s="98">
        <f>R6*(1+'1'!$AC$4)</f>
        <v>57007.972534500004</v>
      </c>
      <c r="T6" s="41">
        <f t="shared" si="10"/>
        <v>10989373.500000002</v>
      </c>
      <c r="U6" s="41">
        <f t="shared" si="11"/>
        <v>12170181.682575002</v>
      </c>
      <c r="V6" s="41">
        <f t="shared" si="12"/>
        <v>13663462.975026956</v>
      </c>
      <c r="W6" s="41">
        <f t="shared" si="13"/>
        <v>15575937.88764148</v>
      </c>
      <c r="X6" s="41"/>
    </row>
    <row r="7" spans="1:29" ht="20" customHeight="1" thickBot="1" x14ac:dyDescent="0.25">
      <c r="A7" s="4">
        <f t="shared" si="14"/>
        <v>5</v>
      </c>
      <c r="B7" s="121" t="s">
        <v>162</v>
      </c>
      <c r="C7" s="135">
        <f>ROUNDDOWN((C5*8.7%)*3,0)</f>
        <v>48</v>
      </c>
      <c r="D7" s="122">
        <v>200000</v>
      </c>
      <c r="E7" s="128">
        <f t="shared" si="5"/>
        <v>9600000</v>
      </c>
      <c r="F7" s="139">
        <f t="shared" si="6"/>
        <v>4.2393464340914108E-2</v>
      </c>
      <c r="G7" s="137">
        <v>0.05</v>
      </c>
      <c r="H7" s="137">
        <v>7.0000000000000007E-2</v>
      </c>
      <c r="I7" s="137">
        <v>0.09</v>
      </c>
      <c r="J7" s="137">
        <v>0.11</v>
      </c>
      <c r="K7" s="5"/>
      <c r="L7" s="12">
        <f t="shared" si="1"/>
        <v>50.400000000000006</v>
      </c>
      <c r="M7" s="12">
        <f t="shared" si="7"/>
        <v>53.928000000000011</v>
      </c>
      <c r="N7" s="12">
        <f t="shared" si="8"/>
        <v>58.781520000000015</v>
      </c>
      <c r="O7" s="12">
        <f t="shared" si="9"/>
        <v>65.247487200000023</v>
      </c>
      <c r="P7" s="98">
        <f>D7*(1+'1'!$Z$4)</f>
        <v>208280.00000000003</v>
      </c>
      <c r="Q7" s="98">
        <f>P7*(1+'1'!$AA$4)</f>
        <v>215569.80000000002</v>
      </c>
      <c r="R7" s="98">
        <f>Q7*(1+'1'!$AB$4)</f>
        <v>222036.89400000003</v>
      </c>
      <c r="S7" s="98">
        <f>R7*(1+'1'!$AC$4)</f>
        <v>228031.89013800002</v>
      </c>
      <c r="T7" s="41">
        <f t="shared" si="10"/>
        <v>10497312.000000002</v>
      </c>
      <c r="U7" s="41">
        <f t="shared" si="11"/>
        <v>11625248.174400004</v>
      </c>
      <c r="V7" s="41">
        <f t="shared" si="12"/>
        <v>13051666.125398885</v>
      </c>
      <c r="W7" s="41">
        <f t="shared" si="13"/>
        <v>14878507.832970968</v>
      </c>
      <c r="X7" s="41"/>
      <c r="Y7" s="102" t="s">
        <v>91</v>
      </c>
      <c r="Z7" s="103"/>
      <c r="AA7" s="103"/>
      <c r="AB7" s="147">
        <v>0.3</v>
      </c>
      <c r="AC7" s="104"/>
    </row>
    <row r="8" spans="1:29" ht="20" customHeight="1" x14ac:dyDescent="0.15">
      <c r="A8" s="4">
        <f t="shared" si="14"/>
        <v>6</v>
      </c>
      <c r="B8" s="121" t="s">
        <v>160</v>
      </c>
      <c r="C8" s="135">
        <f>ROUNDDOWN((C5*17.8%)*3,0)</f>
        <v>99</v>
      </c>
      <c r="D8" s="122">
        <v>30000</v>
      </c>
      <c r="E8" s="128">
        <f t="shared" si="5"/>
        <v>2970000</v>
      </c>
      <c r="F8" s="139">
        <f t="shared" si="6"/>
        <v>1.3115478030470303E-2</v>
      </c>
      <c r="G8" s="137">
        <v>0.05</v>
      </c>
      <c r="H8" s="137">
        <v>7.0000000000000007E-2</v>
      </c>
      <c r="I8" s="137">
        <v>0.09</v>
      </c>
      <c r="J8" s="137">
        <v>0.11</v>
      </c>
      <c r="K8" s="5"/>
      <c r="L8" s="12">
        <f t="shared" si="1"/>
        <v>103.95</v>
      </c>
      <c r="M8" s="12">
        <f t="shared" si="7"/>
        <v>111.22650000000002</v>
      </c>
      <c r="N8" s="12">
        <f t="shared" si="8"/>
        <v>121.23688500000003</v>
      </c>
      <c r="O8" s="12">
        <f t="shared" si="9"/>
        <v>134.57294235000003</v>
      </c>
      <c r="P8" s="98">
        <f>D8*(1+'1'!$Z$4)</f>
        <v>31242.000000000004</v>
      </c>
      <c r="Q8" s="98">
        <f>P8*(1+'1'!$AA$4)</f>
        <v>32335.47</v>
      </c>
      <c r="R8" s="98">
        <f>Q8*(1+'1'!$AB$4)</f>
        <v>33305.534100000004</v>
      </c>
      <c r="S8" s="98">
        <f>R8*(1+'1'!$AC$4)</f>
        <v>34204.783520700003</v>
      </c>
      <c r="T8" s="41">
        <f t="shared" si="10"/>
        <v>3247605.9000000004</v>
      </c>
      <c r="U8" s="41">
        <f t="shared" si="11"/>
        <v>3596561.1539550005</v>
      </c>
      <c r="V8" s="41">
        <f t="shared" si="12"/>
        <v>4037859.20754528</v>
      </c>
      <c r="W8" s="41">
        <f t="shared" si="13"/>
        <v>4603038.3608253924</v>
      </c>
      <c r="X8" s="41"/>
    </row>
    <row r="9" spans="1:29" ht="20" hidden="1" customHeight="1" x14ac:dyDescent="0.15">
      <c r="A9" s="4">
        <f t="shared" si="14"/>
        <v>7</v>
      </c>
      <c r="B9" s="124"/>
      <c r="C9" s="125">
        <v>0</v>
      </c>
      <c r="D9" s="126">
        <v>0</v>
      </c>
      <c r="E9" s="123">
        <f t="shared" si="5"/>
        <v>0</v>
      </c>
      <c r="F9" s="97">
        <f t="shared" si="6"/>
        <v>0</v>
      </c>
      <c r="G9" s="19">
        <v>0</v>
      </c>
      <c r="H9" s="19">
        <v>0</v>
      </c>
      <c r="I9" s="19">
        <v>0</v>
      </c>
      <c r="J9" s="19">
        <v>0</v>
      </c>
      <c r="K9" s="5"/>
      <c r="L9" s="12">
        <f t="shared" si="1"/>
        <v>0</v>
      </c>
      <c r="M9" s="12">
        <f t="shared" si="7"/>
        <v>0</v>
      </c>
      <c r="N9" s="12">
        <f t="shared" si="8"/>
        <v>0</v>
      </c>
      <c r="O9" s="12">
        <f t="shared" si="9"/>
        <v>0</v>
      </c>
      <c r="P9" s="98">
        <f>D9*(1+'1'!$Z$4)</f>
        <v>0</v>
      </c>
      <c r="Q9" s="98">
        <f>P9*(1+'1'!$AA$4)</f>
        <v>0</v>
      </c>
      <c r="R9" s="98">
        <f>Q9*(1+'1'!$AB$4)</f>
        <v>0</v>
      </c>
      <c r="S9" s="98">
        <f>R9*(1+'1'!$AC$4)</f>
        <v>0</v>
      </c>
      <c r="T9" s="41">
        <f t="shared" si="10"/>
        <v>0</v>
      </c>
      <c r="U9" s="41">
        <f t="shared" si="11"/>
        <v>0</v>
      </c>
      <c r="V9" s="41">
        <f t="shared" si="12"/>
        <v>0</v>
      </c>
      <c r="W9" s="41">
        <f t="shared" si="13"/>
        <v>0</v>
      </c>
      <c r="X9" s="41"/>
    </row>
    <row r="10" spans="1:29" ht="20" hidden="1" customHeight="1" x14ac:dyDescent="0.15">
      <c r="A10" s="4">
        <f t="shared" si="14"/>
        <v>8</v>
      </c>
      <c r="B10" s="124"/>
      <c r="C10" s="125">
        <v>0</v>
      </c>
      <c r="D10" s="126">
        <v>0</v>
      </c>
      <c r="E10" s="123">
        <f t="shared" si="5"/>
        <v>0</v>
      </c>
      <c r="F10" s="97">
        <f t="shared" si="6"/>
        <v>0</v>
      </c>
      <c r="G10" s="19">
        <v>0</v>
      </c>
      <c r="H10" s="19">
        <v>0</v>
      </c>
      <c r="I10" s="19">
        <v>0</v>
      </c>
      <c r="J10" s="19">
        <v>0</v>
      </c>
      <c r="K10" s="5"/>
      <c r="L10" s="12">
        <f t="shared" si="1"/>
        <v>0</v>
      </c>
      <c r="M10" s="12">
        <f t="shared" si="7"/>
        <v>0</v>
      </c>
      <c r="N10" s="12">
        <f t="shared" si="8"/>
        <v>0</v>
      </c>
      <c r="O10" s="12">
        <f t="shared" si="9"/>
        <v>0</v>
      </c>
      <c r="P10" s="98">
        <f>D10*(1+'1'!$Z$4)</f>
        <v>0</v>
      </c>
      <c r="Q10" s="98">
        <f>P10*(1+'1'!$AA$4)</f>
        <v>0</v>
      </c>
      <c r="R10" s="98">
        <f>Q10*(1+'1'!$AB$4)</f>
        <v>0</v>
      </c>
      <c r="S10" s="98">
        <f>R10*(1+'1'!$AC$4)</f>
        <v>0</v>
      </c>
      <c r="T10" s="41">
        <f t="shared" si="10"/>
        <v>0</v>
      </c>
      <c r="U10" s="41">
        <f t="shared" si="11"/>
        <v>0</v>
      </c>
      <c r="V10" s="41">
        <f t="shared" si="12"/>
        <v>0</v>
      </c>
      <c r="W10" s="41">
        <f t="shared" si="13"/>
        <v>0</v>
      </c>
      <c r="X10" s="41"/>
    </row>
    <row r="11" spans="1:29" ht="20" hidden="1" customHeight="1" x14ac:dyDescent="0.15">
      <c r="A11" s="4">
        <f t="shared" si="14"/>
        <v>9</v>
      </c>
      <c r="B11" s="124"/>
      <c r="C11" s="125">
        <v>0</v>
      </c>
      <c r="D11" s="126">
        <v>0</v>
      </c>
      <c r="E11" s="123">
        <f t="shared" si="5"/>
        <v>0</v>
      </c>
      <c r="F11" s="97">
        <f t="shared" si="6"/>
        <v>0</v>
      </c>
      <c r="G11" s="19">
        <v>0</v>
      </c>
      <c r="H11" s="19">
        <v>0</v>
      </c>
      <c r="I11" s="19">
        <v>0</v>
      </c>
      <c r="J11" s="19">
        <v>0</v>
      </c>
      <c r="K11" s="5"/>
      <c r="L11" s="12">
        <f t="shared" si="1"/>
        <v>0</v>
      </c>
      <c r="M11" s="12">
        <f t="shared" si="7"/>
        <v>0</v>
      </c>
      <c r="N11" s="12">
        <f t="shared" si="8"/>
        <v>0</v>
      </c>
      <c r="O11" s="12">
        <f t="shared" si="9"/>
        <v>0</v>
      </c>
      <c r="P11" s="98">
        <f>D11*(1+'1'!$Z$4)</f>
        <v>0</v>
      </c>
      <c r="Q11" s="98">
        <f>P11*(1+'1'!$AA$4)</f>
        <v>0</v>
      </c>
      <c r="R11" s="98">
        <f>Q11*(1+'1'!$AB$4)</f>
        <v>0</v>
      </c>
      <c r="S11" s="98">
        <f>R11*(1+'1'!$AC$4)</f>
        <v>0</v>
      </c>
      <c r="T11" s="41">
        <f t="shared" si="10"/>
        <v>0</v>
      </c>
      <c r="U11" s="41">
        <f t="shared" si="11"/>
        <v>0</v>
      </c>
      <c r="V11" s="41">
        <f t="shared" si="12"/>
        <v>0</v>
      </c>
      <c r="W11" s="41">
        <f t="shared" si="13"/>
        <v>0</v>
      </c>
      <c r="X11" s="41"/>
    </row>
    <row r="12" spans="1:29" ht="20" hidden="1" customHeight="1" x14ac:dyDescent="0.15">
      <c r="A12" s="4">
        <f t="shared" si="14"/>
        <v>10</v>
      </c>
      <c r="B12" s="124"/>
      <c r="C12" s="125">
        <v>0</v>
      </c>
      <c r="D12" s="126">
        <v>0</v>
      </c>
      <c r="E12" s="123">
        <f t="shared" si="5"/>
        <v>0</v>
      </c>
      <c r="F12" s="97">
        <f t="shared" si="6"/>
        <v>0</v>
      </c>
      <c r="G12" s="19">
        <v>0</v>
      </c>
      <c r="H12" s="19">
        <v>0</v>
      </c>
      <c r="I12" s="19">
        <v>0</v>
      </c>
      <c r="J12" s="19">
        <v>0</v>
      </c>
      <c r="K12" s="5"/>
      <c r="L12" s="12">
        <f t="shared" si="1"/>
        <v>0</v>
      </c>
      <c r="M12" s="12">
        <f t="shared" si="7"/>
        <v>0</v>
      </c>
      <c r="N12" s="12">
        <f t="shared" si="8"/>
        <v>0</v>
      </c>
      <c r="O12" s="12">
        <f t="shared" si="9"/>
        <v>0</v>
      </c>
      <c r="P12" s="98">
        <f>D12*(1+'1'!$Z$4)</f>
        <v>0</v>
      </c>
      <c r="Q12" s="98">
        <f>P12*(1+'1'!$AA$4)</f>
        <v>0</v>
      </c>
      <c r="R12" s="98">
        <f>Q12*(1+'1'!$AB$4)</f>
        <v>0</v>
      </c>
      <c r="S12" s="98">
        <f>R12*(1+'1'!$AC$4)</f>
        <v>0</v>
      </c>
      <c r="T12" s="41">
        <f t="shared" si="10"/>
        <v>0</v>
      </c>
      <c r="U12" s="41">
        <f t="shared" si="11"/>
        <v>0</v>
      </c>
      <c r="V12" s="41">
        <f t="shared" si="12"/>
        <v>0</v>
      </c>
      <c r="W12" s="41">
        <f t="shared" si="13"/>
        <v>0</v>
      </c>
      <c r="X12" s="41"/>
    </row>
    <row r="13" spans="1:29" ht="20" customHeight="1" x14ac:dyDescent="0.15">
      <c r="B13" s="127"/>
      <c r="C13" s="127"/>
      <c r="D13" s="136" t="s">
        <v>8</v>
      </c>
      <c r="E13" s="129">
        <f>SUM(E3:E12)</f>
        <v>226450000</v>
      </c>
      <c r="F13" s="11">
        <f>SUM(F3:F12)</f>
        <v>1</v>
      </c>
      <c r="T13" s="105">
        <f>SUM(T3:T12)</f>
        <v>247616281.50000003</v>
      </c>
      <c r="U13" s="105">
        <f>SUM(U3:U12)</f>
        <v>274222650.94717503</v>
      </c>
      <c r="V13" s="105">
        <f>SUM(V3:V12)</f>
        <v>307869770.21839345</v>
      </c>
      <c r="W13" s="105">
        <f>SUM(W3:W12)</f>
        <v>350962301.95586205</v>
      </c>
      <c r="X13" s="41"/>
    </row>
    <row r="15" spans="1:29" ht="23.25" customHeight="1" x14ac:dyDescent="0.15">
      <c r="A15" s="166" t="s">
        <v>6</v>
      </c>
      <c r="B15" s="166"/>
      <c r="C15" s="166"/>
      <c r="D15" s="166"/>
      <c r="E15" s="166"/>
      <c r="G15" s="106"/>
    </row>
    <row r="16" spans="1:29" ht="25.5" customHeight="1" x14ac:dyDescent="0.15">
      <c r="B16" s="94" t="s">
        <v>3</v>
      </c>
      <c r="C16" s="107" t="s">
        <v>0</v>
      </c>
      <c r="D16" s="94" t="s">
        <v>186</v>
      </c>
      <c r="E16" s="95" t="s">
        <v>2</v>
      </c>
      <c r="L16" s="12">
        <f>L2</f>
        <v>2023</v>
      </c>
      <c r="M16" s="12">
        <f t="shared" ref="M16:W16" si="15">M2</f>
        <v>2024</v>
      </c>
      <c r="N16" s="12">
        <f t="shared" si="15"/>
        <v>2025</v>
      </c>
      <c r="O16" s="12">
        <f t="shared" si="15"/>
        <v>2026</v>
      </c>
      <c r="P16" s="12" t="str">
        <f t="shared" si="15"/>
        <v>AÑO 2</v>
      </c>
      <c r="Q16" s="12" t="str">
        <f t="shared" si="15"/>
        <v>AÑO 3</v>
      </c>
      <c r="R16" s="12" t="str">
        <f t="shared" si="15"/>
        <v>AÑO 4</v>
      </c>
      <c r="S16" s="12" t="str">
        <f t="shared" si="15"/>
        <v>AÑO 5</v>
      </c>
      <c r="T16" s="12" t="str">
        <f t="shared" si="15"/>
        <v>año 2</v>
      </c>
      <c r="U16" s="12" t="str">
        <f t="shared" si="15"/>
        <v>año 3</v>
      </c>
      <c r="V16" s="12" t="str">
        <f t="shared" si="15"/>
        <v>año 4</v>
      </c>
      <c r="W16" s="12" t="str">
        <f t="shared" si="15"/>
        <v>año 5</v>
      </c>
    </row>
    <row r="17" spans="1:24" x14ac:dyDescent="0.15">
      <c r="A17" s="4">
        <f>A3</f>
        <v>1</v>
      </c>
      <c r="B17" s="44" t="str">
        <f>B3</f>
        <v>Hospedaje Glamping Tipo 1</v>
      </c>
      <c r="C17" s="13">
        <f>C3</f>
        <v>187</v>
      </c>
      <c r="D17" s="134">
        <v>0</v>
      </c>
      <c r="E17" s="5">
        <f>C17*D17</f>
        <v>0</v>
      </c>
      <c r="F17" s="97">
        <f>IF($E$27=0,0,E17/$E$27)</f>
        <v>0</v>
      </c>
      <c r="L17" s="12">
        <f t="shared" ref="L17:L26" si="16">C17*(1+G3)</f>
        <v>196.35</v>
      </c>
      <c r="M17" s="12">
        <f>L17*(1+H3)</f>
        <v>210.09450000000001</v>
      </c>
      <c r="N17" s="12">
        <f t="shared" ref="N17:O17" si="17">M17*(1+I3)</f>
        <v>229.00300500000003</v>
      </c>
      <c r="O17" s="12">
        <f t="shared" si="17"/>
        <v>254.19333555000006</v>
      </c>
      <c r="P17" s="108">
        <f>D17*(1+'1'!$Z$5)</f>
        <v>0</v>
      </c>
      <c r="Q17" s="98">
        <f>P17*(1+'1'!$AA$5)</f>
        <v>0</v>
      </c>
      <c r="R17" s="98">
        <f>Q17*(1+'1'!$AB$5)</f>
        <v>0</v>
      </c>
      <c r="S17" s="98">
        <f>R17*(1+'1'!$AC$5)</f>
        <v>0</v>
      </c>
      <c r="T17" s="108">
        <f t="shared" ref="T17:U19" si="18">L17*P17</f>
        <v>0</v>
      </c>
      <c r="U17" s="41">
        <f t="shared" si="18"/>
        <v>0</v>
      </c>
      <c r="V17" s="41">
        <f t="shared" ref="V17:W17" si="19">N17*R17</f>
        <v>0</v>
      </c>
      <c r="W17" s="41">
        <f t="shared" si="19"/>
        <v>0</v>
      </c>
      <c r="X17" s="41"/>
    </row>
    <row r="18" spans="1:24" x14ac:dyDescent="0.15">
      <c r="A18" s="4">
        <f t="shared" ref="A18:B25" si="20">A4</f>
        <v>2</v>
      </c>
      <c r="B18" s="14" t="str">
        <f t="shared" si="20"/>
        <v>Hospedaje Glamping Tipo 2</v>
      </c>
      <c r="C18" s="13">
        <f t="shared" ref="C18:C26" si="21">C4</f>
        <v>187</v>
      </c>
      <c r="D18" s="134">
        <v>0</v>
      </c>
      <c r="E18" s="5">
        <f t="shared" ref="E18:E26" si="22">C18*D18</f>
        <v>0</v>
      </c>
      <c r="F18" s="97">
        <f t="shared" ref="F18:F26" si="23">IF($E$27=0,0,E18/$E$27)</f>
        <v>0</v>
      </c>
      <c r="L18" s="12">
        <f t="shared" si="16"/>
        <v>196.35</v>
      </c>
      <c r="M18" s="12">
        <f t="shared" ref="M18:M26" si="24">L18*(1+H4)</f>
        <v>210.09450000000001</v>
      </c>
      <c r="N18" s="12">
        <f t="shared" ref="N18:N26" si="25">M18*(1+I4)</f>
        <v>229.00300500000003</v>
      </c>
      <c r="O18" s="12">
        <f t="shared" ref="O18:O26" si="26">N18*(1+J4)</f>
        <v>254.19333555000006</v>
      </c>
      <c r="P18" s="108">
        <f>D18*(1+'1'!$Z$5)</f>
        <v>0</v>
      </c>
      <c r="Q18" s="98">
        <f>P18*(1+'1'!$AA$5)</f>
        <v>0</v>
      </c>
      <c r="R18" s="98">
        <f>Q18*(1+'1'!$AB$5)</f>
        <v>0</v>
      </c>
      <c r="S18" s="98">
        <f>R18*(1+'1'!$AC$5)</f>
        <v>0</v>
      </c>
      <c r="T18" s="108">
        <f t="shared" si="18"/>
        <v>0</v>
      </c>
      <c r="U18" s="41">
        <f t="shared" si="18"/>
        <v>0</v>
      </c>
      <c r="V18" s="41">
        <f t="shared" ref="V18:V26" si="27">N18*R18</f>
        <v>0</v>
      </c>
      <c r="W18" s="41">
        <f t="shared" ref="W18:W26" si="28">O18*S18</f>
        <v>0</v>
      </c>
      <c r="X18" s="41"/>
    </row>
    <row r="19" spans="1:24" x14ac:dyDescent="0.15">
      <c r="A19" s="4">
        <f t="shared" si="20"/>
        <v>3</v>
      </c>
      <c r="B19" s="14" t="str">
        <f t="shared" si="20"/>
        <v>Hospedaje Glamping Tipo 3</v>
      </c>
      <c r="C19" s="13">
        <f t="shared" si="21"/>
        <v>187</v>
      </c>
      <c r="D19" s="134">
        <v>0</v>
      </c>
      <c r="E19" s="5">
        <f t="shared" si="22"/>
        <v>0</v>
      </c>
      <c r="F19" s="97">
        <f t="shared" si="23"/>
        <v>0</v>
      </c>
      <c r="L19" s="12">
        <f t="shared" si="16"/>
        <v>196.35</v>
      </c>
      <c r="M19" s="12">
        <f t="shared" si="24"/>
        <v>210.09450000000001</v>
      </c>
      <c r="N19" s="12">
        <f t="shared" si="25"/>
        <v>229.00300500000003</v>
      </c>
      <c r="O19" s="12">
        <f t="shared" si="26"/>
        <v>254.19333555000006</v>
      </c>
      <c r="P19" s="108">
        <f>D19*(1+'1'!$Z$5)</f>
        <v>0</v>
      </c>
      <c r="Q19" s="98">
        <f>P19*(1+'1'!$AA$5)</f>
        <v>0</v>
      </c>
      <c r="R19" s="98">
        <f>Q19*(1+'1'!$AB$5)</f>
        <v>0</v>
      </c>
      <c r="S19" s="98">
        <f>R19*(1+'1'!$AC$5)</f>
        <v>0</v>
      </c>
      <c r="T19" s="108">
        <f t="shared" si="18"/>
        <v>0</v>
      </c>
      <c r="U19" s="41">
        <f t="shared" si="18"/>
        <v>0</v>
      </c>
      <c r="V19" s="41">
        <f t="shared" si="27"/>
        <v>0</v>
      </c>
      <c r="W19" s="41">
        <f t="shared" si="28"/>
        <v>0</v>
      </c>
      <c r="X19" s="41"/>
    </row>
    <row r="20" spans="1:24" x14ac:dyDescent="0.15">
      <c r="A20" s="4">
        <f t="shared" si="20"/>
        <v>4</v>
      </c>
      <c r="B20" s="14" t="str">
        <f t="shared" si="20"/>
        <v>Alimentos</v>
      </c>
      <c r="C20" s="13">
        <f t="shared" si="21"/>
        <v>201</v>
      </c>
      <c r="D20" s="134">
        <v>20000</v>
      </c>
      <c r="E20" s="5">
        <f t="shared" si="22"/>
        <v>4020000</v>
      </c>
      <c r="F20" s="97">
        <f t="shared" si="23"/>
        <v>0.36373507057546145</v>
      </c>
      <c r="L20" s="12">
        <f t="shared" si="16"/>
        <v>211.05</v>
      </c>
      <c r="M20" s="12">
        <f t="shared" si="24"/>
        <v>225.82350000000002</v>
      </c>
      <c r="N20" s="12">
        <f t="shared" si="25"/>
        <v>246.14761500000003</v>
      </c>
      <c r="O20" s="12">
        <f t="shared" si="26"/>
        <v>273.22385265000008</v>
      </c>
      <c r="P20" s="108">
        <f>D20*(1+'1'!$Z$5)</f>
        <v>21000</v>
      </c>
      <c r="Q20" s="98">
        <f>P20*(1+'1'!$AA$5)</f>
        <v>21630</v>
      </c>
      <c r="R20" s="98">
        <f>Q20*(1+'1'!$AB$5)</f>
        <v>22062.600000000002</v>
      </c>
      <c r="S20" s="98">
        <f>R20*(1+'1'!$AC$5)</f>
        <v>22283.226000000002</v>
      </c>
      <c r="T20" s="108">
        <f t="shared" ref="T20:T26" si="29">L20*P20</f>
        <v>4432050</v>
      </c>
      <c r="U20" s="41">
        <f t="shared" ref="U20:U26" si="30">M20*Q20</f>
        <v>4884562.3050000006</v>
      </c>
      <c r="V20" s="41">
        <f t="shared" si="27"/>
        <v>5430656.3706990015</v>
      </c>
      <c r="W20" s="41">
        <f t="shared" si="28"/>
        <v>6088308.8571906518</v>
      </c>
      <c r="X20" s="41"/>
    </row>
    <row r="21" spans="1:24" x14ac:dyDescent="0.15">
      <c r="A21" s="4">
        <f t="shared" si="20"/>
        <v>5</v>
      </c>
      <c r="B21" s="14" t="str">
        <f t="shared" si="20"/>
        <v>Licores</v>
      </c>
      <c r="C21" s="13">
        <f t="shared" si="21"/>
        <v>48</v>
      </c>
      <c r="D21" s="134">
        <v>130000</v>
      </c>
      <c r="E21" s="5">
        <f t="shared" si="22"/>
        <v>6240000</v>
      </c>
      <c r="F21" s="97">
        <f t="shared" si="23"/>
        <v>0.56460369163952229</v>
      </c>
      <c r="L21" s="12">
        <f t="shared" si="16"/>
        <v>50.400000000000006</v>
      </c>
      <c r="M21" s="12">
        <f t="shared" si="24"/>
        <v>53.928000000000011</v>
      </c>
      <c r="N21" s="12">
        <f t="shared" si="25"/>
        <v>58.781520000000015</v>
      </c>
      <c r="O21" s="12">
        <f t="shared" si="26"/>
        <v>65.247487200000023</v>
      </c>
      <c r="P21" s="108">
        <f>D21*(1+'1'!$Z$5)</f>
        <v>136500</v>
      </c>
      <c r="Q21" s="98">
        <f>P21*(1+'1'!$AA$5)</f>
        <v>140595</v>
      </c>
      <c r="R21" s="98">
        <f>Q21*(1+'1'!$AB$5)</f>
        <v>143406.9</v>
      </c>
      <c r="S21" s="98">
        <f>R21*(1+'1'!$AC$5)</f>
        <v>144840.96899999998</v>
      </c>
      <c r="T21" s="108">
        <f t="shared" si="29"/>
        <v>6879600.0000000009</v>
      </c>
      <c r="U21" s="41">
        <f t="shared" si="30"/>
        <v>7582007.160000002</v>
      </c>
      <c r="V21" s="41">
        <f t="shared" si="27"/>
        <v>8429675.5604880024</v>
      </c>
      <c r="W21" s="41">
        <f t="shared" si="28"/>
        <v>9450509.270863099</v>
      </c>
      <c r="X21" s="41"/>
    </row>
    <row r="22" spans="1:24" x14ac:dyDescent="0.15">
      <c r="A22" s="4">
        <f t="shared" si="20"/>
        <v>6</v>
      </c>
      <c r="B22" s="14" t="str">
        <f t="shared" si="20"/>
        <v>Actividades complementarias</v>
      </c>
      <c r="C22" s="13">
        <f t="shared" si="21"/>
        <v>99</v>
      </c>
      <c r="D22" s="134">
        <v>8000</v>
      </c>
      <c r="E22" s="5">
        <f t="shared" si="22"/>
        <v>792000</v>
      </c>
      <c r="F22" s="97">
        <f t="shared" si="23"/>
        <v>7.1661237785016291E-2</v>
      </c>
      <c r="L22" s="12">
        <f t="shared" si="16"/>
        <v>103.95</v>
      </c>
      <c r="M22" s="12">
        <f t="shared" si="24"/>
        <v>111.22650000000002</v>
      </c>
      <c r="N22" s="12">
        <f t="shared" si="25"/>
        <v>121.23688500000003</v>
      </c>
      <c r="O22" s="12">
        <f t="shared" si="26"/>
        <v>134.57294235000003</v>
      </c>
      <c r="P22" s="108">
        <f>D22*(1+'1'!$Z$5)</f>
        <v>8400</v>
      </c>
      <c r="Q22" s="98">
        <f>P22*(1+'1'!$AA$5)</f>
        <v>8652</v>
      </c>
      <c r="R22" s="98">
        <f>Q22*(1+'1'!$AB$5)</f>
        <v>8825.0400000000009</v>
      </c>
      <c r="S22" s="98">
        <f>R22*(1+'1'!$AC$5)</f>
        <v>8913.2904000000017</v>
      </c>
      <c r="T22" s="108">
        <f t="shared" si="29"/>
        <v>873180</v>
      </c>
      <c r="U22" s="41">
        <f t="shared" si="30"/>
        <v>962331.67800000019</v>
      </c>
      <c r="V22" s="41">
        <f t="shared" si="27"/>
        <v>1069920.3596004003</v>
      </c>
      <c r="W22" s="41">
        <f t="shared" si="28"/>
        <v>1199487.7151480089</v>
      </c>
      <c r="X22" s="41"/>
    </row>
    <row r="23" spans="1:24" hidden="1" x14ac:dyDescent="0.15">
      <c r="A23" s="4">
        <f t="shared" si="20"/>
        <v>7</v>
      </c>
      <c r="B23" s="14">
        <f t="shared" si="20"/>
        <v>0</v>
      </c>
      <c r="C23" s="13">
        <f t="shared" si="21"/>
        <v>0</v>
      </c>
      <c r="D23" s="1">
        <v>0</v>
      </c>
      <c r="E23" s="5">
        <f t="shared" si="22"/>
        <v>0</v>
      </c>
      <c r="F23" s="97">
        <f t="shared" si="23"/>
        <v>0</v>
      </c>
      <c r="L23" s="12">
        <f t="shared" si="16"/>
        <v>0</v>
      </c>
      <c r="M23" s="12">
        <f t="shared" si="24"/>
        <v>0</v>
      </c>
      <c r="N23" s="12">
        <f t="shared" si="25"/>
        <v>0</v>
      </c>
      <c r="O23" s="12">
        <f t="shared" si="26"/>
        <v>0</v>
      </c>
      <c r="P23" s="108">
        <f>D23*(1+'1'!$Z$5)</f>
        <v>0</v>
      </c>
      <c r="Q23" s="98">
        <f>P23*(1+'1'!$AA$5)</f>
        <v>0</v>
      </c>
      <c r="R23" s="98">
        <f>Q23*(1+'1'!$AB$5)</f>
        <v>0</v>
      </c>
      <c r="S23" s="98">
        <f>R23*(1+'1'!$AC$5)</f>
        <v>0</v>
      </c>
      <c r="T23" s="108">
        <f t="shared" si="29"/>
        <v>0</v>
      </c>
      <c r="U23" s="41">
        <f t="shared" si="30"/>
        <v>0</v>
      </c>
      <c r="V23" s="41">
        <f t="shared" si="27"/>
        <v>0</v>
      </c>
      <c r="W23" s="41">
        <f t="shared" si="28"/>
        <v>0</v>
      </c>
      <c r="X23" s="41"/>
    </row>
    <row r="24" spans="1:24" hidden="1" x14ac:dyDescent="0.15">
      <c r="A24" s="4">
        <f t="shared" si="20"/>
        <v>8</v>
      </c>
      <c r="B24" s="14">
        <f t="shared" si="20"/>
        <v>0</v>
      </c>
      <c r="C24" s="13">
        <f t="shared" si="21"/>
        <v>0</v>
      </c>
      <c r="D24" s="1">
        <v>0</v>
      </c>
      <c r="E24" s="5">
        <f t="shared" si="22"/>
        <v>0</v>
      </c>
      <c r="F24" s="97">
        <f t="shared" si="23"/>
        <v>0</v>
      </c>
      <c r="L24" s="12">
        <f t="shared" si="16"/>
        <v>0</v>
      </c>
      <c r="M24" s="12">
        <f t="shared" si="24"/>
        <v>0</v>
      </c>
      <c r="N24" s="12">
        <f t="shared" si="25"/>
        <v>0</v>
      </c>
      <c r="O24" s="12">
        <f t="shared" si="26"/>
        <v>0</v>
      </c>
      <c r="P24" s="108">
        <f>D24*(1+'1'!$Z$5)</f>
        <v>0</v>
      </c>
      <c r="Q24" s="98">
        <f>P24*(1+'1'!$AA$5)</f>
        <v>0</v>
      </c>
      <c r="R24" s="98">
        <f>Q24*(1+'1'!$AB$5)</f>
        <v>0</v>
      </c>
      <c r="S24" s="98">
        <f>R24*(1+'1'!$AC$5)</f>
        <v>0</v>
      </c>
      <c r="T24" s="108">
        <f t="shared" si="29"/>
        <v>0</v>
      </c>
      <c r="U24" s="41">
        <f t="shared" si="30"/>
        <v>0</v>
      </c>
      <c r="V24" s="41">
        <f t="shared" si="27"/>
        <v>0</v>
      </c>
      <c r="W24" s="41">
        <f t="shared" si="28"/>
        <v>0</v>
      </c>
      <c r="X24" s="41"/>
    </row>
    <row r="25" spans="1:24" hidden="1" x14ac:dyDescent="0.15">
      <c r="A25" s="4">
        <f t="shared" si="20"/>
        <v>9</v>
      </c>
      <c r="B25" s="14">
        <f t="shared" si="20"/>
        <v>0</v>
      </c>
      <c r="C25" s="13">
        <f t="shared" si="21"/>
        <v>0</v>
      </c>
      <c r="D25" s="1">
        <v>0</v>
      </c>
      <c r="E25" s="5">
        <f t="shared" si="22"/>
        <v>0</v>
      </c>
      <c r="F25" s="97">
        <f t="shared" si="23"/>
        <v>0</v>
      </c>
      <c r="L25" s="12">
        <f t="shared" si="16"/>
        <v>0</v>
      </c>
      <c r="M25" s="12">
        <f t="shared" si="24"/>
        <v>0</v>
      </c>
      <c r="N25" s="12">
        <f t="shared" si="25"/>
        <v>0</v>
      </c>
      <c r="O25" s="12">
        <f t="shared" si="26"/>
        <v>0</v>
      </c>
      <c r="P25" s="108">
        <f>D25*(1+'1'!$Z$5)</f>
        <v>0</v>
      </c>
      <c r="Q25" s="98">
        <f>P25*(1+'1'!$AA$5)</f>
        <v>0</v>
      </c>
      <c r="R25" s="98">
        <f>Q25*(1+'1'!$AB$5)</f>
        <v>0</v>
      </c>
      <c r="S25" s="98">
        <f>R25*(1+'1'!$AC$5)</f>
        <v>0</v>
      </c>
      <c r="T25" s="108">
        <f t="shared" si="29"/>
        <v>0</v>
      </c>
      <c r="U25" s="41">
        <f t="shared" si="30"/>
        <v>0</v>
      </c>
      <c r="V25" s="41">
        <f t="shared" si="27"/>
        <v>0</v>
      </c>
      <c r="W25" s="41">
        <f t="shared" si="28"/>
        <v>0</v>
      </c>
      <c r="X25" s="41"/>
    </row>
    <row r="26" spans="1:24" hidden="1" x14ac:dyDescent="0.15">
      <c r="A26" s="4">
        <f>A12</f>
        <v>10</v>
      </c>
      <c r="B26" s="14">
        <f t="shared" ref="B26" si="31">B12</f>
        <v>0</v>
      </c>
      <c r="C26" s="13">
        <f t="shared" si="21"/>
        <v>0</v>
      </c>
      <c r="D26" s="1">
        <v>0</v>
      </c>
      <c r="E26" s="5">
        <f t="shared" si="22"/>
        <v>0</v>
      </c>
      <c r="F26" s="97">
        <f t="shared" si="23"/>
        <v>0</v>
      </c>
      <c r="L26" s="12">
        <f t="shared" si="16"/>
        <v>0</v>
      </c>
      <c r="M26" s="12">
        <f t="shared" si="24"/>
        <v>0</v>
      </c>
      <c r="N26" s="12">
        <f t="shared" si="25"/>
        <v>0</v>
      </c>
      <c r="O26" s="12">
        <f t="shared" si="26"/>
        <v>0</v>
      </c>
      <c r="P26" s="108">
        <f>D26*(1+'1'!$Z$5)</f>
        <v>0</v>
      </c>
      <c r="Q26" s="98">
        <f>P26*(1+'1'!$AA$5)</f>
        <v>0</v>
      </c>
      <c r="R26" s="98">
        <f>Q26*(1+'1'!$AB$5)</f>
        <v>0</v>
      </c>
      <c r="S26" s="98">
        <f>R26*(1+'1'!$AC$5)</f>
        <v>0</v>
      </c>
      <c r="T26" s="108">
        <f t="shared" si="29"/>
        <v>0</v>
      </c>
      <c r="U26" s="41">
        <f t="shared" si="30"/>
        <v>0</v>
      </c>
      <c r="V26" s="41">
        <f t="shared" si="27"/>
        <v>0</v>
      </c>
      <c r="W26" s="41">
        <f t="shared" si="28"/>
        <v>0</v>
      </c>
      <c r="X26" s="41"/>
    </row>
    <row r="27" spans="1:24" x14ac:dyDescent="0.15">
      <c r="D27" s="12" t="str">
        <f>D13</f>
        <v>TOTAL</v>
      </c>
      <c r="E27" s="10">
        <f>SUM(E17:E26)</f>
        <v>11052000</v>
      </c>
      <c r="F27" s="11">
        <f>SUM(F17:F26)</f>
        <v>1</v>
      </c>
      <c r="T27" s="105">
        <f>SUM(T17:T26)</f>
        <v>12184830</v>
      </c>
      <c r="U27" s="105">
        <f>SUM(U17:U26)</f>
        <v>13428901.143000003</v>
      </c>
      <c r="V27" s="105">
        <f t="shared" ref="V27:W27" si="32">SUM(V17:V26)</f>
        <v>14930252.290787404</v>
      </c>
      <c r="W27" s="105">
        <f t="shared" si="32"/>
        <v>16738305.84320176</v>
      </c>
      <c r="X27" s="41"/>
    </row>
    <row r="30" spans="1:24" x14ac:dyDescent="0.15">
      <c r="A30" s="165" t="s">
        <v>19</v>
      </c>
      <c r="B30" s="165"/>
      <c r="C30" s="165"/>
      <c r="D30" s="165"/>
      <c r="E30" s="165"/>
      <c r="F30" s="165"/>
    </row>
    <row r="31" spans="1:24" ht="25" x14ac:dyDescent="0.25">
      <c r="A31" s="109" t="s">
        <v>10</v>
      </c>
      <c r="B31" s="110">
        <f>'1'!Z1</f>
        <v>2022</v>
      </c>
      <c r="C31" s="110">
        <f>B31+1</f>
        <v>2023</v>
      </c>
      <c r="D31" s="110">
        <f>C31+1</f>
        <v>2024</v>
      </c>
      <c r="E31" s="110">
        <f>D31+1</f>
        <v>2025</v>
      </c>
      <c r="F31" s="110">
        <f>E31+1</f>
        <v>2026</v>
      </c>
      <c r="H31" s="111"/>
      <c r="I31" s="111"/>
      <c r="J31" s="111"/>
      <c r="K31" s="111"/>
      <c r="L31" s="111"/>
      <c r="M31" s="111"/>
      <c r="N31" s="111"/>
      <c r="O31" s="111"/>
      <c r="P31" s="111"/>
      <c r="Q31" s="111"/>
      <c r="R31" s="111"/>
      <c r="S31" s="111"/>
      <c r="T31" s="111"/>
      <c r="U31" s="111"/>
      <c r="V31" s="111"/>
    </row>
    <row r="32" spans="1:24" x14ac:dyDescent="0.15">
      <c r="A32" s="15" t="s">
        <v>20</v>
      </c>
      <c r="B32" s="16">
        <f>'1'!E13</f>
        <v>226450000</v>
      </c>
      <c r="C32" s="17">
        <f>'1'!T13</f>
        <v>247616281.50000003</v>
      </c>
      <c r="D32" s="17">
        <f>'1'!U13</f>
        <v>274222650.94717503</v>
      </c>
      <c r="E32" s="17">
        <f>'1'!V13</f>
        <v>307869770.21839345</v>
      </c>
      <c r="F32" s="17">
        <f>'1'!W13</f>
        <v>350962301.95586205</v>
      </c>
    </row>
    <row r="33" spans="1:6" x14ac:dyDescent="0.15">
      <c r="A33" s="15" t="s">
        <v>21</v>
      </c>
      <c r="B33" s="16">
        <f>'1'!E27</f>
        <v>11052000</v>
      </c>
      <c r="C33" s="16">
        <f>'1'!T27</f>
        <v>12184830</v>
      </c>
      <c r="D33" s="16">
        <f>'1'!U27</f>
        <v>13428901.143000003</v>
      </c>
      <c r="E33" s="16">
        <f>'1'!V27</f>
        <v>14930252.290787404</v>
      </c>
      <c r="F33" s="16">
        <f>'1'!W27</f>
        <v>16738305.84320176</v>
      </c>
    </row>
    <row r="34" spans="1:6" ht="21" thickBot="1" x14ac:dyDescent="0.25">
      <c r="A34" s="112" t="s">
        <v>22</v>
      </c>
      <c r="B34" s="71">
        <f>B32-B33</f>
        <v>215398000</v>
      </c>
      <c r="C34" s="71">
        <f t="shared" ref="C34:D34" si="33">C32-C33</f>
        <v>235431451.50000003</v>
      </c>
      <c r="D34" s="71">
        <f t="shared" si="33"/>
        <v>260793749.80417502</v>
      </c>
      <c r="E34" s="71">
        <f t="shared" ref="E34" si="34">E32-E33</f>
        <v>292939517.92760605</v>
      </c>
      <c r="F34" s="71">
        <f t="shared" ref="F34" si="35">F32-F33</f>
        <v>334223996.11266029</v>
      </c>
    </row>
    <row r="35" spans="1:6" ht="15" thickTop="1" x14ac:dyDescent="0.1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sheetView>
  </sheetViews>
  <sheetFormatPr baseColWidth="10" defaultColWidth="11.5" defaultRowHeight="15" x14ac:dyDescent="0.2"/>
  <cols>
    <col min="1" max="1" width="3.1640625" style="2" customWidth="1"/>
    <col min="2" max="2" width="29.5" style="2" bestFit="1" customWidth="1"/>
    <col min="3" max="3" width="20.33203125" style="2" customWidth="1"/>
    <col min="4" max="4" width="11.5" style="2"/>
    <col min="5" max="5" width="23.33203125" style="2" customWidth="1"/>
    <col min="6" max="6" width="17.6640625" style="2" bestFit="1" customWidth="1"/>
    <col min="7" max="7" width="3" style="2" customWidth="1"/>
    <col min="8" max="8" width="2.5" style="2" customWidth="1"/>
    <col min="9" max="16384" width="11.5" style="2"/>
  </cols>
  <sheetData>
    <row r="1" spans="2:8" x14ac:dyDescent="0.2">
      <c r="B1" s="168" t="s">
        <v>133</v>
      </c>
      <c r="C1" s="168"/>
      <c r="D1" s="168"/>
      <c r="E1" s="168"/>
      <c r="F1" s="168"/>
      <c r="G1" s="168"/>
      <c r="H1" s="168"/>
    </row>
    <row r="2" spans="2:8" ht="3.75" customHeight="1" x14ac:dyDescent="0.2">
      <c r="B2" s="168"/>
      <c r="C2" s="168"/>
      <c r="D2" s="168"/>
      <c r="E2" s="168"/>
      <c r="F2" s="168"/>
      <c r="G2" s="168"/>
      <c r="H2" s="168"/>
    </row>
    <row r="3" spans="2:8" x14ac:dyDescent="0.2">
      <c r="C3" s="4" t="s">
        <v>51</v>
      </c>
      <c r="F3" s="21" t="s">
        <v>92</v>
      </c>
      <c r="G3" s="21"/>
    </row>
    <row r="4" spans="2:8" x14ac:dyDescent="0.2">
      <c r="B4" s="18" t="s">
        <v>43</v>
      </c>
      <c r="C4" s="134">
        <f>'Activos Fijos'!F7</f>
        <v>20500000</v>
      </c>
      <c r="F4" s="21"/>
      <c r="G4" s="21"/>
    </row>
    <row r="5" spans="2:8" x14ac:dyDescent="0.2">
      <c r="B5" s="18" t="s">
        <v>46</v>
      </c>
      <c r="C5" s="134">
        <f>'Activos Fijos'!F18</f>
        <v>108780000</v>
      </c>
      <c r="F5" s="21">
        <v>10</v>
      </c>
      <c r="G5" s="22">
        <f t="shared" ref="G5:G11" si="0">C5/F5</f>
        <v>10878000</v>
      </c>
    </row>
    <row r="6" spans="2:8" x14ac:dyDescent="0.2">
      <c r="B6" s="18" t="s">
        <v>44</v>
      </c>
      <c r="C6" s="134">
        <f>'Activos Movibles'!F12</f>
        <v>14040000</v>
      </c>
      <c r="F6" s="21">
        <v>5</v>
      </c>
      <c r="G6" s="22">
        <f t="shared" si="0"/>
        <v>2808000</v>
      </c>
    </row>
    <row r="7" spans="2:8" x14ac:dyDescent="0.2">
      <c r="B7" s="18" t="s">
        <v>45</v>
      </c>
      <c r="C7" s="134">
        <f>'Activos Movibles'!F15</f>
        <v>7300000</v>
      </c>
      <c r="F7" s="21">
        <v>5</v>
      </c>
      <c r="G7" s="22">
        <f t="shared" si="0"/>
        <v>1460000</v>
      </c>
    </row>
    <row r="8" spans="2:8" x14ac:dyDescent="0.2">
      <c r="B8" s="18" t="s">
        <v>47</v>
      </c>
      <c r="C8" s="134">
        <v>0</v>
      </c>
      <c r="F8" s="21">
        <v>5</v>
      </c>
      <c r="G8" s="22">
        <f t="shared" si="0"/>
        <v>0</v>
      </c>
    </row>
    <row r="9" spans="2:8" x14ac:dyDescent="0.2">
      <c r="B9" s="18" t="s">
        <v>48</v>
      </c>
      <c r="C9" s="134">
        <v>0</v>
      </c>
      <c r="F9" s="21">
        <v>5</v>
      </c>
      <c r="G9" s="22">
        <f t="shared" si="0"/>
        <v>0</v>
      </c>
    </row>
    <row r="10" spans="2:8" x14ac:dyDescent="0.2">
      <c r="B10" s="70" t="s">
        <v>139</v>
      </c>
      <c r="C10" s="134">
        <v>0</v>
      </c>
      <c r="F10" s="21">
        <v>5</v>
      </c>
      <c r="G10" s="22">
        <f t="shared" si="0"/>
        <v>0</v>
      </c>
    </row>
    <row r="11" spans="2:8" x14ac:dyDescent="0.2">
      <c r="B11" s="18" t="s">
        <v>49</v>
      </c>
      <c r="C11" s="134">
        <v>0</v>
      </c>
      <c r="F11" s="21">
        <v>5</v>
      </c>
      <c r="G11" s="22">
        <f t="shared" si="0"/>
        <v>0</v>
      </c>
    </row>
    <row r="12" spans="2:8" ht="17" thickBot="1" x14ac:dyDescent="0.25">
      <c r="B12" s="23" t="s">
        <v>50</v>
      </c>
      <c r="C12" s="24">
        <f>SUM(C4:C11)</f>
        <v>150620000</v>
      </c>
      <c r="F12" s="21"/>
      <c r="G12" s="22">
        <f>SUM(G5:G11)</f>
        <v>15146000</v>
      </c>
    </row>
    <row r="13" spans="2:8" x14ac:dyDescent="0.2">
      <c r="B13" s="169" t="s">
        <v>42</v>
      </c>
      <c r="C13" s="170"/>
      <c r="D13" s="170"/>
      <c r="E13" s="170"/>
      <c r="F13" s="170"/>
      <c r="G13" s="170"/>
      <c r="H13" s="171"/>
    </row>
    <row r="14" spans="2:8" ht="16" thickBot="1" x14ac:dyDescent="0.25">
      <c r="B14" s="172"/>
      <c r="C14" s="173"/>
      <c r="D14" s="173"/>
      <c r="E14" s="173"/>
      <c r="F14" s="173"/>
      <c r="G14" s="173"/>
      <c r="H14" s="174"/>
    </row>
    <row r="15" spans="2:8" x14ac:dyDescent="0.2">
      <c r="B15" s="25"/>
      <c r="C15" s="25"/>
      <c r="D15" s="25"/>
      <c r="E15" s="25"/>
      <c r="F15" s="25"/>
      <c r="G15" s="25"/>
      <c r="H15" s="25"/>
    </row>
    <row r="16" spans="2:8" x14ac:dyDescent="0.2">
      <c r="B16" s="23" t="s">
        <v>28</v>
      </c>
      <c r="E16" s="23" t="s">
        <v>34</v>
      </c>
      <c r="F16" s="12"/>
    </row>
    <row r="17" spans="2:6" x14ac:dyDescent="0.2">
      <c r="C17" s="23" t="s">
        <v>30</v>
      </c>
      <c r="F17" s="23" t="str">
        <f>C17</f>
        <v>VALOR AÑO 1</v>
      </c>
    </row>
    <row r="18" spans="2:6" x14ac:dyDescent="0.2">
      <c r="B18" s="26" t="s">
        <v>29</v>
      </c>
      <c r="C18" s="134">
        <f>'Gastos fijos'!F3</f>
        <v>28800000</v>
      </c>
      <c r="E18" s="68" t="s">
        <v>138</v>
      </c>
      <c r="F18" s="134">
        <v>0</v>
      </c>
    </row>
    <row r="19" spans="2:6" x14ac:dyDescent="0.2">
      <c r="C19" s="28"/>
      <c r="E19" s="27" t="s">
        <v>35</v>
      </c>
      <c r="F19" s="134">
        <f>'Gastos fijos'!F8</f>
        <v>1560000</v>
      </c>
    </row>
    <row r="20" spans="2:6" x14ac:dyDescent="0.2">
      <c r="B20" s="26" t="s">
        <v>32</v>
      </c>
      <c r="C20" s="134">
        <v>0</v>
      </c>
      <c r="E20" s="27" t="s">
        <v>36</v>
      </c>
      <c r="F20" s="134">
        <f>'Gastos fijos'!F9</f>
        <v>960000</v>
      </c>
    </row>
    <row r="21" spans="2:6" x14ac:dyDescent="0.2">
      <c r="C21" s="28"/>
      <c r="E21" s="27" t="s">
        <v>37</v>
      </c>
      <c r="F21" s="134">
        <f>'Gastos fijos'!F10</f>
        <v>1200000</v>
      </c>
    </row>
    <row r="22" spans="2:6" x14ac:dyDescent="0.2">
      <c r="B22" s="67" t="s">
        <v>137</v>
      </c>
      <c r="C22" s="134">
        <f>SUM('Gastos fijos'!F4:F6)</f>
        <v>48675840</v>
      </c>
      <c r="E22" s="27" t="s">
        <v>38</v>
      </c>
      <c r="F22" s="134">
        <f>'Gastos fijos'!F11</f>
        <v>360000</v>
      </c>
    </row>
    <row r="23" spans="2:6" ht="16" x14ac:dyDescent="0.2">
      <c r="B23" s="2" t="s">
        <v>56</v>
      </c>
      <c r="C23" s="24">
        <f>C18+C20+C22</f>
        <v>77475840</v>
      </c>
      <c r="E23" s="27" t="s">
        <v>39</v>
      </c>
      <c r="F23" s="134">
        <v>0</v>
      </c>
    </row>
    <row r="24" spans="2:6" x14ac:dyDescent="0.2">
      <c r="E24" s="27" t="s">
        <v>40</v>
      </c>
      <c r="F24" s="134">
        <f>'Gastos fijos'!F12</f>
        <v>1800000</v>
      </c>
    </row>
    <row r="25" spans="2:6" ht="25" x14ac:dyDescent="0.2">
      <c r="B25" s="27" t="s">
        <v>140</v>
      </c>
      <c r="C25" s="134">
        <f>'Gastos fijos'!E29</f>
        <v>9893112</v>
      </c>
      <c r="E25" s="52" t="s">
        <v>220</v>
      </c>
      <c r="F25" s="134">
        <f>'Gastos fijos'!F13</f>
        <v>1200000</v>
      </c>
    </row>
    <row r="26" spans="2:6" x14ac:dyDescent="0.2">
      <c r="E26" s="52" t="s">
        <v>222</v>
      </c>
      <c r="F26" s="134">
        <f>'Gastos fijos'!F14</f>
        <v>4000000</v>
      </c>
    </row>
    <row r="27" spans="2:6" x14ac:dyDescent="0.2">
      <c r="B27" s="50" t="s">
        <v>141</v>
      </c>
      <c r="C27" s="50"/>
      <c r="E27" s="52" t="s">
        <v>230</v>
      </c>
      <c r="F27" s="134">
        <f>'Gastos fijos'!F15</f>
        <v>6000000</v>
      </c>
    </row>
    <row r="28" spans="2:6" x14ac:dyDescent="0.2">
      <c r="B28" s="69">
        <f>'1'!G2</f>
        <v>2023</v>
      </c>
      <c r="C28" s="134">
        <v>8500000</v>
      </c>
      <c r="E28" s="52" t="s">
        <v>185</v>
      </c>
      <c r="F28" s="134">
        <v>0</v>
      </c>
    </row>
    <row r="29" spans="2:6" x14ac:dyDescent="0.2">
      <c r="B29" s="69">
        <f>'1'!H2</f>
        <v>2024</v>
      </c>
      <c r="C29" s="134">
        <v>7500000</v>
      </c>
      <c r="E29" s="52" t="s">
        <v>185</v>
      </c>
      <c r="F29" s="134">
        <v>0</v>
      </c>
    </row>
    <row r="30" spans="2:6" x14ac:dyDescent="0.2">
      <c r="B30" s="69">
        <f>'1'!I2</f>
        <v>2025</v>
      </c>
      <c r="C30" s="134">
        <v>6500000</v>
      </c>
      <c r="E30" s="52"/>
      <c r="F30" s="134">
        <v>0</v>
      </c>
    </row>
    <row r="31" spans="2:6" ht="16" x14ac:dyDescent="0.2">
      <c r="B31" s="69">
        <f>'1'!J2</f>
        <v>2026</v>
      </c>
      <c r="C31" s="134">
        <v>5500000</v>
      </c>
      <c r="E31" s="27" t="s">
        <v>41</v>
      </c>
      <c r="F31" s="24">
        <f>SUM(F18:F30)</f>
        <v>17080000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heetViews>
  <sheetFormatPr baseColWidth="10" defaultColWidth="11.5" defaultRowHeight="15" x14ac:dyDescent="0.2"/>
  <cols>
    <col min="1" max="1" width="11.5" style="2"/>
    <col min="2" max="2" width="22" style="2" customWidth="1"/>
    <col min="3" max="3" width="16.1640625" style="2" customWidth="1"/>
    <col min="4" max="4" width="16.6640625" style="2" customWidth="1"/>
    <col min="5" max="5" width="8.6640625" style="2" customWidth="1"/>
    <col min="6" max="6" width="13.5" style="2" customWidth="1"/>
    <col min="7" max="7" width="13.1640625" style="2" customWidth="1"/>
    <col min="8" max="8" width="13.33203125" style="2" customWidth="1"/>
    <col min="9" max="9" width="14.33203125" style="2" customWidth="1"/>
    <col min="10" max="10" width="14.6640625" style="2" customWidth="1"/>
    <col min="11" max="16384" width="11.5" style="2"/>
  </cols>
  <sheetData>
    <row r="2" spans="2:12" ht="29.25" customHeight="1" x14ac:dyDescent="0.2">
      <c r="B2" s="178" t="s">
        <v>115</v>
      </c>
      <c r="C2" s="178"/>
      <c r="D2" s="178"/>
      <c r="E2" s="178"/>
      <c r="F2" s="178"/>
      <c r="G2" s="178"/>
      <c r="H2" s="178"/>
      <c r="I2" s="178"/>
      <c r="J2" s="178"/>
    </row>
    <row r="3" spans="2:12" x14ac:dyDescent="0.2">
      <c r="F3" s="176" t="s">
        <v>62</v>
      </c>
      <c r="G3" s="176"/>
    </row>
    <row r="4" spans="2:12" ht="16" x14ac:dyDescent="0.2">
      <c r="B4" s="3" t="s">
        <v>50</v>
      </c>
      <c r="C4" s="24">
        <f>'2'!C12</f>
        <v>150620000</v>
      </c>
      <c r="F4" s="177">
        <v>0.17</v>
      </c>
      <c r="G4" s="177"/>
      <c r="I4" s="2" t="s">
        <v>147</v>
      </c>
      <c r="J4" s="154">
        <v>5</v>
      </c>
      <c r="L4" s="21">
        <v>1</v>
      </c>
    </row>
    <row r="5" spans="2:12" x14ac:dyDescent="0.2">
      <c r="L5" s="21">
        <v>2</v>
      </c>
    </row>
    <row r="6" spans="2:12" ht="16" thickBot="1" x14ac:dyDescent="0.25">
      <c r="B6" s="3" t="s">
        <v>52</v>
      </c>
      <c r="F6" s="175" t="s">
        <v>116</v>
      </c>
      <c r="G6" s="175"/>
      <c r="H6" s="175"/>
      <c r="I6" s="175"/>
      <c r="J6" s="175"/>
      <c r="L6" s="21">
        <v>3</v>
      </c>
    </row>
    <row r="7" spans="2:12" x14ac:dyDescent="0.2">
      <c r="C7" s="29" t="s">
        <v>54</v>
      </c>
      <c r="D7" s="29" t="s">
        <v>55</v>
      </c>
      <c r="E7" s="72"/>
      <c r="F7" s="73" t="s">
        <v>142</v>
      </c>
      <c r="G7" s="73" t="s">
        <v>143</v>
      </c>
      <c r="H7" s="73" t="s">
        <v>144</v>
      </c>
      <c r="I7" s="73" t="s">
        <v>145</v>
      </c>
      <c r="J7" s="74" t="s">
        <v>146</v>
      </c>
      <c r="L7" s="21">
        <v>4</v>
      </c>
    </row>
    <row r="8" spans="2:12" x14ac:dyDescent="0.2">
      <c r="B8" s="18" t="s">
        <v>53</v>
      </c>
      <c r="C8" s="153">
        <v>6</v>
      </c>
      <c r="D8" s="6">
        <f>('1'!B33/12)*C8</f>
        <v>5526000</v>
      </c>
      <c r="E8" s="75" t="s">
        <v>84</v>
      </c>
      <c r="F8" s="156"/>
      <c r="G8" s="156"/>
      <c r="H8" s="156"/>
      <c r="I8" s="156"/>
      <c r="J8" s="157">
        <f>D16</f>
        <v>88370476</v>
      </c>
      <c r="L8" s="21">
        <v>5</v>
      </c>
    </row>
    <row r="9" spans="2:12" x14ac:dyDescent="0.2">
      <c r="B9" s="18" t="s">
        <v>57</v>
      </c>
      <c r="C9" s="153">
        <v>6</v>
      </c>
      <c r="D9" s="6">
        <f>('2'!C23/12)*C9</f>
        <v>38737920</v>
      </c>
      <c r="E9" s="75">
        <f>'1'!B31</f>
        <v>2022</v>
      </c>
      <c r="F9" s="158">
        <f t="shared" ref="F9:F13" si="0">IF(J8&gt;0,J8,0)</f>
        <v>88370476</v>
      </c>
      <c r="G9" s="158">
        <f>F9*$F$4</f>
        <v>15022980.920000002</v>
      </c>
      <c r="H9" s="158">
        <f>IF(J8&lt;1,0,(I9-G9))</f>
        <v>12598436.552567333</v>
      </c>
      <c r="I9" s="158">
        <f>PMT(F4,J4,J8)*-1</f>
        <v>27621417.472567335</v>
      </c>
      <c r="J9" s="159">
        <f>F9-H9</f>
        <v>75772039.447432667</v>
      </c>
    </row>
    <row r="10" spans="2:12" x14ac:dyDescent="0.2">
      <c r="B10" s="18" t="s">
        <v>58</v>
      </c>
      <c r="C10" s="153">
        <v>6</v>
      </c>
      <c r="D10" s="6">
        <f>('2'!C25/12)*C10</f>
        <v>4946556</v>
      </c>
      <c r="E10" s="75">
        <f>'1'!C31</f>
        <v>2023</v>
      </c>
      <c r="F10" s="158">
        <f t="shared" si="0"/>
        <v>75772039.447432667</v>
      </c>
      <c r="G10" s="158">
        <f t="shared" ref="G10:G13" si="1">F10*$F$4</f>
        <v>12881246.706063554</v>
      </c>
      <c r="H10" s="158">
        <f t="shared" ref="H10:H13" si="2">IF(J9&lt;1,0,(I10-G10))</f>
        <v>14740170.766503781</v>
      </c>
      <c r="I10" s="158">
        <f>IF(J9&lt;1,0,(I9*(1+$K$7)))</f>
        <v>27621417.472567335</v>
      </c>
      <c r="J10" s="159">
        <f t="shared" ref="J10:J13" si="3">F10-H10</f>
        <v>61031868.680928886</v>
      </c>
    </row>
    <row r="11" spans="2:12" x14ac:dyDescent="0.2">
      <c r="B11" s="18" t="s">
        <v>33</v>
      </c>
      <c r="C11" s="153">
        <v>6</v>
      </c>
      <c r="D11" s="6">
        <f>('2'!F31/12)*C11</f>
        <v>8540000</v>
      </c>
      <c r="E11" s="75">
        <f>'1'!D31</f>
        <v>2024</v>
      </c>
      <c r="F11" s="158">
        <f t="shared" si="0"/>
        <v>61031868.680928886</v>
      </c>
      <c r="G11" s="158">
        <f t="shared" si="1"/>
        <v>10375417.675757911</v>
      </c>
      <c r="H11" s="158">
        <f t="shared" si="2"/>
        <v>17245999.796809424</v>
      </c>
      <c r="I11" s="158">
        <f t="shared" ref="I11:I13" si="4">IF(J10&lt;1,0,(I10*(1+$K$7)))</f>
        <v>27621417.472567335</v>
      </c>
      <c r="J11" s="159">
        <f t="shared" si="3"/>
        <v>43785868.884119466</v>
      </c>
    </row>
    <row r="12" spans="2:12" ht="16" x14ac:dyDescent="0.2">
      <c r="B12" s="30" t="s">
        <v>8</v>
      </c>
      <c r="C12" s="20"/>
      <c r="D12" s="31">
        <f>SUM(D8:D11)</f>
        <v>57750476</v>
      </c>
      <c r="E12" s="75">
        <f>'1'!E31</f>
        <v>2025</v>
      </c>
      <c r="F12" s="158">
        <f t="shared" si="0"/>
        <v>43785868.884119466</v>
      </c>
      <c r="G12" s="158">
        <f t="shared" si="1"/>
        <v>7443597.7103003096</v>
      </c>
      <c r="H12" s="158">
        <f t="shared" si="2"/>
        <v>20177819.762267023</v>
      </c>
      <c r="I12" s="158">
        <f t="shared" si="4"/>
        <v>27621417.472567335</v>
      </c>
      <c r="J12" s="159">
        <f t="shared" si="3"/>
        <v>23608049.121852443</v>
      </c>
    </row>
    <row r="13" spans="2:12" ht="16" thickBot="1" x14ac:dyDescent="0.25">
      <c r="E13" s="76">
        <f>'1'!F31</f>
        <v>2026</v>
      </c>
      <c r="F13" s="160">
        <f t="shared" si="0"/>
        <v>23608049.121852443</v>
      </c>
      <c r="G13" s="160">
        <f t="shared" si="1"/>
        <v>4013368.3507149154</v>
      </c>
      <c r="H13" s="160">
        <f t="shared" si="2"/>
        <v>23608049.12185242</v>
      </c>
      <c r="I13" s="160">
        <f t="shared" si="4"/>
        <v>27621417.472567335</v>
      </c>
      <c r="J13" s="161">
        <f t="shared" si="3"/>
        <v>0</v>
      </c>
    </row>
    <row r="14" spans="2:12" ht="16" x14ac:dyDescent="0.2">
      <c r="B14" s="18" t="s">
        <v>59</v>
      </c>
      <c r="D14" s="24">
        <f>C4+D12</f>
        <v>208370476</v>
      </c>
    </row>
    <row r="15" spans="2:12" x14ac:dyDescent="0.2">
      <c r="B15" s="18" t="s">
        <v>60</v>
      </c>
      <c r="D15" s="155">
        <v>120000000</v>
      </c>
    </row>
    <row r="16" spans="2:12" ht="16" x14ac:dyDescent="0.2">
      <c r="B16" s="18" t="s">
        <v>61</v>
      </c>
      <c r="D16" s="32">
        <f>D14-D15</f>
        <v>88370476</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9"/>
  <sheetViews>
    <sheetView showGridLines="0" zoomScale="90" zoomScaleNormal="90" workbookViewId="0">
      <pane xSplit="7" ySplit="1" topLeftCell="H2" activePane="bottomRight" state="frozenSplit"/>
      <selection pane="topRight" activeCell="E1" sqref="E1"/>
      <selection pane="bottomLeft" activeCell="A12" sqref="A12"/>
      <selection pane="bottomRight" sqref="A1:G1"/>
    </sheetView>
  </sheetViews>
  <sheetFormatPr baseColWidth="10" defaultColWidth="11.5" defaultRowHeight="14" x14ac:dyDescent="0.15"/>
  <cols>
    <col min="1" max="1" width="26.6640625" style="199" customWidth="1"/>
    <col min="2" max="2" width="25.83203125" style="199" bestFit="1" customWidth="1"/>
    <col min="3" max="3" width="21.6640625" style="199" bestFit="1" customWidth="1"/>
    <col min="4" max="7" width="18.5" style="199" bestFit="1" customWidth="1"/>
    <col min="8" max="16384" width="11.5" style="199"/>
  </cols>
  <sheetData>
    <row r="1" spans="1:7" ht="34.5" customHeight="1" x14ac:dyDescent="0.15">
      <c r="A1" s="200" t="s">
        <v>117</v>
      </c>
      <c r="B1" s="200"/>
      <c r="C1" s="200"/>
      <c r="D1" s="200"/>
      <c r="E1" s="200"/>
      <c r="F1" s="200"/>
      <c r="G1" s="200"/>
    </row>
    <row r="2" spans="1:7" ht="23" x14ac:dyDescent="0.15">
      <c r="A2" s="204" t="s">
        <v>132</v>
      </c>
      <c r="B2" s="204"/>
      <c r="C2" s="204"/>
      <c r="D2" s="204"/>
      <c r="E2" s="204"/>
      <c r="F2" s="204"/>
      <c r="G2" s="204"/>
    </row>
    <row r="3" spans="1:7" ht="8.25" customHeight="1" x14ac:dyDescent="0.15">
      <c r="A3" s="201"/>
      <c r="B3" s="201"/>
      <c r="C3" s="201"/>
      <c r="D3" s="201"/>
      <c r="E3" s="201"/>
      <c r="F3" s="201"/>
      <c r="G3" s="201"/>
    </row>
    <row r="4" spans="1:7" ht="16" x14ac:dyDescent="0.2">
      <c r="A4" s="205" t="s">
        <v>89</v>
      </c>
      <c r="B4" s="205"/>
      <c r="C4" s="205"/>
      <c r="D4" s="205"/>
      <c r="E4" s="205"/>
      <c r="F4" s="205"/>
      <c r="G4" s="205"/>
    </row>
    <row r="5" spans="1:7" ht="16" x14ac:dyDescent="0.2">
      <c r="A5" s="206"/>
      <c r="B5" s="206"/>
      <c r="C5" s="207">
        <f>'1'!B31</f>
        <v>2022</v>
      </c>
      <c r="D5" s="207">
        <f>'1'!C31</f>
        <v>2023</v>
      </c>
      <c r="E5" s="207">
        <f>'1'!D31</f>
        <v>2024</v>
      </c>
      <c r="F5" s="207">
        <f>'1'!E31</f>
        <v>2025</v>
      </c>
      <c r="G5" s="207">
        <f>'1'!F31</f>
        <v>2026</v>
      </c>
    </row>
    <row r="6" spans="1:7" ht="16" x14ac:dyDescent="0.2">
      <c r="A6" s="206"/>
      <c r="B6" s="206" t="s">
        <v>31</v>
      </c>
      <c r="C6" s="208">
        <f>'1'!B32</f>
        <v>226450000</v>
      </c>
      <c r="D6" s="208">
        <f>'1'!C32</f>
        <v>247616281.50000003</v>
      </c>
      <c r="E6" s="208">
        <f>'1'!D32</f>
        <v>274222650.94717503</v>
      </c>
      <c r="F6" s="208">
        <f>'1'!E32</f>
        <v>307869770.21839345</v>
      </c>
      <c r="G6" s="208">
        <f>'1'!F32</f>
        <v>350962301.95586205</v>
      </c>
    </row>
    <row r="7" spans="1:7" ht="16" x14ac:dyDescent="0.2">
      <c r="A7" s="206"/>
      <c r="B7" s="206" t="s">
        <v>66</v>
      </c>
      <c r="C7" s="208">
        <f>'1'!B33</f>
        <v>11052000</v>
      </c>
      <c r="D7" s="208">
        <f>'1'!C33</f>
        <v>12184830</v>
      </c>
      <c r="E7" s="208">
        <f>'1'!D33</f>
        <v>13428901.143000003</v>
      </c>
      <c r="F7" s="208">
        <f>'1'!E33</f>
        <v>14930252.290787404</v>
      </c>
      <c r="G7" s="208">
        <f>'1'!F33</f>
        <v>16738305.84320176</v>
      </c>
    </row>
    <row r="8" spans="1:7" ht="17" thickBot="1" x14ac:dyDescent="0.25">
      <c r="A8" s="206"/>
      <c r="B8" s="209" t="s">
        <v>67</v>
      </c>
      <c r="C8" s="210">
        <f>C6-C7</f>
        <v>215398000</v>
      </c>
      <c r="D8" s="210">
        <f t="shared" ref="D8:G8" si="0">D6-D7</f>
        <v>235431451.50000003</v>
      </c>
      <c r="E8" s="210">
        <f t="shared" si="0"/>
        <v>260793749.80417502</v>
      </c>
      <c r="F8" s="210">
        <f t="shared" si="0"/>
        <v>292939517.92760605</v>
      </c>
      <c r="G8" s="210">
        <f t="shared" si="0"/>
        <v>334223996.11266029</v>
      </c>
    </row>
    <row r="9" spans="1:7" ht="17" thickTop="1" x14ac:dyDescent="0.2">
      <c r="A9" s="206"/>
      <c r="B9" s="206" t="s">
        <v>68</v>
      </c>
      <c r="C9" s="208">
        <f>'2'!C23</f>
        <v>77475840</v>
      </c>
      <c r="D9" s="208">
        <f>C9*(1+'1'!Z4)</f>
        <v>80683339.776000008</v>
      </c>
      <c r="E9" s="208">
        <f>D9*(1+'1'!AA4)</f>
        <v>83507256.668160006</v>
      </c>
      <c r="F9" s="208">
        <f>E9*(1+'1'!AB4)</f>
        <v>86012474.368204802</v>
      </c>
      <c r="G9" s="208">
        <f>F9*(1+'1'!AC4)</f>
        <v>88334811.176146328</v>
      </c>
    </row>
    <row r="10" spans="1:7" ht="16" x14ac:dyDescent="0.2">
      <c r="A10" s="206"/>
      <c r="B10" s="206" t="s">
        <v>134</v>
      </c>
      <c r="C10" s="208">
        <f>'2'!F31</f>
        <v>17080000</v>
      </c>
      <c r="D10" s="208">
        <f>C10*(1+'1'!Z4)</f>
        <v>17787112</v>
      </c>
      <c r="E10" s="208">
        <f>D10*(1+'1'!AA4)</f>
        <v>18409660.919999998</v>
      </c>
      <c r="F10" s="208">
        <f>E10*(1+'1'!AB4)</f>
        <v>18961950.7476</v>
      </c>
      <c r="G10" s="208">
        <f>F10*(1+'1'!AC4)</f>
        <v>19473923.417785197</v>
      </c>
    </row>
    <row r="11" spans="1:7" ht="16" x14ac:dyDescent="0.2">
      <c r="A11" s="206"/>
      <c r="B11" s="206" t="s">
        <v>69</v>
      </c>
      <c r="C11" s="208">
        <f>'2'!C25</f>
        <v>9893112</v>
      </c>
      <c r="D11" s="208">
        <f>'2'!C28</f>
        <v>8500000</v>
      </c>
      <c r="E11" s="208">
        <f>'2'!C29</f>
        <v>7500000</v>
      </c>
      <c r="F11" s="208">
        <f>'2'!C30</f>
        <v>6500000</v>
      </c>
      <c r="G11" s="208">
        <f>'2'!C31</f>
        <v>5500000</v>
      </c>
    </row>
    <row r="12" spans="1:7" ht="16" x14ac:dyDescent="0.2">
      <c r="A12" s="206"/>
      <c r="B12" s="206" t="s">
        <v>86</v>
      </c>
      <c r="C12" s="208">
        <f>'2'!G12</f>
        <v>15146000</v>
      </c>
      <c r="D12" s="208">
        <f>C12</f>
        <v>15146000</v>
      </c>
      <c r="E12" s="208">
        <f t="shared" ref="E12:G12" si="1">D12</f>
        <v>15146000</v>
      </c>
      <c r="F12" s="208">
        <f t="shared" si="1"/>
        <v>15146000</v>
      </c>
      <c r="G12" s="208">
        <f t="shared" si="1"/>
        <v>15146000</v>
      </c>
    </row>
    <row r="13" spans="1:7" ht="17" thickBot="1" x14ac:dyDescent="0.25">
      <c r="A13" s="206"/>
      <c r="B13" s="209" t="s">
        <v>70</v>
      </c>
      <c r="C13" s="211">
        <f>C8-C9-C10-C11-C12</f>
        <v>95803048</v>
      </c>
      <c r="D13" s="211">
        <f t="shared" ref="D13:G13" si="2">D8-D9-D10-D11-D12</f>
        <v>113314999.72400004</v>
      </c>
      <c r="E13" s="211">
        <f t="shared" si="2"/>
        <v>136230832.21601501</v>
      </c>
      <c r="F13" s="211">
        <f t="shared" si="2"/>
        <v>166319092.81180125</v>
      </c>
      <c r="G13" s="211">
        <f t="shared" si="2"/>
        <v>205769261.51872876</v>
      </c>
    </row>
    <row r="14" spans="1:7" ht="17" thickTop="1" x14ac:dyDescent="0.2">
      <c r="A14" s="206"/>
      <c r="B14" s="206" t="s">
        <v>71</v>
      </c>
      <c r="C14" s="208">
        <f>'3'!G9</f>
        <v>15022980.920000002</v>
      </c>
      <c r="D14" s="208">
        <f>'3'!G10</f>
        <v>12881246.706063554</v>
      </c>
      <c r="E14" s="208">
        <f>'3'!G11</f>
        <v>10375417.675757911</v>
      </c>
      <c r="F14" s="208">
        <f>'3'!G12</f>
        <v>7443597.7103003096</v>
      </c>
      <c r="G14" s="208">
        <f>'3'!G13</f>
        <v>4013368.3507149154</v>
      </c>
    </row>
    <row r="15" spans="1:7" ht="17" thickBot="1" x14ac:dyDescent="0.25">
      <c r="A15" s="206"/>
      <c r="B15" s="209" t="s">
        <v>72</v>
      </c>
      <c r="C15" s="211">
        <f>C13-C14</f>
        <v>80780067.079999998</v>
      </c>
      <c r="D15" s="211">
        <f t="shared" ref="D15:G15" si="3">D13-D14</f>
        <v>100433753.01793648</v>
      </c>
      <c r="E15" s="211">
        <f t="shared" si="3"/>
        <v>125855414.5402571</v>
      </c>
      <c r="F15" s="211">
        <f t="shared" si="3"/>
        <v>158875495.10150096</v>
      </c>
      <c r="G15" s="211">
        <f t="shared" si="3"/>
        <v>201755893.16801384</v>
      </c>
    </row>
    <row r="16" spans="1:7" ht="17" thickTop="1" x14ac:dyDescent="0.2">
      <c r="A16" s="206"/>
      <c r="B16" s="206" t="s">
        <v>73</v>
      </c>
      <c r="C16" s="212">
        <f>IF(C15*'1'!$AB$7&lt;0,0,C15*'1'!$AB$7)</f>
        <v>24234020.123999998</v>
      </c>
      <c r="D16" s="212">
        <f>IF(D15*'1'!$AB$7&lt;0,0,D15*'1'!$AB$7)</f>
        <v>30130125.905380946</v>
      </c>
      <c r="E16" s="212">
        <f>IF(E15*'1'!$AB$7&lt;0,0,E15*'1'!$AB$7)</f>
        <v>37756624.362077124</v>
      </c>
      <c r="F16" s="212">
        <f>IF(F15*'1'!$AB$7&lt;0,0,F15*'1'!$AB$7)</f>
        <v>47662648.530450284</v>
      </c>
      <c r="G16" s="212">
        <f>IF(G15*'1'!$AB$7&lt;0,0,G15*'1'!$AB$7)</f>
        <v>60526767.950404152</v>
      </c>
    </row>
    <row r="17" spans="1:8" ht="17" thickBot="1" x14ac:dyDescent="0.25">
      <c r="A17" s="206"/>
      <c r="B17" s="213" t="s">
        <v>74</v>
      </c>
      <c r="C17" s="214">
        <f>C15-C16</f>
        <v>56546046.956</v>
      </c>
      <c r="D17" s="214">
        <f t="shared" ref="D17:G17" si="4">D15-D16</f>
        <v>70303627.112555534</v>
      </c>
      <c r="E17" s="214">
        <f t="shared" si="4"/>
        <v>88098790.178179979</v>
      </c>
      <c r="F17" s="214">
        <f t="shared" si="4"/>
        <v>111212846.57105067</v>
      </c>
      <c r="G17" s="214">
        <f t="shared" si="4"/>
        <v>141229125.2176097</v>
      </c>
    </row>
    <row r="18" spans="1:8" ht="16" x14ac:dyDescent="0.2">
      <c r="A18" s="206"/>
      <c r="B18" s="206"/>
      <c r="C18" s="206"/>
      <c r="D18" s="206"/>
      <c r="E18" s="206"/>
      <c r="F18" s="206"/>
      <c r="G18" s="206"/>
    </row>
    <row r="19" spans="1:8" ht="16" x14ac:dyDescent="0.2">
      <c r="A19" s="205" t="s">
        <v>64</v>
      </c>
      <c r="B19" s="205"/>
      <c r="C19" s="205"/>
      <c r="D19" s="205"/>
      <c r="E19" s="205"/>
      <c r="F19" s="205"/>
      <c r="G19" s="205"/>
    </row>
    <row r="20" spans="1:8" ht="16" x14ac:dyDescent="0.2">
      <c r="A20" s="206"/>
      <c r="B20" s="207" t="s">
        <v>84</v>
      </c>
      <c r="C20" s="207">
        <f>C5</f>
        <v>2022</v>
      </c>
      <c r="D20" s="207">
        <f>D5</f>
        <v>2023</v>
      </c>
      <c r="E20" s="207">
        <f>E5</f>
        <v>2024</v>
      </c>
      <c r="F20" s="207">
        <f>F5</f>
        <v>2025</v>
      </c>
      <c r="G20" s="207">
        <f>G5</f>
        <v>2026</v>
      </c>
    </row>
    <row r="21" spans="1:8" ht="16" x14ac:dyDescent="0.2">
      <c r="A21" s="202" t="s">
        <v>65</v>
      </c>
      <c r="B21" s="202"/>
      <c r="C21" s="202"/>
      <c r="D21" s="202"/>
      <c r="E21" s="202"/>
      <c r="F21" s="202"/>
      <c r="G21" s="202"/>
    </row>
    <row r="22" spans="1:8" ht="16" x14ac:dyDescent="0.2">
      <c r="A22" s="206" t="s">
        <v>95</v>
      </c>
      <c r="B22" s="215">
        <f>B38-B26</f>
        <v>57750476</v>
      </c>
      <c r="C22" s="215">
        <f t="shared" ref="C22:G22" si="5">C38-C26</f>
        <v>141078106.52743268</v>
      </c>
      <c r="D22" s="215">
        <f t="shared" si="5"/>
        <v>161137621.69886535</v>
      </c>
      <c r="E22" s="215">
        <f t="shared" si="5"/>
        <v>184459283.42437661</v>
      </c>
      <c r="F22" s="215">
        <f t="shared" si="5"/>
        <v>212447544.22335339</v>
      </c>
      <c r="G22" s="215">
        <f t="shared" si="5"/>
        <v>246865893.16801387</v>
      </c>
    </row>
    <row r="23" spans="1:8" ht="16" x14ac:dyDescent="0.2">
      <c r="A23" s="206" t="s">
        <v>93</v>
      </c>
      <c r="B23" s="215">
        <f>'2'!C4</f>
        <v>20500000</v>
      </c>
      <c r="C23" s="215">
        <f>B23</f>
        <v>20500000</v>
      </c>
      <c r="D23" s="215">
        <f t="shared" ref="D23:G23" si="6">C23</f>
        <v>20500000</v>
      </c>
      <c r="E23" s="215">
        <f t="shared" si="6"/>
        <v>20500000</v>
      </c>
      <c r="F23" s="215">
        <f t="shared" si="6"/>
        <v>20500000</v>
      </c>
      <c r="G23" s="215">
        <f t="shared" si="6"/>
        <v>20500000</v>
      </c>
      <c r="H23" s="203"/>
    </row>
    <row r="24" spans="1:8" ht="16" x14ac:dyDescent="0.2">
      <c r="A24" s="206" t="s">
        <v>94</v>
      </c>
      <c r="B24" s="215">
        <f>'2'!C12-'2'!C4</f>
        <v>130120000</v>
      </c>
      <c r="C24" s="215">
        <f>B24</f>
        <v>130120000</v>
      </c>
      <c r="D24" s="215">
        <f t="shared" ref="D24:G24" si="7">C24</f>
        <v>130120000</v>
      </c>
      <c r="E24" s="215">
        <f t="shared" si="7"/>
        <v>130120000</v>
      </c>
      <c r="F24" s="215">
        <f t="shared" si="7"/>
        <v>130120000</v>
      </c>
      <c r="G24" s="215">
        <f t="shared" si="7"/>
        <v>130120000</v>
      </c>
      <c r="H24" s="203"/>
    </row>
    <row r="25" spans="1:8" ht="16" x14ac:dyDescent="0.2">
      <c r="A25" s="206" t="s">
        <v>87</v>
      </c>
      <c r="B25" s="215">
        <v>0</v>
      </c>
      <c r="C25" s="215">
        <f>C12</f>
        <v>15146000</v>
      </c>
      <c r="D25" s="215">
        <f>D12+C12</f>
        <v>30292000</v>
      </c>
      <c r="E25" s="215">
        <f>E12+D12+C12</f>
        <v>45438000</v>
      </c>
      <c r="F25" s="215">
        <f>F12+E12+D12+C12</f>
        <v>60584000</v>
      </c>
      <c r="G25" s="215">
        <f>F25+G12</f>
        <v>75730000</v>
      </c>
      <c r="H25" s="203"/>
    </row>
    <row r="26" spans="1:8" ht="16" x14ac:dyDescent="0.2">
      <c r="A26" s="206" t="s">
        <v>88</v>
      </c>
      <c r="B26" s="215">
        <f>B23+(B24-B25)</f>
        <v>150620000</v>
      </c>
      <c r="C26" s="215">
        <f>C23+(C24-C25)</f>
        <v>135474000</v>
      </c>
      <c r="D26" s="215">
        <f t="shared" ref="D26:G26" si="8">D23+(D24-D25)</f>
        <v>120328000</v>
      </c>
      <c r="E26" s="215">
        <f t="shared" si="8"/>
        <v>105182000</v>
      </c>
      <c r="F26" s="215">
        <f t="shared" si="8"/>
        <v>90036000</v>
      </c>
      <c r="G26" s="215">
        <f t="shared" si="8"/>
        <v>74890000</v>
      </c>
      <c r="H26" s="203"/>
    </row>
    <row r="27" spans="1:8" ht="17" thickBot="1" x14ac:dyDescent="0.25">
      <c r="A27" s="209" t="s">
        <v>85</v>
      </c>
      <c r="B27" s="216">
        <f>B22+B26</f>
        <v>208370476</v>
      </c>
      <c r="C27" s="216">
        <f t="shared" ref="C27:G27" si="9">C22+C26</f>
        <v>276552106.52743268</v>
      </c>
      <c r="D27" s="216">
        <f t="shared" si="9"/>
        <v>281465621.69886535</v>
      </c>
      <c r="E27" s="216">
        <f t="shared" si="9"/>
        <v>289641283.42437661</v>
      </c>
      <c r="F27" s="216">
        <f t="shared" si="9"/>
        <v>302483544.22335339</v>
      </c>
      <c r="G27" s="216">
        <f t="shared" si="9"/>
        <v>321755893.16801387</v>
      </c>
      <c r="H27" s="203"/>
    </row>
    <row r="28" spans="1:8" ht="17" thickTop="1" x14ac:dyDescent="0.2">
      <c r="A28" s="202" t="s">
        <v>75</v>
      </c>
      <c r="B28" s="202"/>
      <c r="C28" s="202"/>
      <c r="D28" s="202"/>
      <c r="E28" s="202"/>
      <c r="F28" s="202"/>
      <c r="G28" s="202"/>
    </row>
    <row r="29" spans="1:8" ht="16" x14ac:dyDescent="0.2">
      <c r="A29" s="206" t="s">
        <v>76</v>
      </c>
      <c r="B29" s="206">
        <v>0</v>
      </c>
      <c r="C29" s="212">
        <f>C16</f>
        <v>24234020.123999998</v>
      </c>
      <c r="D29" s="212">
        <f>D16</f>
        <v>30130125.905380946</v>
      </c>
      <c r="E29" s="212">
        <f>E16</f>
        <v>37756624.362077124</v>
      </c>
      <c r="F29" s="212">
        <f>F16</f>
        <v>47662648.530450284</v>
      </c>
      <c r="G29" s="212">
        <f>G16</f>
        <v>60526767.950404152</v>
      </c>
    </row>
    <row r="30" spans="1:8" ht="16" x14ac:dyDescent="0.2">
      <c r="A30" s="206" t="s">
        <v>77</v>
      </c>
      <c r="B30" s="212">
        <f>B29</f>
        <v>0</v>
      </c>
      <c r="C30" s="212">
        <f t="shared" ref="C30:G30" si="10">C29</f>
        <v>24234020.123999998</v>
      </c>
      <c r="D30" s="212">
        <f t="shared" si="10"/>
        <v>30130125.905380946</v>
      </c>
      <c r="E30" s="212">
        <f t="shared" si="10"/>
        <v>37756624.362077124</v>
      </c>
      <c r="F30" s="212">
        <f t="shared" si="10"/>
        <v>47662648.530450284</v>
      </c>
      <c r="G30" s="212">
        <f t="shared" si="10"/>
        <v>60526767.950404152</v>
      </c>
    </row>
    <row r="31" spans="1:8" ht="16" x14ac:dyDescent="0.2">
      <c r="A31" s="206" t="s">
        <v>78</v>
      </c>
      <c r="B31" s="217">
        <f>'3'!J8</f>
        <v>88370476</v>
      </c>
      <c r="C31" s="217">
        <f>'3'!J9</f>
        <v>75772039.447432667</v>
      </c>
      <c r="D31" s="217">
        <f>'3'!J10</f>
        <v>61031868.680928886</v>
      </c>
      <c r="E31" s="217">
        <f>'3'!J11</f>
        <v>43785868.884119466</v>
      </c>
      <c r="F31" s="217">
        <f>'3'!J12</f>
        <v>23608049.121852443</v>
      </c>
      <c r="G31" s="217">
        <f>'3'!J13</f>
        <v>0</v>
      </c>
    </row>
    <row r="32" spans="1:8" ht="17" thickBot="1" x14ac:dyDescent="0.25">
      <c r="A32" s="209" t="s">
        <v>75</v>
      </c>
      <c r="B32" s="216">
        <f>B30+B31</f>
        <v>88370476</v>
      </c>
      <c r="C32" s="216">
        <f t="shared" ref="C32:G32" si="11">C30+C31</f>
        <v>100006059.57143266</v>
      </c>
      <c r="D32" s="216">
        <f t="shared" si="11"/>
        <v>91161994.586309835</v>
      </c>
      <c r="E32" s="216">
        <f t="shared" si="11"/>
        <v>81542493.246196598</v>
      </c>
      <c r="F32" s="216">
        <f t="shared" si="11"/>
        <v>71270697.652302727</v>
      </c>
      <c r="G32" s="216">
        <f t="shared" si="11"/>
        <v>60526767.950404152</v>
      </c>
    </row>
    <row r="33" spans="1:7" ht="17" thickTop="1" x14ac:dyDescent="0.2">
      <c r="A33" s="202" t="s">
        <v>79</v>
      </c>
      <c r="B33" s="202"/>
      <c r="C33" s="202"/>
      <c r="D33" s="202"/>
      <c r="E33" s="202"/>
      <c r="F33" s="202"/>
      <c r="G33" s="202"/>
    </row>
    <row r="34" spans="1:7" ht="16" x14ac:dyDescent="0.2">
      <c r="A34" s="206" t="s">
        <v>80</v>
      </c>
      <c r="B34" s="215">
        <f>'3'!D15</f>
        <v>120000000</v>
      </c>
      <c r="C34" s="215">
        <f>B34</f>
        <v>120000000</v>
      </c>
      <c r="D34" s="215">
        <f t="shared" ref="D34:G34" si="12">C34</f>
        <v>120000000</v>
      </c>
      <c r="E34" s="215">
        <f t="shared" si="12"/>
        <v>120000000</v>
      </c>
      <c r="F34" s="215">
        <f t="shared" si="12"/>
        <v>120000000</v>
      </c>
      <c r="G34" s="215">
        <f t="shared" si="12"/>
        <v>120000000</v>
      </c>
    </row>
    <row r="35" spans="1:7" ht="16" x14ac:dyDescent="0.2">
      <c r="A35" s="206" t="s">
        <v>81</v>
      </c>
      <c r="B35" s="206">
        <v>0</v>
      </c>
      <c r="C35" s="212">
        <f>C17</f>
        <v>56546046.956</v>
      </c>
      <c r="D35" s="212">
        <f>D17</f>
        <v>70303627.112555534</v>
      </c>
      <c r="E35" s="212">
        <f>E17</f>
        <v>88098790.178179979</v>
      </c>
      <c r="F35" s="212">
        <f>F17</f>
        <v>111212846.57105067</v>
      </c>
      <c r="G35" s="212">
        <f>G17</f>
        <v>141229125.2176097</v>
      </c>
    </row>
    <row r="36" spans="1:7" ht="17" thickBot="1" x14ac:dyDescent="0.25">
      <c r="A36" s="209" t="s">
        <v>82</v>
      </c>
      <c r="B36" s="216">
        <f>B34+B35</f>
        <v>120000000</v>
      </c>
      <c r="C36" s="216">
        <f t="shared" ref="C36:G36" si="13">C34+C35</f>
        <v>176546046.956</v>
      </c>
      <c r="D36" s="216">
        <f t="shared" si="13"/>
        <v>190303627.11255553</v>
      </c>
      <c r="E36" s="216">
        <f t="shared" si="13"/>
        <v>208098790.17817998</v>
      </c>
      <c r="F36" s="216">
        <f t="shared" si="13"/>
        <v>231212846.57105067</v>
      </c>
      <c r="G36" s="216">
        <f t="shared" si="13"/>
        <v>261229125.2176097</v>
      </c>
    </row>
    <row r="37" spans="1:7" ht="17" thickTop="1" x14ac:dyDescent="0.2">
      <c r="A37" s="206"/>
      <c r="B37" s="206"/>
      <c r="C37" s="206"/>
      <c r="D37" s="206"/>
      <c r="E37" s="206"/>
      <c r="F37" s="206"/>
      <c r="G37" s="206"/>
    </row>
    <row r="38" spans="1:7" ht="17" thickBot="1" x14ac:dyDescent="0.25">
      <c r="A38" s="209" t="s">
        <v>83</v>
      </c>
      <c r="B38" s="216">
        <f>B32+B36</f>
        <v>208370476</v>
      </c>
      <c r="C38" s="216">
        <f t="shared" ref="C38:G38" si="14">C32+C36</f>
        <v>276552106.52743268</v>
      </c>
      <c r="D38" s="216">
        <f t="shared" si="14"/>
        <v>281465621.69886535</v>
      </c>
      <c r="E38" s="216">
        <f t="shared" si="14"/>
        <v>289641283.42437661</v>
      </c>
      <c r="F38" s="216">
        <f t="shared" si="14"/>
        <v>302483544.22335339</v>
      </c>
      <c r="G38" s="216">
        <f t="shared" si="14"/>
        <v>321755893.16801387</v>
      </c>
    </row>
    <row r="39" spans="1:7" ht="17" thickTop="1" x14ac:dyDescent="0.2">
      <c r="A39" s="218" t="s">
        <v>90</v>
      </c>
      <c r="B39" s="219">
        <f>B27-B38</f>
        <v>0</v>
      </c>
      <c r="C39" s="219">
        <f t="shared" ref="C39:G39" si="15">C27-C38</f>
        <v>0</v>
      </c>
      <c r="D39" s="219">
        <f t="shared" si="15"/>
        <v>0</v>
      </c>
      <c r="E39" s="219">
        <f t="shared" si="15"/>
        <v>0</v>
      </c>
      <c r="F39" s="219">
        <f t="shared" si="15"/>
        <v>0</v>
      </c>
      <c r="G39" s="219">
        <f t="shared" si="15"/>
        <v>0</v>
      </c>
    </row>
    <row r="41" spans="1:7" ht="16" x14ac:dyDescent="0.2">
      <c r="A41" s="202" t="s">
        <v>96</v>
      </c>
      <c r="B41" s="202"/>
      <c r="C41" s="202"/>
      <c r="D41" s="202"/>
      <c r="E41" s="202"/>
      <c r="F41" s="202"/>
      <c r="G41" s="202"/>
    </row>
    <row r="42" spans="1:7" ht="16" x14ac:dyDescent="0.2">
      <c r="A42" s="205" t="s">
        <v>97</v>
      </c>
      <c r="B42" s="205"/>
      <c r="C42" s="205"/>
      <c r="D42" s="205"/>
      <c r="E42" s="205"/>
      <c r="F42" s="205"/>
      <c r="G42" s="205"/>
    </row>
    <row r="43" spans="1:7" ht="16" x14ac:dyDescent="0.2">
      <c r="A43" s="220"/>
      <c r="B43" s="227" t="s">
        <v>84</v>
      </c>
      <c r="C43" s="227">
        <f>C20</f>
        <v>2022</v>
      </c>
      <c r="D43" s="227">
        <f t="shared" ref="D43:G43" si="16">D20</f>
        <v>2023</v>
      </c>
      <c r="E43" s="227">
        <f t="shared" si="16"/>
        <v>2024</v>
      </c>
      <c r="F43" s="227">
        <f t="shared" si="16"/>
        <v>2025</v>
      </c>
      <c r="G43" s="227">
        <f t="shared" si="16"/>
        <v>2026</v>
      </c>
    </row>
    <row r="44" spans="1:7" ht="16" x14ac:dyDescent="0.2">
      <c r="A44" s="221" t="s">
        <v>98</v>
      </c>
      <c r="B44" s="228">
        <f>B22</f>
        <v>57750476</v>
      </c>
      <c r="C44" s="228">
        <f t="shared" ref="C44:G44" si="17">C22</f>
        <v>141078106.52743268</v>
      </c>
      <c r="D44" s="228">
        <f t="shared" si="17"/>
        <v>161137621.69886535</v>
      </c>
      <c r="E44" s="228">
        <f t="shared" si="17"/>
        <v>184459283.42437661</v>
      </c>
      <c r="F44" s="228">
        <f t="shared" si="17"/>
        <v>212447544.22335339</v>
      </c>
      <c r="G44" s="228">
        <f t="shared" si="17"/>
        <v>246865893.16801387</v>
      </c>
    </row>
    <row r="45" spans="1:7" ht="17" thickBot="1" x14ac:dyDescent="0.25">
      <c r="A45" s="221" t="s">
        <v>99</v>
      </c>
      <c r="B45" s="222">
        <f>B29</f>
        <v>0</v>
      </c>
      <c r="C45" s="222">
        <f t="shared" ref="C45:G45" si="18">C29</f>
        <v>24234020.123999998</v>
      </c>
      <c r="D45" s="222">
        <f t="shared" si="18"/>
        <v>30130125.905380946</v>
      </c>
      <c r="E45" s="222">
        <f t="shared" si="18"/>
        <v>37756624.362077124</v>
      </c>
      <c r="F45" s="222">
        <f t="shared" si="18"/>
        <v>47662648.530450284</v>
      </c>
      <c r="G45" s="222">
        <f t="shared" si="18"/>
        <v>60526767.950404152</v>
      </c>
    </row>
    <row r="46" spans="1:7" ht="17" thickTop="1" x14ac:dyDescent="0.2">
      <c r="A46" s="223" t="s">
        <v>100</v>
      </c>
      <c r="B46" s="229">
        <f t="shared" ref="B46:G46" si="19">B44-B45</f>
        <v>57750476</v>
      </c>
      <c r="C46" s="229">
        <f t="shared" si="19"/>
        <v>116844086.40343268</v>
      </c>
      <c r="D46" s="229">
        <f t="shared" si="19"/>
        <v>131007495.7934844</v>
      </c>
      <c r="E46" s="229">
        <f t="shared" si="19"/>
        <v>146702659.06229949</v>
      </c>
      <c r="F46" s="229">
        <f t="shared" si="19"/>
        <v>164784895.6929031</v>
      </c>
      <c r="G46" s="229">
        <f t="shared" si="19"/>
        <v>186339125.2176097</v>
      </c>
    </row>
    <row r="47" spans="1:7" ht="16" x14ac:dyDescent="0.2">
      <c r="A47" s="221"/>
      <c r="B47" s="228"/>
      <c r="C47" s="228"/>
      <c r="D47" s="228"/>
      <c r="E47" s="228"/>
      <c r="F47" s="228"/>
      <c r="G47" s="228"/>
    </row>
    <row r="48" spans="1:7" ht="16" x14ac:dyDescent="0.2">
      <c r="A48" s="223" t="s">
        <v>101</v>
      </c>
      <c r="B48" s="228">
        <f>B26</f>
        <v>150620000</v>
      </c>
      <c r="C48" s="228">
        <f t="shared" ref="C48:G48" si="20">C26</f>
        <v>135474000</v>
      </c>
      <c r="D48" s="228">
        <f t="shared" si="20"/>
        <v>120328000</v>
      </c>
      <c r="E48" s="228">
        <f t="shared" si="20"/>
        <v>105182000</v>
      </c>
      <c r="F48" s="228">
        <f t="shared" si="20"/>
        <v>90036000</v>
      </c>
      <c r="G48" s="228">
        <f t="shared" si="20"/>
        <v>74890000</v>
      </c>
    </row>
    <row r="49" spans="1:7" ht="17" thickBot="1" x14ac:dyDescent="0.25">
      <c r="A49" s="221" t="s">
        <v>102</v>
      </c>
      <c r="B49" s="222">
        <f>B25</f>
        <v>0</v>
      </c>
      <c r="C49" s="222">
        <f t="shared" ref="C49:G49" si="21">C25</f>
        <v>15146000</v>
      </c>
      <c r="D49" s="222">
        <f t="shared" si="21"/>
        <v>30292000</v>
      </c>
      <c r="E49" s="222">
        <f t="shared" si="21"/>
        <v>45438000</v>
      </c>
      <c r="F49" s="222">
        <f t="shared" si="21"/>
        <v>60584000</v>
      </c>
      <c r="G49" s="222">
        <f t="shared" si="21"/>
        <v>75730000</v>
      </c>
    </row>
    <row r="50" spans="1:7" ht="17" thickTop="1" x14ac:dyDescent="0.2">
      <c r="A50" s="223" t="s">
        <v>103</v>
      </c>
      <c r="B50" s="229">
        <f t="shared" ref="B50:G50" si="22">B48+B49</f>
        <v>150620000</v>
      </c>
      <c r="C50" s="229">
        <f t="shared" si="22"/>
        <v>150620000</v>
      </c>
      <c r="D50" s="229">
        <f t="shared" si="22"/>
        <v>150620000</v>
      </c>
      <c r="E50" s="229">
        <f t="shared" si="22"/>
        <v>150620000</v>
      </c>
      <c r="F50" s="229">
        <f t="shared" si="22"/>
        <v>150620000</v>
      </c>
      <c r="G50" s="229">
        <f t="shared" si="22"/>
        <v>150620000</v>
      </c>
    </row>
    <row r="51" spans="1:7" ht="16" x14ac:dyDescent="0.2">
      <c r="A51" s="221"/>
      <c r="B51" s="228"/>
      <c r="C51" s="228"/>
      <c r="D51" s="228"/>
      <c r="E51" s="228"/>
      <c r="F51" s="228"/>
      <c r="G51" s="228"/>
    </row>
    <row r="52" spans="1:7" ht="17" thickBot="1" x14ac:dyDescent="0.25">
      <c r="A52" s="223" t="s">
        <v>104</v>
      </c>
      <c r="B52" s="224">
        <f t="shared" ref="B52:G52" si="23">B46+B48</f>
        <v>208370476</v>
      </c>
      <c r="C52" s="224">
        <f t="shared" si="23"/>
        <v>252318086.40343267</v>
      </c>
      <c r="D52" s="224">
        <f t="shared" si="23"/>
        <v>251335495.79348439</v>
      </c>
      <c r="E52" s="224">
        <f t="shared" si="23"/>
        <v>251884659.06229949</v>
      </c>
      <c r="F52" s="224">
        <f t="shared" si="23"/>
        <v>254820895.6929031</v>
      </c>
      <c r="G52" s="224">
        <f t="shared" si="23"/>
        <v>261229125.2176097</v>
      </c>
    </row>
    <row r="53" spans="1:7" ht="17" thickTop="1" x14ac:dyDescent="0.2">
      <c r="A53" s="230"/>
      <c r="B53" s="228"/>
      <c r="C53" s="228"/>
      <c r="D53" s="228"/>
      <c r="E53" s="228"/>
      <c r="F53" s="228"/>
      <c r="G53" s="228"/>
    </row>
    <row r="54" spans="1:7" ht="16" x14ac:dyDescent="0.2">
      <c r="A54" s="226" t="s">
        <v>105</v>
      </c>
      <c r="B54" s="226"/>
      <c r="C54" s="226"/>
      <c r="D54" s="226"/>
      <c r="E54" s="226"/>
      <c r="F54" s="226"/>
      <c r="G54" s="226"/>
    </row>
    <row r="55" spans="1:7" ht="16" x14ac:dyDescent="0.2">
      <c r="A55" s="221" t="s">
        <v>106</v>
      </c>
      <c r="B55" s="231"/>
      <c r="C55" s="232">
        <f>C13</f>
        <v>95803048</v>
      </c>
      <c r="D55" s="232">
        <f t="shared" ref="D55:G55" si="24">D13</f>
        <v>113314999.72400004</v>
      </c>
      <c r="E55" s="232">
        <f t="shared" si="24"/>
        <v>136230832.21601501</v>
      </c>
      <c r="F55" s="232">
        <f t="shared" si="24"/>
        <v>166319092.81180125</v>
      </c>
      <c r="G55" s="232">
        <f t="shared" si="24"/>
        <v>205769261.51872876</v>
      </c>
    </row>
    <row r="56" spans="1:7" ht="17" thickBot="1" x14ac:dyDescent="0.25">
      <c r="A56" s="221" t="s">
        <v>107</v>
      </c>
      <c r="B56" s="231"/>
      <c r="C56" s="225">
        <f>C55*'1'!$AB$7</f>
        <v>28740914.399999999</v>
      </c>
      <c r="D56" s="225">
        <f>D55*'1'!$AB$7</f>
        <v>33994499.917200007</v>
      </c>
      <c r="E56" s="225">
        <f>E55*'1'!$AB$7</f>
        <v>40869249.664804503</v>
      </c>
      <c r="F56" s="225">
        <f>F55*'1'!$AB$7</f>
        <v>49895727.843540378</v>
      </c>
      <c r="G56" s="225">
        <f>G55*'1'!$AB$7</f>
        <v>61730778.455618627</v>
      </c>
    </row>
    <row r="57" spans="1:7" ht="17" thickTop="1" x14ac:dyDescent="0.2">
      <c r="A57" s="223" t="s">
        <v>108</v>
      </c>
      <c r="B57" s="231"/>
      <c r="C57" s="232">
        <f>C55-C56</f>
        <v>67062133.600000001</v>
      </c>
      <c r="D57" s="232">
        <f>D55-D56</f>
        <v>79320499.806800038</v>
      </c>
      <c r="E57" s="232">
        <f>E55-E56</f>
        <v>95361582.551210508</v>
      </c>
      <c r="F57" s="232">
        <f>F55-F56</f>
        <v>116423364.96826088</v>
      </c>
      <c r="G57" s="232">
        <f>G55-G56</f>
        <v>144038483.06311014</v>
      </c>
    </row>
    <row r="58" spans="1:7" ht="17" thickBot="1" x14ac:dyDescent="0.25">
      <c r="A58" s="221" t="s">
        <v>109</v>
      </c>
      <c r="B58" s="231"/>
      <c r="C58" s="225">
        <f>-(C52-B52)</f>
        <v>-43947610.403432667</v>
      </c>
      <c r="D58" s="225">
        <f t="shared" ref="D58:G58" si="25">-(D52-C52)</f>
        <v>982590.60994827747</v>
      </c>
      <c r="E58" s="225">
        <f t="shared" si="25"/>
        <v>-549163.26881510019</v>
      </c>
      <c r="F58" s="225">
        <f t="shared" si="25"/>
        <v>-2936236.6306036115</v>
      </c>
      <c r="G58" s="225">
        <f t="shared" si="25"/>
        <v>-6408229.5247066021</v>
      </c>
    </row>
    <row r="59" spans="1:7" ht="17" thickTop="1" x14ac:dyDescent="0.2">
      <c r="A59" s="233" t="s">
        <v>110</v>
      </c>
      <c r="B59" s="234"/>
      <c r="C59" s="235">
        <f>SUM(C57:C58)</f>
        <v>23114523.196567334</v>
      </c>
      <c r="D59" s="235">
        <f t="shared" ref="D59:G59" si="26">SUM(D57:D58)</f>
        <v>80303090.416748315</v>
      </c>
      <c r="E59" s="235">
        <f t="shared" si="26"/>
        <v>94812419.282395408</v>
      </c>
      <c r="F59" s="235">
        <f t="shared" si="26"/>
        <v>113487128.33765727</v>
      </c>
      <c r="G59" s="235">
        <f t="shared" si="26"/>
        <v>137630253.53840354</v>
      </c>
    </row>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6" zoomScaleNormal="86" workbookViewId="0"/>
  </sheetViews>
  <sheetFormatPr baseColWidth="10" defaultColWidth="11.5" defaultRowHeight="15" x14ac:dyDescent="0.2"/>
  <cols>
    <col min="1" max="1" width="11.5" style="2"/>
    <col min="2" max="2" width="26" style="2" customWidth="1"/>
    <col min="3" max="3" width="20.6640625" style="2" customWidth="1"/>
    <col min="4" max="4" width="22.1640625" style="2" customWidth="1"/>
    <col min="5" max="5" width="21.33203125" style="2" customWidth="1"/>
    <col min="6" max="6" width="18.1640625" style="2" customWidth="1"/>
    <col min="7" max="7" width="19.33203125" style="2" customWidth="1"/>
    <col min="8" max="8" width="19" style="2" customWidth="1"/>
    <col min="9" max="9" width="11.5" style="2"/>
    <col min="10" max="10" width="12" style="2" bestFit="1" customWidth="1"/>
    <col min="11" max="11" width="11.5" style="2"/>
    <col min="12" max="12" width="6.83203125" style="2" customWidth="1"/>
    <col min="13" max="14" width="11.5" style="2"/>
    <col min="15" max="15" width="15.33203125" style="2" bestFit="1" customWidth="1"/>
    <col min="16" max="16" width="21.5" style="2" bestFit="1" customWidth="1"/>
    <col min="17" max="16384" width="11.5" style="2"/>
  </cols>
  <sheetData>
    <row r="2" spans="2:16" ht="38.25" customHeight="1" x14ac:dyDescent="0.2">
      <c r="B2" s="178" t="s">
        <v>131</v>
      </c>
      <c r="C2" s="178"/>
      <c r="D2" s="178"/>
      <c r="E2" s="178"/>
      <c r="F2" s="178"/>
      <c r="G2" s="178"/>
      <c r="H2" s="178"/>
    </row>
    <row r="3" spans="2:16" ht="15.75" customHeight="1" x14ac:dyDescent="0.2">
      <c r="B3" s="182" t="s">
        <v>156</v>
      </c>
      <c r="C3" s="182"/>
      <c r="D3" s="182"/>
      <c r="E3" s="183">
        <v>0.15</v>
      </c>
      <c r="F3" s="183"/>
    </row>
    <row r="4" spans="2:16" ht="16.5" customHeight="1" x14ac:dyDescent="0.2">
      <c r="B4" s="182"/>
      <c r="C4" s="182"/>
      <c r="D4" s="182"/>
      <c r="E4" s="183"/>
      <c r="F4" s="183"/>
      <c r="O4" s="54"/>
    </row>
    <row r="5" spans="2:16" ht="16.5" customHeight="1" x14ac:dyDescent="0.2">
      <c r="B5" s="180"/>
      <c r="C5" s="180"/>
      <c r="D5" s="180"/>
      <c r="E5" s="82">
        <v>0.15</v>
      </c>
      <c r="F5" s="82"/>
      <c r="O5" s="54"/>
    </row>
    <row r="6" spans="2:16" ht="16" thickBot="1" x14ac:dyDescent="0.25">
      <c r="O6" s="54"/>
      <c r="P6" s="57"/>
    </row>
    <row r="7" spans="2:16" ht="22" x14ac:dyDescent="0.2">
      <c r="B7" s="53" t="s">
        <v>111</v>
      </c>
      <c r="C7" s="33" t="s">
        <v>112</v>
      </c>
      <c r="D7" s="34">
        <f>'4'!C20</f>
        <v>2022</v>
      </c>
      <c r="E7" s="34">
        <f>'4'!D20</f>
        <v>2023</v>
      </c>
      <c r="F7" s="34">
        <f>'4'!E20</f>
        <v>2024</v>
      </c>
      <c r="G7" s="34">
        <f>'4'!F20</f>
        <v>2025</v>
      </c>
      <c r="H7" s="35">
        <f>'4'!G20</f>
        <v>2026</v>
      </c>
      <c r="O7" s="54"/>
      <c r="P7" s="56"/>
    </row>
    <row r="8" spans="2:16" ht="20" thickBot="1" x14ac:dyDescent="0.3">
      <c r="B8" s="36"/>
      <c r="C8" s="63">
        <f>-'3'!D14</f>
        <v>-208370476</v>
      </c>
      <c r="D8" s="63">
        <f>'4'!C59</f>
        <v>23114523.196567334</v>
      </c>
      <c r="E8" s="63">
        <f>'4'!D59</f>
        <v>80303090.416748315</v>
      </c>
      <c r="F8" s="63">
        <f>'4'!E59</f>
        <v>94812419.282395408</v>
      </c>
      <c r="G8" s="63">
        <f>'4'!F59</f>
        <v>113487128.33765727</v>
      </c>
      <c r="H8" s="64">
        <f>'4'!G59</f>
        <v>137630253.53840354</v>
      </c>
      <c r="O8" s="54"/>
      <c r="P8" s="56"/>
    </row>
    <row r="9" spans="2:16" ht="16" thickBot="1" x14ac:dyDescent="0.25">
      <c r="C9" s="58">
        <f>C8/(1+$E$3)^0</f>
        <v>-208370476</v>
      </c>
      <c r="D9" s="58">
        <f>D8/(1+$E$3)^1</f>
        <v>20099585.388319422</v>
      </c>
      <c r="E9" s="58">
        <f>E8/(1+$E$3)^2</f>
        <v>60720673.282985501</v>
      </c>
      <c r="F9" s="58">
        <f>F8/(1+$E$3)^3</f>
        <v>62340704.714322634</v>
      </c>
      <c r="G9" s="58">
        <f>G8/(1+$E$3)^4</f>
        <v>64886633.960088655</v>
      </c>
      <c r="H9" s="58">
        <f>H8/(1+$E$3)^5</f>
        <v>68426560.132499382</v>
      </c>
      <c r="I9" s="65"/>
      <c r="O9" s="54"/>
      <c r="P9" s="56"/>
    </row>
    <row r="10" spans="2:16" ht="25" thickBot="1" x14ac:dyDescent="0.35">
      <c r="B10" s="8" t="s">
        <v>113</v>
      </c>
      <c r="C10" s="9"/>
      <c r="D10" s="66">
        <f>NPV(E3,D8:H8)+$C$8</f>
        <v>68103681.478215635</v>
      </c>
      <c r="O10" s="54"/>
      <c r="P10" s="56"/>
    </row>
    <row r="11" spans="2:16" ht="28" thickBot="1" x14ac:dyDescent="0.35">
      <c r="B11" s="62" t="s">
        <v>114</v>
      </c>
      <c r="C11" s="9"/>
      <c r="D11" s="162">
        <f>IF(ISERROR(IRR(C8:H8)),"NO_APLICA",(IRR(C8:H8)))</f>
        <v>0.25304337134005173</v>
      </c>
      <c r="F11" s="59" t="s">
        <v>136</v>
      </c>
      <c r="G11" s="9"/>
      <c r="H11" s="60">
        <f>IF(ISERROR(-C9/AVERAGE(D9:H9)),"NO_APLICA",(-C9/AVERAGE(D9:H9)))</f>
        <v>3.7683535759832862</v>
      </c>
      <c r="I11" s="61" t="s">
        <v>63</v>
      </c>
      <c r="P11" s="55"/>
    </row>
    <row r="13" spans="2:16" ht="17" x14ac:dyDescent="0.2">
      <c r="B13" s="184" t="s">
        <v>118</v>
      </c>
      <c r="C13" s="184"/>
      <c r="D13" s="184"/>
      <c r="E13" s="184"/>
      <c r="F13" s="184"/>
      <c r="G13" s="184"/>
      <c r="H13" s="184"/>
    </row>
    <row r="14" spans="2:16" ht="37" x14ac:dyDescent="0.2">
      <c r="B14" s="37" t="str">
        <f>'1'!B2</f>
        <v>NOMBRE DEL PRODUCTO O SERVICIO</v>
      </c>
      <c r="C14" s="37" t="s">
        <v>119</v>
      </c>
      <c r="D14" s="37" t="s">
        <v>120</v>
      </c>
      <c r="E14" s="37" t="s">
        <v>121</v>
      </c>
      <c r="F14" s="37" t="s">
        <v>123</v>
      </c>
      <c r="H14" s="21"/>
      <c r="I14" s="21"/>
      <c r="J14" s="21" t="s">
        <v>127</v>
      </c>
    </row>
    <row r="15" spans="2:16" x14ac:dyDescent="0.2">
      <c r="B15" s="38" t="str">
        <f>'1'!B3</f>
        <v>Hospedaje Glamping Tipo 1</v>
      </c>
      <c r="C15" s="39">
        <f>'1'!D3-'1'!D17</f>
        <v>280000</v>
      </c>
      <c r="D15" s="40">
        <f>'1'!F3</f>
        <v>0.23122102009273571</v>
      </c>
      <c r="E15" s="41">
        <f>C15*D15</f>
        <v>64741.885625965995</v>
      </c>
      <c r="F15" s="42">
        <f t="shared" ref="F15:F24" si="0">$E$28*D15</f>
        <v>70.292836008788413</v>
      </c>
      <c r="G15" s="12" t="s">
        <v>122</v>
      </c>
      <c r="H15" s="22">
        <f>'1'!D3</f>
        <v>280000</v>
      </c>
      <c r="I15" s="43">
        <f t="shared" ref="I15:I24" si="1">$B$35*D15</f>
        <v>140.5856720175768</v>
      </c>
      <c r="J15" s="22">
        <f>'1'!D17</f>
        <v>0</v>
      </c>
    </row>
    <row r="16" spans="2:16" x14ac:dyDescent="0.2">
      <c r="B16" s="44" t="str">
        <f>'1'!B4</f>
        <v>Hospedaje Glamping Tipo 2</v>
      </c>
      <c r="C16" s="39">
        <f>'1'!D4-'1'!D18</f>
        <v>360000</v>
      </c>
      <c r="D16" s="40">
        <f>'1'!F4</f>
        <v>0.29728416869066021</v>
      </c>
      <c r="E16" s="41">
        <f t="shared" ref="E16:E24" si="2">C16*D16</f>
        <v>107022.30072863768</v>
      </c>
      <c r="F16" s="42">
        <f t="shared" si="0"/>
        <v>90.376503439870831</v>
      </c>
      <c r="G16" s="12" t="str">
        <f>G15</f>
        <v>UNIDADES</v>
      </c>
      <c r="H16" s="22">
        <f>'1'!D4</f>
        <v>360000</v>
      </c>
      <c r="I16" s="43">
        <f t="shared" si="1"/>
        <v>180.75300687974163</v>
      </c>
      <c r="J16" s="22">
        <f>'1'!D18</f>
        <v>0</v>
      </c>
    </row>
    <row r="17" spans="2:10" x14ac:dyDescent="0.2">
      <c r="B17" s="44" t="str">
        <f>'1'!B5</f>
        <v>Hospedaje Glamping Tipo 3</v>
      </c>
      <c r="C17" s="39">
        <f>'1'!D5-'1'!D19</f>
        <v>450000</v>
      </c>
      <c r="D17" s="40">
        <f>'1'!F5</f>
        <v>0.37160521086332526</v>
      </c>
      <c r="E17" s="41">
        <f t="shared" si="2"/>
        <v>167222.34488849636</v>
      </c>
      <c r="F17" s="42">
        <f t="shared" si="0"/>
        <v>112.97062929983854</v>
      </c>
      <c r="G17" s="12" t="str">
        <f t="shared" ref="G17:G24" si="3">G16</f>
        <v>UNIDADES</v>
      </c>
      <c r="H17" s="22">
        <f>'1'!D5</f>
        <v>450000</v>
      </c>
      <c r="I17" s="43">
        <f t="shared" si="1"/>
        <v>225.94125859967704</v>
      </c>
      <c r="J17" s="22">
        <f>'1'!D19</f>
        <v>0</v>
      </c>
    </row>
    <row r="18" spans="2:10" x14ac:dyDescent="0.2">
      <c r="B18" s="44" t="str">
        <f>'1'!B6</f>
        <v>Alimentos</v>
      </c>
      <c r="C18" s="39">
        <f>'1'!D6-'1'!D20</f>
        <v>30000</v>
      </c>
      <c r="D18" s="40">
        <f>'1'!F6</f>
        <v>4.4380657981894459E-2</v>
      </c>
      <c r="E18" s="41">
        <f t="shared" si="2"/>
        <v>1331.4197394568337</v>
      </c>
      <c r="F18" s="42">
        <f t="shared" si="0"/>
        <v>13.492035941335439</v>
      </c>
      <c r="G18" s="12" t="str">
        <f t="shared" si="3"/>
        <v>UNIDADES</v>
      </c>
      <c r="H18" s="22">
        <f>'1'!D6</f>
        <v>50000</v>
      </c>
      <c r="I18" s="43">
        <f t="shared" si="1"/>
        <v>26.984071882670875</v>
      </c>
      <c r="J18" s="22">
        <f>'1'!D20</f>
        <v>20000</v>
      </c>
    </row>
    <row r="19" spans="2:10" x14ac:dyDescent="0.2">
      <c r="B19" s="44" t="str">
        <f>'1'!B7</f>
        <v>Licores</v>
      </c>
      <c r="C19" s="39">
        <f>'1'!D7-'1'!D21</f>
        <v>70000</v>
      </c>
      <c r="D19" s="40">
        <f>'1'!F7</f>
        <v>4.2393464340914108E-2</v>
      </c>
      <c r="E19" s="41">
        <f t="shared" si="2"/>
        <v>2967.5425038639873</v>
      </c>
      <c r="F19" s="42">
        <f t="shared" si="0"/>
        <v>12.887914929036837</v>
      </c>
      <c r="G19" s="12" t="str">
        <f t="shared" si="3"/>
        <v>UNIDADES</v>
      </c>
      <c r="H19" s="22">
        <f>'1'!D7</f>
        <v>200000</v>
      </c>
      <c r="I19" s="43">
        <f t="shared" si="1"/>
        <v>25.775829858073671</v>
      </c>
      <c r="J19" s="22">
        <f>'1'!D21</f>
        <v>130000</v>
      </c>
    </row>
    <row r="20" spans="2:10" x14ac:dyDescent="0.2">
      <c r="B20" s="44" t="str">
        <f>'1'!B8</f>
        <v>Actividades complementarias</v>
      </c>
      <c r="C20" s="39">
        <f>'1'!D8-'1'!D22</f>
        <v>22000</v>
      </c>
      <c r="D20" s="40">
        <f>'1'!F8</f>
        <v>1.3115478030470303E-2</v>
      </c>
      <c r="E20" s="41">
        <f t="shared" si="2"/>
        <v>288.54051667034668</v>
      </c>
      <c r="F20" s="42">
        <f t="shared" si="0"/>
        <v>3.9871986811707716</v>
      </c>
      <c r="G20" s="12" t="str">
        <f t="shared" si="3"/>
        <v>UNIDADES</v>
      </c>
      <c r="H20" s="22">
        <f>'1'!D8</f>
        <v>30000</v>
      </c>
      <c r="I20" s="43">
        <f t="shared" si="1"/>
        <v>7.9743973623415423</v>
      </c>
      <c r="J20" s="22">
        <f>'1'!D22</f>
        <v>8000</v>
      </c>
    </row>
    <row r="21" spans="2:10" x14ac:dyDescent="0.2">
      <c r="B21" s="44">
        <f>'1'!B9</f>
        <v>0</v>
      </c>
      <c r="C21" s="39">
        <f>'1'!D9-'1'!D23</f>
        <v>0</v>
      </c>
      <c r="D21" s="40">
        <f>'1'!F9</f>
        <v>0</v>
      </c>
      <c r="E21" s="41">
        <f t="shared" si="2"/>
        <v>0</v>
      </c>
      <c r="F21" s="42">
        <f t="shared" si="0"/>
        <v>0</v>
      </c>
      <c r="G21" s="12" t="str">
        <f t="shared" si="3"/>
        <v>UNIDADES</v>
      </c>
      <c r="H21" s="22">
        <f>'1'!D9</f>
        <v>0</v>
      </c>
      <c r="I21" s="43">
        <f t="shared" si="1"/>
        <v>0</v>
      </c>
      <c r="J21" s="22">
        <f>'1'!D23</f>
        <v>0</v>
      </c>
    </row>
    <row r="22" spans="2:10" x14ac:dyDescent="0.2">
      <c r="B22" s="44">
        <f>'1'!B10</f>
        <v>0</v>
      </c>
      <c r="C22" s="39">
        <f>'1'!D10-'1'!D24</f>
        <v>0</v>
      </c>
      <c r="D22" s="40">
        <f>'1'!F10</f>
        <v>0</v>
      </c>
      <c r="E22" s="41">
        <f t="shared" si="2"/>
        <v>0</v>
      </c>
      <c r="F22" s="42">
        <f t="shared" si="0"/>
        <v>0</v>
      </c>
      <c r="G22" s="12" t="str">
        <f t="shared" si="3"/>
        <v>UNIDADES</v>
      </c>
      <c r="H22" s="22">
        <f>'1'!D10</f>
        <v>0</v>
      </c>
      <c r="I22" s="43">
        <f t="shared" si="1"/>
        <v>0</v>
      </c>
      <c r="J22" s="22">
        <f>'1'!D24</f>
        <v>0</v>
      </c>
    </row>
    <row r="23" spans="2:10" x14ac:dyDescent="0.2">
      <c r="B23" s="44">
        <f>'1'!B11</f>
        <v>0</v>
      </c>
      <c r="C23" s="39">
        <f>'1'!D11-'1'!D25</f>
        <v>0</v>
      </c>
      <c r="D23" s="40">
        <f>'1'!F11</f>
        <v>0</v>
      </c>
      <c r="E23" s="41">
        <f t="shared" si="2"/>
        <v>0</v>
      </c>
      <c r="F23" s="42">
        <f t="shared" si="0"/>
        <v>0</v>
      </c>
      <c r="G23" s="12" t="str">
        <f t="shared" si="3"/>
        <v>UNIDADES</v>
      </c>
      <c r="H23" s="22">
        <f>'1'!D11</f>
        <v>0</v>
      </c>
      <c r="I23" s="43">
        <f t="shared" si="1"/>
        <v>0</v>
      </c>
      <c r="J23" s="22">
        <f>'1'!D25</f>
        <v>0</v>
      </c>
    </row>
    <row r="24" spans="2:10" x14ac:dyDescent="0.2">
      <c r="B24" s="44">
        <f>'1'!B12</f>
        <v>0</v>
      </c>
      <c r="C24" s="39">
        <f>'1'!D12-'1'!D26</f>
        <v>0</v>
      </c>
      <c r="D24" s="40">
        <f>'1'!F12</f>
        <v>0</v>
      </c>
      <c r="E24" s="41">
        <f t="shared" si="2"/>
        <v>0</v>
      </c>
      <c r="F24" s="42">
        <f t="shared" si="0"/>
        <v>0</v>
      </c>
      <c r="G24" s="12" t="str">
        <f t="shared" si="3"/>
        <v>UNIDADES</v>
      </c>
      <c r="H24" s="22">
        <f>'1'!D12</f>
        <v>0</v>
      </c>
      <c r="I24" s="43">
        <f t="shared" si="1"/>
        <v>0</v>
      </c>
      <c r="J24" s="22">
        <f>'1'!D26</f>
        <v>0</v>
      </c>
    </row>
    <row r="25" spans="2:10" ht="26" x14ac:dyDescent="0.3">
      <c r="B25" s="45"/>
      <c r="C25" s="46"/>
      <c r="D25" s="47"/>
      <c r="E25" s="7"/>
      <c r="F25" s="48">
        <f>SUM(F15:F24)</f>
        <v>304.00711830004076</v>
      </c>
      <c r="G25" s="2" t="str">
        <f>G24</f>
        <v>UNIDADES</v>
      </c>
      <c r="H25" s="22"/>
      <c r="I25" s="43"/>
      <c r="J25" s="22"/>
    </row>
    <row r="26" spans="2:10" ht="12.75" customHeight="1" x14ac:dyDescent="0.3">
      <c r="B26" s="45"/>
      <c r="C26" s="46"/>
      <c r="D26" s="47"/>
      <c r="E26" s="7"/>
      <c r="F26" s="48"/>
      <c r="H26" s="22"/>
      <c r="I26" s="43"/>
      <c r="J26" s="22"/>
    </row>
    <row r="27" spans="2:10" ht="21" customHeight="1" x14ac:dyDescent="0.3">
      <c r="B27" s="181" t="s">
        <v>130</v>
      </c>
      <c r="C27" s="181"/>
      <c r="D27" s="181"/>
      <c r="E27" s="49">
        <f>SUM(E15:E24)</f>
        <v>343574.03400309122</v>
      </c>
      <c r="H27" s="21"/>
      <c r="I27" s="21"/>
      <c r="J27" s="21"/>
    </row>
    <row r="28" spans="2:10" ht="19.5" customHeight="1" x14ac:dyDescent="0.3">
      <c r="B28" s="181" t="s">
        <v>129</v>
      </c>
      <c r="C28" s="181"/>
      <c r="D28" s="181"/>
      <c r="E28" s="48">
        <f>IF(E27=0,0,('2'!C23+'2'!F31+'2'!C25)/'5'!E27)</f>
        <v>304.00711830004082</v>
      </c>
      <c r="F28" s="50" t="s">
        <v>122</v>
      </c>
      <c r="H28" s="51"/>
    </row>
    <row r="29" spans="2:10" ht="26" x14ac:dyDescent="0.3">
      <c r="B29" s="181" t="s">
        <v>150</v>
      </c>
      <c r="C29" s="181"/>
      <c r="D29" s="181"/>
      <c r="E29" s="163">
        <f>E49</f>
        <v>106426119.24905087</v>
      </c>
    </row>
    <row r="30" spans="2:10" x14ac:dyDescent="0.2">
      <c r="B30" s="77"/>
      <c r="C30" s="77"/>
      <c r="D30" s="77"/>
      <c r="E30" s="77"/>
      <c r="F30" s="77"/>
      <c r="G30" s="77"/>
    </row>
    <row r="31" spans="2:10" s="21" customFormat="1" x14ac:dyDescent="0.2"/>
    <row r="32" spans="2:10" s="21" customFormat="1" x14ac:dyDescent="0.2">
      <c r="C32" s="21" t="s">
        <v>124</v>
      </c>
      <c r="D32" s="21" t="s">
        <v>125</v>
      </c>
      <c r="E32" s="21" t="s">
        <v>128</v>
      </c>
      <c r="F32" s="21" t="s">
        <v>126</v>
      </c>
    </row>
    <row r="33" spans="2:6" s="21" customFormat="1" x14ac:dyDescent="0.2">
      <c r="B33" s="21">
        <v>0</v>
      </c>
      <c r="C33" s="22">
        <f>'2'!C25+'2'!F31+'2'!C23</f>
        <v>104448952</v>
      </c>
      <c r="D33" s="21">
        <f>0</f>
        <v>0</v>
      </c>
      <c r="E33" s="21">
        <v>0</v>
      </c>
      <c r="F33" s="22">
        <f>C33+E33</f>
        <v>104448952</v>
      </c>
    </row>
    <row r="34" spans="2:6" s="21" customFormat="1" x14ac:dyDescent="0.2">
      <c r="B34" s="43">
        <f>F25</f>
        <v>304.00711830004076</v>
      </c>
      <c r="C34" s="22">
        <f>C33</f>
        <v>104448952</v>
      </c>
      <c r="D34" s="78">
        <f>SUMPRODUCT(F15:F24,H15:H24)</f>
        <v>106426119.24905087</v>
      </c>
      <c r="E34" s="78">
        <f>SUMPRODUCT(F15:F24,J15:J24)</f>
        <v>1977167.2490508638</v>
      </c>
      <c r="F34" s="22">
        <f t="shared" ref="F34:F35" si="4">C34+E34</f>
        <v>106426119.24905087</v>
      </c>
    </row>
    <row r="35" spans="2:6" s="21" customFormat="1" x14ac:dyDescent="0.2">
      <c r="B35" s="43">
        <f>B34*2</f>
        <v>608.01423660008152</v>
      </c>
      <c r="C35" s="22">
        <f>C34</f>
        <v>104448952</v>
      </c>
      <c r="D35" s="78">
        <f>SUMPRODUCT(H15:H24,I15:I24)</f>
        <v>212852238.49810171</v>
      </c>
      <c r="E35" s="78">
        <f>SUMPRODUCT(I15:I24,J15:J24)</f>
        <v>3954334.4981017271</v>
      </c>
      <c r="F35" s="22">
        <f t="shared" si="4"/>
        <v>108403286.49810173</v>
      </c>
    </row>
    <row r="36" spans="2:6" s="21" customFormat="1" x14ac:dyDescent="0.2">
      <c r="C36" s="22"/>
    </row>
    <row r="37" spans="2:6" s="21" customFormat="1" x14ac:dyDescent="0.2">
      <c r="C37" s="22"/>
    </row>
    <row r="38" spans="2:6" s="21" customFormat="1" x14ac:dyDescent="0.2">
      <c r="C38" s="79" t="s">
        <v>148</v>
      </c>
      <c r="D38" s="21" t="s">
        <v>122</v>
      </c>
      <c r="E38" s="21" t="s">
        <v>149</v>
      </c>
    </row>
    <row r="39" spans="2:6" s="21" customFormat="1" x14ac:dyDescent="0.2">
      <c r="B39" s="21">
        <v>1</v>
      </c>
      <c r="C39" s="22">
        <f>'1'!D3</f>
        <v>280000</v>
      </c>
      <c r="D39" s="43">
        <f>F15</f>
        <v>70.292836008788413</v>
      </c>
      <c r="E39" s="21">
        <f>C39*D39</f>
        <v>19681994.082460757</v>
      </c>
    </row>
    <row r="40" spans="2:6" s="21" customFormat="1" x14ac:dyDescent="0.2">
      <c r="B40" s="21">
        <f>B39+1</f>
        <v>2</v>
      </c>
      <c r="C40" s="22">
        <f>'1'!D4</f>
        <v>360000</v>
      </c>
      <c r="D40" s="43">
        <f t="shared" ref="D40:D48" si="5">F16</f>
        <v>90.376503439870831</v>
      </c>
      <c r="E40" s="21">
        <f t="shared" ref="E40:E48" si="6">C40*D40</f>
        <v>32535541.238353498</v>
      </c>
    </row>
    <row r="41" spans="2:6" s="21" customFormat="1" x14ac:dyDescent="0.2">
      <c r="B41" s="21">
        <f t="shared" ref="B41:B48" si="7">B40+1</f>
        <v>3</v>
      </c>
      <c r="C41" s="22">
        <f>'1'!D5</f>
        <v>450000</v>
      </c>
      <c r="D41" s="43">
        <f t="shared" si="5"/>
        <v>112.97062929983854</v>
      </c>
      <c r="E41" s="21">
        <f t="shared" si="6"/>
        <v>50836783.184927344</v>
      </c>
    </row>
    <row r="42" spans="2:6" s="21" customFormat="1" x14ac:dyDescent="0.2">
      <c r="B42" s="21">
        <f t="shared" si="7"/>
        <v>4</v>
      </c>
      <c r="C42" s="22">
        <f>'1'!D6</f>
        <v>50000</v>
      </c>
      <c r="D42" s="43">
        <f t="shared" si="5"/>
        <v>13.492035941335439</v>
      </c>
      <c r="E42" s="21">
        <f t="shared" si="6"/>
        <v>674601.79706677201</v>
      </c>
    </row>
    <row r="43" spans="2:6" s="21" customFormat="1" x14ac:dyDescent="0.2">
      <c r="B43" s="21">
        <f t="shared" si="7"/>
        <v>5</v>
      </c>
      <c r="C43" s="22">
        <f>'1'!D7</f>
        <v>200000</v>
      </c>
      <c r="D43" s="43">
        <f t="shared" si="5"/>
        <v>12.887914929036837</v>
      </c>
      <c r="E43" s="21">
        <f t="shared" si="6"/>
        <v>2577582.9858073676</v>
      </c>
    </row>
    <row r="44" spans="2:6" s="21" customFormat="1" x14ac:dyDescent="0.2">
      <c r="B44" s="21">
        <f t="shared" si="7"/>
        <v>6</v>
      </c>
      <c r="C44" s="22">
        <f>'1'!D8</f>
        <v>30000</v>
      </c>
      <c r="D44" s="43">
        <f t="shared" si="5"/>
        <v>3.9871986811707716</v>
      </c>
      <c r="E44" s="21">
        <f t="shared" si="6"/>
        <v>119615.96043512315</v>
      </c>
    </row>
    <row r="45" spans="2:6" s="21" customFormat="1" x14ac:dyDescent="0.2">
      <c r="B45" s="21">
        <f t="shared" si="7"/>
        <v>7</v>
      </c>
      <c r="C45" s="22">
        <f>'1'!D9</f>
        <v>0</v>
      </c>
      <c r="D45" s="43">
        <f t="shared" si="5"/>
        <v>0</v>
      </c>
      <c r="E45" s="21">
        <f t="shared" si="6"/>
        <v>0</v>
      </c>
    </row>
    <row r="46" spans="2:6" s="21" customFormat="1" x14ac:dyDescent="0.2">
      <c r="B46" s="21">
        <f t="shared" si="7"/>
        <v>8</v>
      </c>
      <c r="C46" s="22">
        <f>'1'!D10</f>
        <v>0</v>
      </c>
      <c r="D46" s="43">
        <f t="shared" si="5"/>
        <v>0</v>
      </c>
      <c r="E46" s="21">
        <f t="shared" si="6"/>
        <v>0</v>
      </c>
    </row>
    <row r="47" spans="2:6" s="21" customFormat="1" x14ac:dyDescent="0.2">
      <c r="B47" s="21">
        <f t="shared" si="7"/>
        <v>9</v>
      </c>
      <c r="C47" s="22">
        <f>'1'!D11</f>
        <v>0</v>
      </c>
      <c r="D47" s="43">
        <f t="shared" si="5"/>
        <v>0</v>
      </c>
      <c r="E47" s="21">
        <f t="shared" si="6"/>
        <v>0</v>
      </c>
    </row>
    <row r="48" spans="2:6" s="21" customFormat="1" x14ac:dyDescent="0.2">
      <c r="B48" s="21">
        <f t="shared" si="7"/>
        <v>10</v>
      </c>
      <c r="C48" s="22">
        <f>'1'!D12</f>
        <v>0</v>
      </c>
      <c r="D48" s="43">
        <f t="shared" si="5"/>
        <v>0</v>
      </c>
      <c r="E48" s="21">
        <f t="shared" si="6"/>
        <v>0</v>
      </c>
    </row>
    <row r="49" spans="2:8" s="21" customFormat="1" x14ac:dyDescent="0.2">
      <c r="C49" s="22"/>
      <c r="E49" s="80">
        <f>SUM(E39:E48)</f>
        <v>106426119.24905087</v>
      </c>
    </row>
    <row r="50" spans="2:8" s="21" customFormat="1" x14ac:dyDescent="0.2"/>
    <row r="51" spans="2:8" s="21" customFormat="1" x14ac:dyDescent="0.2">
      <c r="C51" s="22"/>
    </row>
    <row r="52" spans="2:8" s="21" customFormat="1" x14ac:dyDescent="0.2">
      <c r="B52" s="179"/>
      <c r="C52" s="179"/>
      <c r="D52" s="179"/>
      <c r="G52" s="21" t="s">
        <v>151</v>
      </c>
      <c r="H52" s="81">
        <f>'4'!B32/'4'!B27</f>
        <v>0.42410267373963284</v>
      </c>
    </row>
    <row r="53" spans="2:8" s="21" customFormat="1" x14ac:dyDescent="0.2">
      <c r="C53" s="22"/>
      <c r="G53" s="21" t="s">
        <v>152</v>
      </c>
      <c r="H53" s="81">
        <f>'4'!B36/'4'!B27</f>
        <v>0.57589732626036716</v>
      </c>
    </row>
    <row r="54" spans="2:8" s="21" customFormat="1" x14ac:dyDescent="0.2">
      <c r="G54" s="21" t="s">
        <v>153</v>
      </c>
      <c r="H54" s="21">
        <f>'1'!AB7</f>
        <v>0.3</v>
      </c>
    </row>
    <row r="55" spans="2:8" s="21" customFormat="1" x14ac:dyDescent="0.2">
      <c r="G55" s="21" t="s">
        <v>154</v>
      </c>
      <c r="H55" s="81">
        <f>'3'!F4</f>
        <v>0.17</v>
      </c>
    </row>
    <row r="56" spans="2:8" s="21" customFormat="1" x14ac:dyDescent="0.2">
      <c r="G56" s="21" t="s">
        <v>155</v>
      </c>
    </row>
    <row r="57" spans="2:8" s="21" customFormat="1" x14ac:dyDescent="0.2"/>
    <row r="58" spans="2:8" s="21" customFormat="1" x14ac:dyDescent="0.2"/>
    <row r="59" spans="2:8" s="21" customFormat="1" x14ac:dyDescent="0.2"/>
    <row r="60" spans="2:8" s="21" customFormat="1" x14ac:dyDescent="0.2"/>
    <row r="61" spans="2:8" s="21" customFormat="1" x14ac:dyDescent="0.2"/>
    <row r="62" spans="2:8" x14ac:dyDescent="0.2">
      <c r="B62" s="77"/>
      <c r="C62" s="77"/>
      <c r="D62" s="77"/>
      <c r="E62" s="77"/>
      <c r="F62" s="77"/>
      <c r="G62" s="77"/>
    </row>
    <row r="63" spans="2:8" x14ac:dyDescent="0.2">
      <c r="B63" s="77"/>
      <c r="C63" s="77"/>
      <c r="D63" s="77"/>
      <c r="E63" s="77"/>
      <c r="F63" s="77"/>
      <c r="G63" s="77"/>
    </row>
    <row r="64" spans="2:8" x14ac:dyDescent="0.2">
      <c r="B64" s="77"/>
      <c r="C64" s="77"/>
      <c r="D64" s="77"/>
      <c r="E64" s="77"/>
      <c r="F64" s="77"/>
      <c r="G64" s="77"/>
    </row>
    <row r="65" spans="2:7" x14ac:dyDescent="0.2">
      <c r="B65" s="77"/>
      <c r="C65" s="77"/>
      <c r="D65" s="77"/>
      <c r="E65" s="77"/>
      <c r="F65" s="77"/>
      <c r="G65" s="77"/>
    </row>
    <row r="66" spans="2:7" x14ac:dyDescent="0.2">
      <c r="B66" s="77"/>
      <c r="C66" s="77"/>
      <c r="D66" s="77"/>
      <c r="E66" s="77"/>
      <c r="F66" s="77"/>
      <c r="G66" s="77"/>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A65FE-B0C6-D145-9761-208F9EDBF2EE}">
  <dimension ref="A1:F22"/>
  <sheetViews>
    <sheetView workbookViewId="0">
      <selection activeCell="A8" sqref="A8:F18"/>
    </sheetView>
  </sheetViews>
  <sheetFormatPr baseColWidth="10" defaultRowHeight="16" x14ac:dyDescent="0.2"/>
  <cols>
    <col min="1" max="1" width="9.1640625" style="83" customWidth="1"/>
    <col min="2" max="2" width="37.83203125" style="83" customWidth="1"/>
    <col min="3" max="3" width="14.5" style="85" customWidth="1"/>
    <col min="4" max="4" width="15" style="85" customWidth="1"/>
    <col min="5" max="5" width="15" style="83" customWidth="1"/>
    <col min="6" max="6" width="18" style="83" customWidth="1"/>
    <col min="7" max="16384" width="10.83203125" style="83"/>
  </cols>
  <sheetData>
    <row r="1" spans="1:6" x14ac:dyDescent="0.2">
      <c r="A1" s="185" t="s">
        <v>163</v>
      </c>
      <c r="B1" s="185"/>
      <c r="C1" s="185"/>
      <c r="D1" s="185"/>
      <c r="E1" s="185"/>
      <c r="F1" s="185"/>
    </row>
    <row r="2" spans="1:6" s="85" customFormat="1" x14ac:dyDescent="0.2">
      <c r="A2" s="84" t="s">
        <v>164</v>
      </c>
      <c r="B2" s="84" t="s">
        <v>165</v>
      </c>
      <c r="C2" s="84" t="s">
        <v>166</v>
      </c>
      <c r="D2" s="84" t="s">
        <v>167</v>
      </c>
      <c r="E2" s="84" t="s">
        <v>168</v>
      </c>
      <c r="F2" s="84" t="s">
        <v>8</v>
      </c>
    </row>
    <row r="3" spans="1:6" x14ac:dyDescent="0.2">
      <c r="A3" s="86">
        <v>1</v>
      </c>
      <c r="B3" s="119" t="s">
        <v>201</v>
      </c>
      <c r="C3" s="120" t="s">
        <v>172</v>
      </c>
      <c r="D3" s="84">
        <v>1</v>
      </c>
      <c r="E3" s="87">
        <v>2200000</v>
      </c>
      <c r="F3" s="88">
        <f>+D3*E3</f>
        <v>2200000</v>
      </c>
    </row>
    <row r="4" spans="1:6" x14ac:dyDescent="0.2">
      <c r="A4" s="86">
        <v>3</v>
      </c>
      <c r="B4" s="86" t="s">
        <v>170</v>
      </c>
      <c r="C4" s="84" t="s">
        <v>169</v>
      </c>
      <c r="D4" s="84">
        <v>180</v>
      </c>
      <c r="E4" s="87">
        <v>35000</v>
      </c>
      <c r="F4" s="90">
        <f t="shared" ref="F4:F17" si="0">+D4*E4</f>
        <v>6300000</v>
      </c>
    </row>
    <row r="5" spans="1:6" x14ac:dyDescent="0.2">
      <c r="A5" s="86">
        <v>4</v>
      </c>
      <c r="B5" s="86" t="s">
        <v>171</v>
      </c>
      <c r="C5" s="84" t="s">
        <v>172</v>
      </c>
      <c r="D5" s="84">
        <v>1</v>
      </c>
      <c r="E5" s="87">
        <v>5700000</v>
      </c>
      <c r="F5" s="90">
        <f t="shared" si="0"/>
        <v>5700000</v>
      </c>
    </row>
    <row r="6" spans="1:6" x14ac:dyDescent="0.2">
      <c r="A6" s="86">
        <v>5</v>
      </c>
      <c r="B6" s="119" t="s">
        <v>202</v>
      </c>
      <c r="C6" s="84" t="s">
        <v>172</v>
      </c>
      <c r="D6" s="84">
        <v>1</v>
      </c>
      <c r="E6" s="87">
        <v>6300000</v>
      </c>
      <c r="F6" s="88">
        <f>+D6*E6</f>
        <v>6300000</v>
      </c>
    </row>
    <row r="7" spans="1:6" x14ac:dyDescent="0.2">
      <c r="A7" s="186"/>
      <c r="B7" s="187"/>
      <c r="C7" s="187"/>
      <c r="D7" s="188"/>
      <c r="E7" s="91" t="s">
        <v>8</v>
      </c>
      <c r="F7" s="92">
        <f>SUM(F3:F6)</f>
        <v>20500000</v>
      </c>
    </row>
    <row r="8" spans="1:6" s="85" customFormat="1" x14ac:dyDescent="0.2">
      <c r="A8" s="132" t="s">
        <v>164</v>
      </c>
      <c r="B8" s="132" t="s">
        <v>165</v>
      </c>
      <c r="C8" s="132" t="s">
        <v>166</v>
      </c>
      <c r="D8" s="132" t="s">
        <v>167</v>
      </c>
      <c r="E8" s="132" t="s">
        <v>168</v>
      </c>
      <c r="F8" s="132" t="s">
        <v>8</v>
      </c>
    </row>
    <row r="9" spans="1:6" x14ac:dyDescent="0.2">
      <c r="A9" s="86">
        <v>1</v>
      </c>
      <c r="B9" s="119" t="s">
        <v>206</v>
      </c>
      <c r="C9" s="120" t="s">
        <v>172</v>
      </c>
      <c r="D9" s="84">
        <v>2</v>
      </c>
      <c r="E9" s="87">
        <v>7900000</v>
      </c>
      <c r="F9" s="90">
        <f>+D9*E9</f>
        <v>15800000</v>
      </c>
    </row>
    <row r="10" spans="1:6" x14ac:dyDescent="0.2">
      <c r="A10" s="86">
        <v>2</v>
      </c>
      <c r="B10" s="119" t="s">
        <v>206</v>
      </c>
      <c r="C10" s="120" t="s">
        <v>172</v>
      </c>
      <c r="D10" s="113">
        <v>1</v>
      </c>
      <c r="E10" s="87">
        <v>9780000</v>
      </c>
      <c r="F10" s="90">
        <f>+D10*E10</f>
        <v>9780000</v>
      </c>
    </row>
    <row r="11" spans="1:6" x14ac:dyDescent="0.2">
      <c r="A11" s="86">
        <v>3</v>
      </c>
      <c r="B11" s="119" t="s">
        <v>203</v>
      </c>
      <c r="C11" s="84" t="s">
        <v>172</v>
      </c>
      <c r="D11" s="84">
        <v>1</v>
      </c>
      <c r="E11" s="87">
        <v>4800000</v>
      </c>
      <c r="F11" s="88">
        <f t="shared" si="0"/>
        <v>4800000</v>
      </c>
    </row>
    <row r="12" spans="1:6" x14ac:dyDescent="0.2">
      <c r="A12" s="86">
        <v>4</v>
      </c>
      <c r="B12" s="119" t="s">
        <v>204</v>
      </c>
      <c r="C12" s="84" t="s">
        <v>172</v>
      </c>
      <c r="D12" s="84">
        <v>1</v>
      </c>
      <c r="E12" s="87">
        <v>10700000</v>
      </c>
      <c r="F12" s="88">
        <f t="shared" si="0"/>
        <v>10700000</v>
      </c>
    </row>
    <row r="13" spans="1:6" x14ac:dyDescent="0.2">
      <c r="A13" s="86">
        <v>5</v>
      </c>
      <c r="B13" s="119" t="s">
        <v>205</v>
      </c>
      <c r="C13" s="84" t="s">
        <v>172</v>
      </c>
      <c r="D13" s="84">
        <v>1</v>
      </c>
      <c r="E13" s="87">
        <v>16500000</v>
      </c>
      <c r="F13" s="88">
        <f t="shared" si="0"/>
        <v>16500000</v>
      </c>
    </row>
    <row r="14" spans="1:6" x14ac:dyDescent="0.2">
      <c r="A14" s="86">
        <v>6</v>
      </c>
      <c r="B14" s="86" t="s">
        <v>173</v>
      </c>
      <c r="C14" s="84" t="s">
        <v>172</v>
      </c>
      <c r="D14" s="84">
        <v>3</v>
      </c>
      <c r="E14" s="87">
        <v>8900000</v>
      </c>
      <c r="F14" s="88">
        <f t="shared" si="0"/>
        <v>26700000</v>
      </c>
    </row>
    <row r="15" spans="1:6" x14ac:dyDescent="0.2">
      <c r="A15" s="86">
        <v>7</v>
      </c>
      <c r="B15" s="86" t="s">
        <v>174</v>
      </c>
      <c r="C15" s="84" t="s">
        <v>172</v>
      </c>
      <c r="D15" s="84">
        <v>1</v>
      </c>
      <c r="E15" s="87">
        <v>14000000</v>
      </c>
      <c r="F15" s="88">
        <f t="shared" si="0"/>
        <v>14000000</v>
      </c>
    </row>
    <row r="16" spans="1:6" x14ac:dyDescent="0.2">
      <c r="A16" s="86">
        <v>8</v>
      </c>
      <c r="B16" s="86" t="s">
        <v>175</v>
      </c>
      <c r="C16" s="84" t="s">
        <v>172</v>
      </c>
      <c r="D16" s="84">
        <v>3</v>
      </c>
      <c r="E16" s="87">
        <v>800000</v>
      </c>
      <c r="F16" s="88">
        <f t="shared" si="0"/>
        <v>2400000</v>
      </c>
    </row>
    <row r="17" spans="1:6" x14ac:dyDescent="0.2">
      <c r="A17" s="86">
        <v>9</v>
      </c>
      <c r="B17" s="86" t="s">
        <v>176</v>
      </c>
      <c r="C17" s="84" t="s">
        <v>172</v>
      </c>
      <c r="D17" s="84">
        <v>3</v>
      </c>
      <c r="E17" s="87">
        <v>2700000</v>
      </c>
      <c r="F17" s="88">
        <f t="shared" si="0"/>
        <v>8100000</v>
      </c>
    </row>
    <row r="18" spans="1:6" x14ac:dyDescent="0.2">
      <c r="E18" s="93" t="s">
        <v>8</v>
      </c>
      <c r="F18" s="92">
        <f>SUM(F9:F17)</f>
        <v>108780000</v>
      </c>
    </row>
    <row r="19" spans="1:6" x14ac:dyDescent="0.2">
      <c r="F19" s="89"/>
    </row>
    <row r="20" spans="1:6" x14ac:dyDescent="0.2">
      <c r="F20" s="89"/>
    </row>
    <row r="21" spans="1:6" x14ac:dyDescent="0.2">
      <c r="F21" s="89"/>
    </row>
    <row r="22" spans="1:6" x14ac:dyDescent="0.2">
      <c r="F22" s="89"/>
    </row>
  </sheetData>
  <mergeCells count="2">
    <mergeCell ref="A1:F1"/>
    <mergeCell ref="A7:D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B9944-A3E4-E045-BE39-7E63F3028F34}">
  <dimension ref="A1:F18"/>
  <sheetViews>
    <sheetView workbookViewId="0">
      <selection sqref="A1:F1"/>
    </sheetView>
  </sheetViews>
  <sheetFormatPr baseColWidth="10" defaultRowHeight="16" x14ac:dyDescent="0.2"/>
  <cols>
    <col min="1" max="1" width="15" style="83" customWidth="1"/>
    <col min="2" max="2" width="33.1640625" style="83" customWidth="1"/>
    <col min="3" max="3" width="14.5" style="85" customWidth="1"/>
    <col min="4" max="4" width="15" style="85" customWidth="1"/>
    <col min="5" max="5" width="15" style="83" customWidth="1"/>
    <col min="6" max="6" width="18" style="83" customWidth="1"/>
    <col min="7" max="16384" width="10.83203125" style="83"/>
  </cols>
  <sheetData>
    <row r="1" spans="1:6" x14ac:dyDescent="0.2">
      <c r="A1" s="189" t="s">
        <v>207</v>
      </c>
      <c r="B1" s="190"/>
      <c r="C1" s="190"/>
      <c r="D1" s="190"/>
      <c r="E1" s="190"/>
      <c r="F1" s="191"/>
    </row>
    <row r="2" spans="1:6" s="85" customFormat="1" x14ac:dyDescent="0.2">
      <c r="A2" s="118" t="s">
        <v>164</v>
      </c>
      <c r="B2" s="118" t="s">
        <v>165</v>
      </c>
      <c r="C2" s="118" t="s">
        <v>166</v>
      </c>
      <c r="D2" s="118" t="s">
        <v>167</v>
      </c>
      <c r="E2" s="84" t="s">
        <v>168</v>
      </c>
      <c r="F2" s="84" t="s">
        <v>8</v>
      </c>
    </row>
    <row r="3" spans="1:6" x14ac:dyDescent="0.2">
      <c r="A3" s="86">
        <v>1</v>
      </c>
      <c r="B3" s="86" t="s">
        <v>177</v>
      </c>
      <c r="C3" s="84" t="s">
        <v>172</v>
      </c>
      <c r="D3" s="84">
        <v>3</v>
      </c>
      <c r="E3" s="87">
        <v>1500000</v>
      </c>
      <c r="F3" s="88">
        <f>+D3*E3</f>
        <v>4500000</v>
      </c>
    </row>
    <row r="4" spans="1:6" x14ac:dyDescent="0.2">
      <c r="A4" s="86">
        <v>2</v>
      </c>
      <c r="B4" s="86" t="s">
        <v>178</v>
      </c>
      <c r="C4" s="84" t="s">
        <v>172</v>
      </c>
      <c r="D4" s="84">
        <v>6</v>
      </c>
      <c r="E4" s="87">
        <v>450000</v>
      </c>
      <c r="F4" s="88">
        <f t="shared" ref="F4:F11" si="0">+D4*E4</f>
        <v>2700000</v>
      </c>
    </row>
    <row r="5" spans="1:6" x14ac:dyDescent="0.2">
      <c r="A5" s="86">
        <v>3</v>
      </c>
      <c r="B5" s="86" t="s">
        <v>179</v>
      </c>
      <c r="C5" s="84" t="s">
        <v>172</v>
      </c>
      <c r="D5" s="84">
        <v>6</v>
      </c>
      <c r="E5" s="87">
        <v>180000</v>
      </c>
      <c r="F5" s="88">
        <f t="shared" si="0"/>
        <v>1080000</v>
      </c>
    </row>
    <row r="6" spans="1:6" x14ac:dyDescent="0.2">
      <c r="A6" s="86">
        <v>4</v>
      </c>
      <c r="B6" s="117" t="s">
        <v>199</v>
      </c>
      <c r="C6" s="84" t="s">
        <v>172</v>
      </c>
      <c r="D6" s="84">
        <v>3</v>
      </c>
      <c r="E6" s="87">
        <v>350000</v>
      </c>
      <c r="F6" s="88">
        <f t="shared" si="0"/>
        <v>1050000</v>
      </c>
    </row>
    <row r="7" spans="1:6" x14ac:dyDescent="0.2">
      <c r="A7" s="86">
        <v>5</v>
      </c>
      <c r="B7" s="86" t="s">
        <v>180</v>
      </c>
      <c r="C7" s="84" t="s">
        <v>172</v>
      </c>
      <c r="D7" s="84">
        <v>3</v>
      </c>
      <c r="E7" s="87">
        <v>300000</v>
      </c>
      <c r="F7" s="88">
        <f t="shared" si="0"/>
        <v>900000</v>
      </c>
    </row>
    <row r="8" spans="1:6" x14ac:dyDescent="0.2">
      <c r="A8" s="86">
        <v>6</v>
      </c>
      <c r="B8" s="119" t="s">
        <v>200</v>
      </c>
      <c r="C8" s="84" t="s">
        <v>172</v>
      </c>
      <c r="D8" s="84">
        <v>3</v>
      </c>
      <c r="E8" s="87">
        <v>160000</v>
      </c>
      <c r="F8" s="88">
        <f t="shared" si="0"/>
        <v>480000</v>
      </c>
    </row>
    <row r="9" spans="1:6" x14ac:dyDescent="0.2">
      <c r="A9" s="86">
        <v>7</v>
      </c>
      <c r="B9" s="86" t="s">
        <v>181</v>
      </c>
      <c r="C9" s="84" t="s">
        <v>172</v>
      </c>
      <c r="D9" s="84">
        <v>3</v>
      </c>
      <c r="E9" s="87">
        <v>650000</v>
      </c>
      <c r="F9" s="88">
        <f t="shared" si="0"/>
        <v>1950000</v>
      </c>
    </row>
    <row r="10" spans="1:6" x14ac:dyDescent="0.2">
      <c r="A10" s="86">
        <v>8</v>
      </c>
      <c r="B10" s="86" t="s">
        <v>182</v>
      </c>
      <c r="C10" s="84" t="s">
        <v>172</v>
      </c>
      <c r="D10" s="84">
        <v>3</v>
      </c>
      <c r="E10" s="87">
        <v>130000</v>
      </c>
      <c r="F10" s="88">
        <f t="shared" si="0"/>
        <v>390000</v>
      </c>
    </row>
    <row r="11" spans="1:6" x14ac:dyDescent="0.2">
      <c r="A11" s="86">
        <v>9</v>
      </c>
      <c r="B11" s="86" t="s">
        <v>183</v>
      </c>
      <c r="C11" s="84" t="s">
        <v>172</v>
      </c>
      <c r="D11" s="84">
        <v>3</v>
      </c>
      <c r="E11" s="87">
        <v>330000</v>
      </c>
      <c r="F11" s="88">
        <f t="shared" si="0"/>
        <v>990000</v>
      </c>
    </row>
    <row r="12" spans="1:6" x14ac:dyDescent="0.2">
      <c r="E12" s="93" t="s">
        <v>8</v>
      </c>
      <c r="F12" s="92">
        <f>SUM(F3:F11)</f>
        <v>14040000</v>
      </c>
    </row>
    <row r="13" spans="1:6" x14ac:dyDescent="0.2">
      <c r="A13" s="86">
        <v>10</v>
      </c>
      <c r="B13" s="149" t="s">
        <v>213</v>
      </c>
      <c r="C13" s="150" t="s">
        <v>172</v>
      </c>
      <c r="D13" s="132">
        <v>1</v>
      </c>
      <c r="E13" s="87">
        <v>3400000</v>
      </c>
      <c r="F13" s="88">
        <f t="shared" ref="F13:F14" si="1">+D13*E13</f>
        <v>3400000</v>
      </c>
    </row>
    <row r="14" spans="1:6" x14ac:dyDescent="0.2">
      <c r="A14" s="86">
        <v>11</v>
      </c>
      <c r="B14" s="149" t="s">
        <v>214</v>
      </c>
      <c r="C14" s="113" t="s">
        <v>172</v>
      </c>
      <c r="D14" s="113">
        <v>1</v>
      </c>
      <c r="E14" s="87">
        <v>3900000</v>
      </c>
      <c r="F14" s="88">
        <f t="shared" si="1"/>
        <v>3900000</v>
      </c>
    </row>
    <row r="15" spans="1:6" x14ac:dyDescent="0.2">
      <c r="E15" s="93" t="s">
        <v>8</v>
      </c>
      <c r="F15" s="92">
        <f>SUM(F13:F14)</f>
        <v>7300000</v>
      </c>
    </row>
    <row r="16" spans="1:6" x14ac:dyDescent="0.2">
      <c r="F16" s="89"/>
    </row>
    <row r="17" spans="6:6" x14ac:dyDescent="0.2">
      <c r="F17" s="89"/>
    </row>
    <row r="18" spans="6:6" x14ac:dyDescent="0.2">
      <c r="F18" s="89"/>
    </row>
  </sheetData>
  <mergeCells count="1">
    <mergeCell ref="A1:F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BC39D-3965-EB42-8440-61660560E9DA}">
  <dimension ref="A1:F29"/>
  <sheetViews>
    <sheetView workbookViewId="0">
      <selection sqref="A1:F1"/>
    </sheetView>
  </sheetViews>
  <sheetFormatPr baseColWidth="10" defaultRowHeight="16" x14ac:dyDescent="0.2"/>
  <cols>
    <col min="1" max="1" width="15" style="83" customWidth="1"/>
    <col min="2" max="2" width="34.1640625" style="83" customWidth="1"/>
    <col min="3" max="3" width="16" style="85" customWidth="1"/>
    <col min="4" max="4" width="16.33203125" style="85" customWidth="1"/>
    <col min="5" max="5" width="16.33203125" style="83" customWidth="1"/>
    <col min="6" max="6" width="18.6640625" style="83" customWidth="1"/>
    <col min="7" max="16384" width="10.83203125" style="83"/>
  </cols>
  <sheetData>
    <row r="1" spans="1:6" x14ac:dyDescent="0.2">
      <c r="A1" s="196" t="s">
        <v>33</v>
      </c>
      <c r="B1" s="196"/>
      <c r="C1" s="196"/>
      <c r="D1" s="196"/>
      <c r="E1" s="196"/>
      <c r="F1" s="196"/>
    </row>
    <row r="2" spans="1:6" s="85" customFormat="1" x14ac:dyDescent="0.2">
      <c r="A2" s="150" t="s">
        <v>223</v>
      </c>
      <c r="B2" s="150" t="s">
        <v>225</v>
      </c>
      <c r="C2" s="84" t="s">
        <v>166</v>
      </c>
      <c r="D2" s="84" t="s">
        <v>167</v>
      </c>
      <c r="E2" s="84" t="s">
        <v>168</v>
      </c>
      <c r="F2" s="84" t="s">
        <v>8</v>
      </c>
    </row>
    <row r="3" spans="1:6" x14ac:dyDescent="0.2">
      <c r="A3" s="132">
        <v>1</v>
      </c>
      <c r="B3" s="149" t="s">
        <v>209</v>
      </c>
      <c r="C3" s="84" t="s">
        <v>184</v>
      </c>
      <c r="D3" s="84">
        <v>12</v>
      </c>
      <c r="E3" s="87">
        <f>1500000*1.6</f>
        <v>2400000</v>
      </c>
      <c r="F3" s="88">
        <f t="shared" ref="F3:F15" si="0">+D3*E3</f>
        <v>28800000</v>
      </c>
    </row>
    <row r="4" spans="1:6" x14ac:dyDescent="0.2">
      <c r="A4" s="132">
        <v>2</v>
      </c>
      <c r="B4" s="149" t="s">
        <v>210</v>
      </c>
      <c r="C4" s="84" t="s">
        <v>184</v>
      </c>
      <c r="D4" s="84">
        <v>12</v>
      </c>
      <c r="E4" s="87">
        <f>1014080*1.6</f>
        <v>1622528</v>
      </c>
      <c r="F4" s="88">
        <f t="shared" si="0"/>
        <v>19470336</v>
      </c>
    </row>
    <row r="5" spans="1:6" x14ac:dyDescent="0.2">
      <c r="A5" s="132">
        <v>3</v>
      </c>
      <c r="B5" s="149" t="s">
        <v>211</v>
      </c>
      <c r="C5" s="84" t="s">
        <v>184</v>
      </c>
      <c r="D5" s="84">
        <v>12</v>
      </c>
      <c r="E5" s="87">
        <f>1014080*1.6/2</f>
        <v>811264</v>
      </c>
      <c r="F5" s="88">
        <f t="shared" si="0"/>
        <v>9735168</v>
      </c>
    </row>
    <row r="6" spans="1:6" x14ac:dyDescent="0.2">
      <c r="A6" s="132">
        <v>4</v>
      </c>
      <c r="B6" s="149" t="s">
        <v>218</v>
      </c>
      <c r="C6" s="84" t="s">
        <v>184</v>
      </c>
      <c r="D6" s="84">
        <v>12</v>
      </c>
      <c r="E6" s="87">
        <f>1014080*1.6</f>
        <v>1622528</v>
      </c>
      <c r="F6" s="88">
        <f>+D6*E6</f>
        <v>19470336</v>
      </c>
    </row>
    <row r="7" spans="1:6" x14ac:dyDescent="0.2">
      <c r="E7" s="93" t="s">
        <v>8</v>
      </c>
      <c r="F7" s="92">
        <f>SUM(F3:F6)</f>
        <v>77475840</v>
      </c>
    </row>
    <row r="8" spans="1:6" x14ac:dyDescent="0.2">
      <c r="A8" s="132">
        <v>6</v>
      </c>
      <c r="B8" s="149" t="s">
        <v>226</v>
      </c>
      <c r="C8" s="84" t="s">
        <v>184</v>
      </c>
      <c r="D8" s="84">
        <v>12</v>
      </c>
      <c r="E8" s="87">
        <v>130000</v>
      </c>
      <c r="F8" s="88">
        <f t="shared" si="0"/>
        <v>1560000</v>
      </c>
    </row>
    <row r="9" spans="1:6" x14ac:dyDescent="0.2">
      <c r="A9" s="132">
        <v>7</v>
      </c>
      <c r="B9" s="149" t="s">
        <v>217</v>
      </c>
      <c r="C9" s="150" t="s">
        <v>184</v>
      </c>
      <c r="D9" s="132">
        <v>12</v>
      </c>
      <c r="E9" s="87">
        <v>80000</v>
      </c>
      <c r="F9" s="88">
        <f t="shared" si="0"/>
        <v>960000</v>
      </c>
    </row>
    <row r="10" spans="1:6" x14ac:dyDescent="0.2">
      <c r="A10" s="132">
        <v>8</v>
      </c>
      <c r="B10" s="149" t="s">
        <v>216</v>
      </c>
      <c r="C10" s="150" t="s">
        <v>184</v>
      </c>
      <c r="D10" s="132">
        <v>12</v>
      </c>
      <c r="E10" s="87">
        <v>100000</v>
      </c>
      <c r="F10" s="88">
        <f t="shared" si="0"/>
        <v>1200000</v>
      </c>
    </row>
    <row r="11" spans="1:6" x14ac:dyDescent="0.2">
      <c r="A11" s="132">
        <v>9</v>
      </c>
      <c r="B11" s="149" t="s">
        <v>227</v>
      </c>
      <c r="C11" s="150" t="s">
        <v>184</v>
      </c>
      <c r="D11" s="132">
        <v>12</v>
      </c>
      <c r="E11" s="87">
        <v>30000</v>
      </c>
      <c r="F11" s="88">
        <f t="shared" si="0"/>
        <v>360000</v>
      </c>
    </row>
    <row r="12" spans="1:6" x14ac:dyDescent="0.2">
      <c r="A12" s="132">
        <v>10</v>
      </c>
      <c r="B12" s="149" t="s">
        <v>219</v>
      </c>
      <c r="C12" s="150" t="s">
        <v>184</v>
      </c>
      <c r="D12" s="132">
        <v>12</v>
      </c>
      <c r="E12" s="87">
        <v>150000</v>
      </c>
      <c r="F12" s="88">
        <f t="shared" si="0"/>
        <v>1800000</v>
      </c>
    </row>
    <row r="13" spans="1:6" x14ac:dyDescent="0.2">
      <c r="A13" s="132">
        <v>11</v>
      </c>
      <c r="B13" s="149" t="s">
        <v>221</v>
      </c>
      <c r="C13" s="150" t="s">
        <v>184</v>
      </c>
      <c r="D13" s="132">
        <v>12</v>
      </c>
      <c r="E13" s="87">
        <v>100000</v>
      </c>
      <c r="F13" s="88">
        <f t="shared" si="0"/>
        <v>1200000</v>
      </c>
    </row>
    <row r="14" spans="1:6" x14ac:dyDescent="0.2">
      <c r="A14" s="132">
        <v>12</v>
      </c>
      <c r="B14" s="149" t="s">
        <v>215</v>
      </c>
      <c r="C14" s="150" t="s">
        <v>224</v>
      </c>
      <c r="D14" s="84">
        <v>1</v>
      </c>
      <c r="E14" s="87">
        <v>4000000</v>
      </c>
      <c r="F14" s="88">
        <f>+D14*E14</f>
        <v>4000000</v>
      </c>
    </row>
    <row r="15" spans="1:6" x14ac:dyDescent="0.2">
      <c r="A15" s="132">
        <v>13</v>
      </c>
      <c r="B15" s="149" t="s">
        <v>212</v>
      </c>
      <c r="C15" s="84" t="s">
        <v>184</v>
      </c>
      <c r="D15" s="84">
        <v>12</v>
      </c>
      <c r="E15" s="87">
        <v>500000</v>
      </c>
      <c r="F15" s="88">
        <f t="shared" si="0"/>
        <v>6000000</v>
      </c>
    </row>
    <row r="16" spans="1:6" x14ac:dyDescent="0.2">
      <c r="E16" s="93" t="s">
        <v>8</v>
      </c>
      <c r="F16" s="92">
        <f>SUM(F8:F15)</f>
        <v>17080000</v>
      </c>
    </row>
    <row r="17" spans="1:6" x14ac:dyDescent="0.2">
      <c r="F17" s="89"/>
    </row>
    <row r="18" spans="1:6" x14ac:dyDescent="0.2">
      <c r="F18" s="89"/>
    </row>
    <row r="19" spans="1:6" x14ac:dyDescent="0.2">
      <c r="A19" s="150" t="s">
        <v>228</v>
      </c>
      <c r="B19" s="196" t="s">
        <v>208</v>
      </c>
      <c r="C19" s="196"/>
      <c r="D19" s="196"/>
      <c r="E19" s="196"/>
      <c r="F19" s="89"/>
    </row>
    <row r="20" spans="1:6" ht="29" thickBot="1" x14ac:dyDescent="0.25">
      <c r="A20" s="132">
        <v>1</v>
      </c>
      <c r="B20" s="114" t="s">
        <v>187</v>
      </c>
      <c r="C20" s="197" t="s">
        <v>196</v>
      </c>
      <c r="D20" s="198"/>
      <c r="E20" s="116">
        <f>SUM('1'!E3:E5)*20%*10%</f>
        <v>4076600</v>
      </c>
      <c r="F20" s="89"/>
    </row>
    <row r="21" spans="1:6" ht="29" thickBot="1" x14ac:dyDescent="0.25">
      <c r="A21" s="132">
        <v>2</v>
      </c>
      <c r="B21" s="114" t="s">
        <v>188</v>
      </c>
      <c r="C21" s="192" t="s">
        <v>195</v>
      </c>
      <c r="D21" s="193"/>
      <c r="E21" s="115">
        <f>SUM('1'!E3:E5)*10%*4%</f>
        <v>815320</v>
      </c>
    </row>
    <row r="22" spans="1:6" ht="29" thickBot="1" x14ac:dyDescent="0.25">
      <c r="A22" s="132">
        <v>3</v>
      </c>
      <c r="B22" s="114" t="s">
        <v>189</v>
      </c>
      <c r="C22" s="185"/>
      <c r="D22" s="185"/>
      <c r="E22" s="115">
        <v>1050000</v>
      </c>
    </row>
    <row r="23" spans="1:6" ht="17" thickBot="1" x14ac:dyDescent="0.25">
      <c r="A23" s="132">
        <v>4</v>
      </c>
      <c r="B23" s="114" t="s">
        <v>190</v>
      </c>
      <c r="C23" s="185"/>
      <c r="D23" s="185"/>
      <c r="E23" s="115">
        <v>0</v>
      </c>
    </row>
    <row r="24" spans="1:6" ht="17" thickBot="1" x14ac:dyDescent="0.25">
      <c r="A24" s="132">
        <v>5</v>
      </c>
      <c r="B24" s="114" t="s">
        <v>191</v>
      </c>
      <c r="C24" s="192" t="s">
        <v>197</v>
      </c>
      <c r="D24" s="193"/>
      <c r="E24" s="115">
        <f>2700*500</f>
        <v>1350000</v>
      </c>
    </row>
    <row r="25" spans="1:6" ht="17" thickBot="1" x14ac:dyDescent="0.25">
      <c r="A25" s="132">
        <v>6</v>
      </c>
      <c r="B25" s="114" t="s">
        <v>192</v>
      </c>
      <c r="C25" s="185"/>
      <c r="D25" s="185"/>
      <c r="E25" s="115">
        <f>SUM(E20:E21)*10%</f>
        <v>489192</v>
      </c>
    </row>
    <row r="26" spans="1:6" ht="17" thickBot="1" x14ac:dyDescent="0.25">
      <c r="A26" s="132">
        <v>7</v>
      </c>
      <c r="B26" s="114" t="s">
        <v>229</v>
      </c>
      <c r="C26" s="185"/>
      <c r="D26" s="185"/>
      <c r="E26" s="115">
        <v>0</v>
      </c>
    </row>
    <row r="27" spans="1:6" ht="17" thickBot="1" x14ac:dyDescent="0.25">
      <c r="A27" s="132">
        <v>8</v>
      </c>
      <c r="B27" s="114" t="s">
        <v>193</v>
      </c>
      <c r="C27" s="185"/>
      <c r="D27" s="185"/>
      <c r="E27" s="115">
        <v>912000</v>
      </c>
    </row>
    <row r="28" spans="1:6" ht="17" thickBot="1" x14ac:dyDescent="0.25">
      <c r="A28" s="132">
        <v>9</v>
      </c>
      <c r="B28" s="114" t="s">
        <v>194</v>
      </c>
      <c r="C28" s="194" t="s">
        <v>198</v>
      </c>
      <c r="D28" s="195"/>
      <c r="E28" s="151">
        <f>1200*1000</f>
        <v>1200000</v>
      </c>
    </row>
    <row r="29" spans="1:6" x14ac:dyDescent="0.2">
      <c r="D29" s="133" t="s">
        <v>8</v>
      </c>
      <c r="E29" s="152">
        <f>SUM(E20:E28)</f>
        <v>9893112</v>
      </c>
    </row>
  </sheetData>
  <mergeCells count="11">
    <mergeCell ref="A1:F1"/>
    <mergeCell ref="C20:D20"/>
    <mergeCell ref="C21:D21"/>
    <mergeCell ref="C22:D22"/>
    <mergeCell ref="C23:D23"/>
    <mergeCell ref="B19:E19"/>
    <mergeCell ref="C24:D24"/>
    <mergeCell ref="C25:D25"/>
    <mergeCell ref="C26:D26"/>
    <mergeCell ref="C27:D27"/>
    <mergeCell ref="C28:D28"/>
  </mergeCells>
  <pageMargins left="0.7" right="0.7" top="0.75" bottom="0.75" header="0.3" footer="0.3"/>
  <ignoredErrors>
    <ignoredError sqref="E3 E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Menú</vt:lpstr>
      <vt:lpstr>1</vt:lpstr>
      <vt:lpstr>2</vt:lpstr>
      <vt:lpstr>3</vt:lpstr>
      <vt:lpstr>4</vt:lpstr>
      <vt:lpstr>5</vt:lpstr>
      <vt:lpstr>Activos Fijos</vt:lpstr>
      <vt:lpstr>Activos Movibles</vt:lpstr>
      <vt:lpstr>Gastos fijos</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Microsoft Office User</cp:lastModifiedBy>
  <dcterms:created xsi:type="dcterms:W3CDTF">2013-07-30T17:19:59Z</dcterms:created>
  <dcterms:modified xsi:type="dcterms:W3CDTF">2021-10-22T01:46:20Z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