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-ro.siachoque/Desktop/MBA/DIPLOMADO INNOVACION/PROYECTO FINAL/"/>
    </mc:Choice>
  </mc:AlternateContent>
  <xr:revisionPtr revIDLastSave="0" documentId="13_ncr:1_{D6E9B2A8-3467-074F-992D-C33DA9AF788F}" xr6:coauthVersionLast="47" xr6:coauthVersionMax="47" xr10:uidLastSave="{00000000-0000-0000-0000-000000000000}"/>
  <bookViews>
    <workbookView xWindow="340" yWindow="500" windowWidth="25060" windowHeight="16120" xr2:uid="{CB45FA6A-12A9-4C4E-AC66-1CBEA97A8ADD}"/>
  </bookViews>
  <sheets>
    <sheet name="Inversión inicial" sheetId="1" r:id="rId1"/>
    <sheet name="Flujo de caja proyectado" sheetId="2" r:id="rId2"/>
    <sheet name="Indicadores" sheetId="4" r:id="rId3"/>
    <sheet name="Análisis de sensibilidad" sheetId="7" r:id="rId4"/>
    <sheet name="Estado de Resultado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E26" i="3"/>
  <c r="F26" i="3"/>
  <c r="G26" i="3"/>
  <c r="D27" i="3"/>
  <c r="E27" i="3"/>
  <c r="F27" i="3"/>
  <c r="G27" i="3"/>
  <c r="D28" i="3"/>
  <c r="E28" i="3"/>
  <c r="F28" i="3"/>
  <c r="G28" i="3"/>
  <c r="C28" i="3"/>
  <c r="C27" i="3"/>
  <c r="C26" i="3"/>
  <c r="D25" i="3"/>
  <c r="E25" i="3"/>
  <c r="F25" i="3"/>
  <c r="G25" i="3"/>
  <c r="C25" i="3"/>
  <c r="D24" i="3"/>
  <c r="E24" i="3"/>
  <c r="F24" i="3"/>
  <c r="G24" i="3"/>
  <c r="C24" i="3"/>
  <c r="D19" i="3"/>
  <c r="E19" i="3"/>
  <c r="F19" i="3"/>
  <c r="G19" i="3"/>
  <c r="C19" i="3"/>
  <c r="D20" i="3"/>
  <c r="E20" i="3"/>
  <c r="F20" i="3"/>
  <c r="G20" i="3"/>
  <c r="C20" i="3"/>
  <c r="G10" i="3" l="1"/>
  <c r="D9" i="3"/>
  <c r="E9" i="3"/>
  <c r="F9" i="3"/>
  <c r="G9" i="3"/>
  <c r="C9" i="3"/>
  <c r="C10" i="3" s="1"/>
  <c r="D8" i="3"/>
  <c r="D11" i="3" s="1"/>
  <c r="E8" i="3"/>
  <c r="E11" i="3" s="1"/>
  <c r="F8" i="3"/>
  <c r="F13" i="3" s="1"/>
  <c r="G8" i="3"/>
  <c r="G13" i="3" s="1"/>
  <c r="C8" i="3"/>
  <c r="C13" i="3" s="1"/>
  <c r="K64" i="7"/>
  <c r="G63" i="7"/>
  <c r="G62" i="7"/>
  <c r="C64" i="7"/>
  <c r="O17" i="7"/>
  <c r="N17" i="7"/>
  <c r="M17" i="7"/>
  <c r="L17" i="7"/>
  <c r="K17" i="7"/>
  <c r="G17" i="7"/>
  <c r="F17" i="7"/>
  <c r="E17" i="7"/>
  <c r="D17" i="7"/>
  <c r="C17" i="7"/>
  <c r="E34" i="2"/>
  <c r="C9" i="4"/>
  <c r="D36" i="4"/>
  <c r="C19" i="4"/>
  <c r="G18" i="4"/>
  <c r="G7" i="4"/>
  <c r="C45" i="4"/>
  <c r="F35" i="2"/>
  <c r="G35" i="2" s="1"/>
  <c r="H35" i="2" s="1"/>
  <c r="E35" i="2"/>
  <c r="D35" i="2"/>
  <c r="C35" i="2"/>
  <c r="H34" i="2"/>
  <c r="D32" i="2"/>
  <c r="E8" i="2"/>
  <c r="F8" i="2" s="1"/>
  <c r="G8" i="2" s="1"/>
  <c r="H8" i="2" s="1"/>
  <c r="I8" i="2" s="1"/>
  <c r="C10" i="2"/>
  <c r="C11" i="2" s="1"/>
  <c r="D11" i="1"/>
  <c r="D10" i="1"/>
  <c r="D9" i="1"/>
  <c r="D8" i="1"/>
  <c r="D16" i="1"/>
  <c r="L73" i="7"/>
  <c r="M73" i="7"/>
  <c r="N73" i="7"/>
  <c r="O73" i="7"/>
  <c r="K73" i="7"/>
  <c r="L23" i="7"/>
  <c r="M23" i="7"/>
  <c r="N23" i="7"/>
  <c r="O23" i="7"/>
  <c r="L24" i="7"/>
  <c r="M24" i="7"/>
  <c r="N24" i="7"/>
  <c r="O24" i="7"/>
  <c r="L25" i="7"/>
  <c r="L99" i="7" s="1"/>
  <c r="M25" i="7"/>
  <c r="M99" i="7" s="1"/>
  <c r="N25" i="7"/>
  <c r="N99" i="7" s="1"/>
  <c r="O25" i="7"/>
  <c r="O99" i="7" s="1"/>
  <c r="K24" i="7"/>
  <c r="K25" i="7"/>
  <c r="K99" i="7" s="1"/>
  <c r="K23" i="7"/>
  <c r="D73" i="7"/>
  <c r="E73" i="7"/>
  <c r="F73" i="7"/>
  <c r="G73" i="7"/>
  <c r="C73" i="7"/>
  <c r="C18" i="4"/>
  <c r="G25" i="7"/>
  <c r="G99" i="7" s="1"/>
  <c r="D23" i="7"/>
  <c r="E23" i="7"/>
  <c r="F23" i="7"/>
  <c r="G23" i="7"/>
  <c r="D24" i="7"/>
  <c r="E24" i="7"/>
  <c r="F24" i="7"/>
  <c r="G24" i="7"/>
  <c r="D25" i="7"/>
  <c r="D99" i="7" s="1"/>
  <c r="E25" i="7"/>
  <c r="E99" i="7" s="1"/>
  <c r="F25" i="7"/>
  <c r="F99" i="7" s="1"/>
  <c r="C24" i="7"/>
  <c r="C25" i="7"/>
  <c r="C99" i="7" s="1"/>
  <c r="C23" i="7"/>
  <c r="D44" i="4"/>
  <c r="E44" i="4"/>
  <c r="F44" i="4"/>
  <c r="G44" i="4"/>
  <c r="C44" i="4"/>
  <c r="D43" i="4"/>
  <c r="E43" i="4"/>
  <c r="F43" i="4"/>
  <c r="G43" i="4"/>
  <c r="C43" i="4"/>
  <c r="D10" i="2"/>
  <c r="C11" i="3" l="1"/>
  <c r="C12" i="3" s="1"/>
  <c r="C15" i="3" s="1"/>
  <c r="G11" i="3"/>
  <c r="G12" i="3" s="1"/>
  <c r="G15" i="3" s="1"/>
  <c r="E13" i="3"/>
  <c r="D13" i="3"/>
  <c r="F10" i="3"/>
  <c r="F11" i="3"/>
  <c r="E10" i="3"/>
  <c r="E12" i="3" s="1"/>
  <c r="D10" i="3"/>
  <c r="D12" i="3" s="1"/>
  <c r="G98" i="7"/>
  <c r="O98" i="7"/>
  <c r="N98" i="7"/>
  <c r="K26" i="7"/>
  <c r="L33" i="7" s="1"/>
  <c r="L98" i="7"/>
  <c r="K98" i="7"/>
  <c r="F9" i="2"/>
  <c r="E9" i="2"/>
  <c r="C17" i="2" s="1"/>
  <c r="E10" i="2"/>
  <c r="D26" i="7"/>
  <c r="E33" i="7" s="1"/>
  <c r="N26" i="7"/>
  <c r="O33" i="7" s="1"/>
  <c r="O26" i="7"/>
  <c r="P33" i="7" s="1"/>
  <c r="F98" i="7"/>
  <c r="L26" i="7"/>
  <c r="M33" i="7" s="1"/>
  <c r="E98" i="7"/>
  <c r="M98" i="7"/>
  <c r="M26" i="7"/>
  <c r="N33" i="7" s="1"/>
  <c r="C26" i="7"/>
  <c r="D33" i="7" s="1"/>
  <c r="D98" i="7"/>
  <c r="G26" i="7"/>
  <c r="H33" i="7" s="1"/>
  <c r="C98" i="7"/>
  <c r="F26" i="7"/>
  <c r="G33" i="7" s="1"/>
  <c r="E26" i="7"/>
  <c r="F33" i="7" s="1"/>
  <c r="G16" i="3" l="1"/>
  <c r="G17" i="3"/>
  <c r="C16" i="3"/>
  <c r="C17" i="3"/>
  <c r="F12" i="3"/>
  <c r="F15" i="3" s="1"/>
  <c r="D15" i="3"/>
  <c r="E15" i="3"/>
  <c r="F10" i="2"/>
  <c r="D17" i="2"/>
  <c r="C42" i="4"/>
  <c r="C46" i="4" s="1"/>
  <c r="G9" i="2"/>
  <c r="E17" i="2" s="1"/>
  <c r="E16" i="3" l="1"/>
  <c r="E17" i="3"/>
  <c r="D16" i="3"/>
  <c r="D17" i="3"/>
  <c r="F16" i="3"/>
  <c r="F17" i="3"/>
  <c r="C97" i="7"/>
  <c r="C100" i="7" s="1"/>
  <c r="C101" i="7" s="1"/>
  <c r="D32" i="7"/>
  <c r="D34" i="7" s="1"/>
  <c r="C72" i="7" s="1"/>
  <c r="D42" i="4"/>
  <c r="D45" i="4" s="1"/>
  <c r="D46" i="4" s="1"/>
  <c r="E32" i="2"/>
  <c r="K97" i="7"/>
  <c r="K100" i="7" s="1"/>
  <c r="K101" i="7" s="1"/>
  <c r="L32" i="7"/>
  <c r="L34" i="7" s="1"/>
  <c r="K72" i="7" s="1"/>
  <c r="L85" i="7" s="1"/>
  <c r="D18" i="4"/>
  <c r="E18" i="4"/>
  <c r="F18" i="4"/>
  <c r="C26" i="2"/>
  <c r="D33" i="2" s="1"/>
  <c r="D34" i="2" s="1"/>
  <c r="C17" i="4" s="1"/>
  <c r="D54" i="2"/>
  <c r="C54" i="2"/>
  <c r="G26" i="2"/>
  <c r="G55" i="2" s="1"/>
  <c r="F26" i="2"/>
  <c r="F55" i="2" s="1"/>
  <c r="E26" i="2"/>
  <c r="E55" i="2" s="1"/>
  <c r="D26" i="2"/>
  <c r="E33" i="2" s="1"/>
  <c r="I9" i="2" l="1"/>
  <c r="G17" i="2" s="1"/>
  <c r="H9" i="2"/>
  <c r="F17" i="2" s="1"/>
  <c r="K74" i="7"/>
  <c r="D30" i="4"/>
  <c r="E42" i="4"/>
  <c r="E45" i="4" s="1"/>
  <c r="E46" i="4" s="1"/>
  <c r="M32" i="7"/>
  <c r="M34" i="7" s="1"/>
  <c r="L72" i="7" s="1"/>
  <c r="L97" i="7"/>
  <c r="L100" i="7" s="1"/>
  <c r="L101" i="7" s="1"/>
  <c r="D97" i="7"/>
  <c r="D100" i="7" s="1"/>
  <c r="D101" i="7" s="1"/>
  <c r="E32" i="7"/>
  <c r="E34" i="7" s="1"/>
  <c r="D72" i="7" s="1"/>
  <c r="C33" i="7"/>
  <c r="C34" i="7" s="1"/>
  <c r="C35" i="7" s="1"/>
  <c r="C33" i="2"/>
  <c r="C34" i="2" s="1"/>
  <c r="D84" i="7"/>
  <c r="D29" i="4"/>
  <c r="K33" i="7"/>
  <c r="K34" i="7" s="1"/>
  <c r="K35" i="7" s="1"/>
  <c r="L84" i="7"/>
  <c r="D17" i="4"/>
  <c r="D85" i="7"/>
  <c r="C74" i="7"/>
  <c r="G10" i="2"/>
  <c r="I10" i="2"/>
  <c r="C55" i="2"/>
  <c r="C56" i="2" s="1"/>
  <c r="C60" i="2" s="1"/>
  <c r="C63" i="2" s="1"/>
  <c r="C65" i="2" s="1"/>
  <c r="D55" i="2"/>
  <c r="D56" i="2" s="1"/>
  <c r="D60" i="2" s="1"/>
  <c r="D63" i="2" s="1"/>
  <c r="D65" i="2" s="1"/>
  <c r="F33" i="2"/>
  <c r="G33" i="2"/>
  <c r="H33" i="2"/>
  <c r="D35" i="7" l="1"/>
  <c r="E35" i="7" s="1"/>
  <c r="L74" i="7"/>
  <c r="L86" i="7"/>
  <c r="N32" i="7"/>
  <c r="N34" i="7" s="1"/>
  <c r="M72" i="7" s="1"/>
  <c r="M97" i="7"/>
  <c r="M100" i="7" s="1"/>
  <c r="M101" i="7" s="1"/>
  <c r="F42" i="4"/>
  <c r="F45" i="4" s="1"/>
  <c r="F46" i="4" s="1"/>
  <c r="G42" i="4"/>
  <c r="G45" i="4" s="1"/>
  <c r="G46" i="4" s="1"/>
  <c r="H32" i="2"/>
  <c r="G17" i="4" s="1"/>
  <c r="G19" i="4" s="1"/>
  <c r="L35" i="7"/>
  <c r="M35" i="7" s="1"/>
  <c r="D86" i="7"/>
  <c r="D74" i="7"/>
  <c r="E97" i="7"/>
  <c r="E100" i="7" s="1"/>
  <c r="E101" i="7" s="1"/>
  <c r="F32" i="7"/>
  <c r="F34" i="7" s="1"/>
  <c r="E72" i="7" s="1"/>
  <c r="D31" i="4"/>
  <c r="H10" i="2"/>
  <c r="G54" i="2"/>
  <c r="G56" i="2" s="1"/>
  <c r="G60" i="2" s="1"/>
  <c r="G63" i="2" s="1"/>
  <c r="G65" i="2" s="1"/>
  <c r="F32" i="2"/>
  <c r="F34" i="2" s="1"/>
  <c r="E17" i="4" s="1"/>
  <c r="E54" i="2"/>
  <c r="E56" i="2" s="1"/>
  <c r="E60" i="2" s="1"/>
  <c r="E63" i="2" s="1"/>
  <c r="E65" i="2" s="1"/>
  <c r="D19" i="4"/>
  <c r="F35" i="7" l="1"/>
  <c r="N35" i="7"/>
  <c r="O62" i="7" s="1"/>
  <c r="F97" i="7"/>
  <c r="F100" i="7" s="1"/>
  <c r="F101" i="7" s="1"/>
  <c r="G32" i="7"/>
  <c r="G34" i="7" s="1"/>
  <c r="O32" i="7"/>
  <c r="O34" i="7" s="1"/>
  <c r="N72" i="7" s="1"/>
  <c r="N97" i="7"/>
  <c r="N100" i="7" s="1"/>
  <c r="N101" i="7" s="1"/>
  <c r="D87" i="7"/>
  <c r="E74" i="7"/>
  <c r="G97" i="7"/>
  <c r="G100" i="7" s="1"/>
  <c r="G101" i="7" s="1"/>
  <c r="H32" i="7"/>
  <c r="H34" i="7" s="1"/>
  <c r="G72" i="7" s="1"/>
  <c r="D89" i="7" s="1"/>
  <c r="P32" i="7"/>
  <c r="P34" i="7" s="1"/>
  <c r="O72" i="7" s="1"/>
  <c r="O97" i="7"/>
  <c r="O100" i="7" s="1"/>
  <c r="O101" i="7" s="1"/>
  <c r="L87" i="7"/>
  <c r="M74" i="7"/>
  <c r="E19" i="4"/>
  <c r="D32" i="4"/>
  <c r="D34" i="4"/>
  <c r="G32" i="2"/>
  <c r="G34" i="2" s="1"/>
  <c r="F17" i="4" s="1"/>
  <c r="C25" i="4" s="1"/>
  <c r="F54" i="2"/>
  <c r="F56" i="2" s="1"/>
  <c r="F60" i="2" s="1"/>
  <c r="F63" i="2" s="1"/>
  <c r="F65" i="2" s="1"/>
  <c r="G74" i="7" l="1"/>
  <c r="O74" i="7"/>
  <c r="L89" i="7"/>
  <c r="L88" i="7"/>
  <c r="N74" i="7"/>
  <c r="K76" i="7" s="1"/>
  <c r="K78" i="7" s="1"/>
  <c r="K80" i="7"/>
  <c r="F72" i="7"/>
  <c r="G35" i="7"/>
  <c r="H35" i="7" s="1"/>
  <c r="O35" i="7"/>
  <c r="P35" i="7" s="1"/>
  <c r="O63" i="7" s="1"/>
  <c r="D33" i="4"/>
  <c r="F19" i="4"/>
  <c r="C21" i="4" s="1"/>
  <c r="C23" i="4" s="1"/>
  <c r="L91" i="7" l="1"/>
  <c r="D88" i="7"/>
  <c r="D91" i="7" s="1"/>
  <c r="F74" i="7"/>
  <c r="C76" i="7" s="1"/>
  <c r="C78" i="7" s="1"/>
  <c r="C80" i="7"/>
  <c r="G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11" authorId="0" shapeId="0" xr:uid="{544A219B-0E21-B345-97E1-E97EF04EAA4C}">
      <text>
        <r>
          <rPr>
            <sz val="9"/>
            <color rgb="FF000000"/>
            <rFont val="Arial"/>
            <family val="34"/>
          </rPr>
          <t>Se estima un 10% del total de ingresos para cubrir el personal de apoyo, gestión y administración</t>
        </r>
      </text>
    </comment>
    <comment ref="B13" authorId="0" shapeId="0" xr:uid="{F2761A86-A795-BE46-9838-F0D5DE65C155}">
      <text>
        <r>
          <rPr>
            <sz val="9"/>
            <color rgb="FF000000"/>
            <rFont val="Arial"/>
            <family val="34"/>
          </rPr>
          <t>Se estima un 0,5% del total de ingresos, por los intereses o rendimientos generados por el saldo de efectivo o las inversiones a corto plazo de la empresa.</t>
        </r>
      </text>
    </comment>
    <comment ref="B14" authorId="0" shapeId="0" xr:uid="{E0AABC3C-C127-E943-9703-7C827AD0A585}">
      <text>
        <r>
          <rPr>
            <sz val="9"/>
            <color rgb="FF000000"/>
            <rFont val="Arial"/>
            <family val="34"/>
          </rPr>
          <t>Se estimaría en </t>
        </r>
        <r>
          <rPr>
            <b/>
            <sz val="9"/>
            <color rgb="FF000000"/>
            <rFont val="Arial"/>
            <family val="34"/>
          </rPr>
          <t>cero</t>
        </r>
        <r>
          <rPr>
            <sz val="9"/>
            <color rgb="FF000000"/>
            <rFont val="Arial"/>
            <family val="34"/>
          </rPr>
          <t> porque no hay un préstamo bancario que genere un pago de intereses.</t>
        </r>
      </text>
    </comment>
    <comment ref="B19" authorId="0" shapeId="0" xr:uid="{66A83D43-26BF-4C4E-A609-466AAB6B67B9}">
      <text>
        <r>
          <rPr>
            <sz val="10"/>
            <color rgb="FF000000"/>
            <rFont val="Tahoma"/>
            <family val="2"/>
          </rPr>
          <t>Se considera la depreciación de los equipo de cómputo de los directivos y la alta gerencia.</t>
        </r>
      </text>
    </comment>
  </commentList>
</comments>
</file>

<file path=xl/sharedStrings.xml><?xml version="1.0" encoding="utf-8"?>
<sst xmlns="http://schemas.openxmlformats.org/spreadsheetml/2006/main" count="297" uniqueCount="97">
  <si>
    <t>Categoría</t>
  </si>
  <si>
    <t>Descripción</t>
  </si>
  <si>
    <t>Costo estimado (COP)</t>
  </si>
  <si>
    <t>Infraestructura tecnológica</t>
  </si>
  <si>
    <t>Servidores, licencias, almacenamiento en la nube y seguridad.</t>
  </si>
  <si>
    <t>Capacitación y gestión del cambio</t>
  </si>
  <si>
    <t>Entrenamiento a usuarios, manuales y talleres de adopción digital.</t>
  </si>
  <si>
    <t>Soporte técnico y mantenimiento anual (primer año)</t>
  </si>
  <si>
    <t>Actualizaciones, respaldo y monitoreo de desempeño.</t>
  </si>
  <si>
    <t>Gestión de innovación y evaluación de impacto</t>
  </si>
  <si>
    <t>Consultoría, seguimiento de indicadores y mejora continua.</t>
  </si>
  <si>
    <t>Total inversión inicial estimada</t>
  </si>
  <si>
    <t>Año 1</t>
  </si>
  <si>
    <t>Año 2</t>
  </si>
  <si>
    <t>Año 3</t>
  </si>
  <si>
    <t>Año 4</t>
  </si>
  <si>
    <t>Año 5</t>
  </si>
  <si>
    <t>Total costos operativos</t>
  </si>
  <si>
    <t>Beneficios estimados</t>
  </si>
  <si>
    <t>Beneficios netos estimados</t>
  </si>
  <si>
    <t>Costos operativos</t>
  </si>
  <si>
    <t>Flujo neto anual</t>
  </si>
  <si>
    <t>Flujo acumulado</t>
  </si>
  <si>
    <t>Año 0</t>
  </si>
  <si>
    <t>Ingresos de actividades ordinarias</t>
  </si>
  <si>
    <t xml:space="preserve">Costo de ventas </t>
  </si>
  <si>
    <t>Ganancia bruta</t>
  </si>
  <si>
    <t>Gastos de administración</t>
  </si>
  <si>
    <t>Otros ingresos</t>
  </si>
  <si>
    <t>Otros gastos</t>
  </si>
  <si>
    <t>Ganancia operacional</t>
  </si>
  <si>
    <t>Ingresos financieros</t>
  </si>
  <si>
    <t>Costos financieros</t>
  </si>
  <si>
    <t>Ganancia antes de impuestos</t>
  </si>
  <si>
    <t>Gasto por impuestos</t>
  </si>
  <si>
    <t>Ganancia neta de resultados integrales</t>
  </si>
  <si>
    <t xml:space="preserve">Depreciación </t>
  </si>
  <si>
    <t>Amortización</t>
  </si>
  <si>
    <t>TIR</t>
  </si>
  <si>
    <t>INVERSIÓN INICIAL REQUERIDA</t>
  </si>
  <si>
    <t>Total inversión inicial estimada =</t>
  </si>
  <si>
    <t>PROYECCIÓN DE INGRESOS Y BENEFICIOS FINANCIEROS</t>
  </si>
  <si>
    <t>COSTOS OPERATIVOS PROYECTADOS</t>
  </si>
  <si>
    <t>FLUJO DE CAJA PROYECTADO</t>
  </si>
  <si>
    <t>RETORNO SOBRE LA INVERSIÓN</t>
  </si>
  <si>
    <t>3 años</t>
  </si>
  <si>
    <t>5 años</t>
  </si>
  <si>
    <t xml:space="preserve">ROI </t>
  </si>
  <si>
    <t>VALOR PRESENTE NETO</t>
  </si>
  <si>
    <t>Flujo neto (COP)</t>
  </si>
  <si>
    <t>Valor presente (COP)</t>
  </si>
  <si>
    <t>Tasa de descuento (anual)</t>
  </si>
  <si>
    <t>Total VP de flujos futuros</t>
  </si>
  <si>
    <t>Factor de descuento</t>
  </si>
  <si>
    <t xml:space="preserve"> 	PERÍODO DE RECUPERACIÓN</t>
  </si>
  <si>
    <t>TASA INTERNA DE RETORNO</t>
  </si>
  <si>
    <t>Payback (años)</t>
  </si>
  <si>
    <t>VPN (manual)</t>
  </si>
  <si>
    <t>VPN (excel)</t>
  </si>
  <si>
    <t>Costo de ventas</t>
  </si>
  <si>
    <t>Promedio (años 2024, 2025)</t>
  </si>
  <si>
    <t xml:space="preserve">Porcentaje </t>
  </si>
  <si>
    <t>PROYECCIÓN DEL ESTADO DE RESULTADOS A 5 AÑOS</t>
  </si>
  <si>
    <t>Escenario</t>
  </si>
  <si>
    <t>Variación</t>
  </si>
  <si>
    <t>Optimista</t>
  </si>
  <si>
    <t>Moderado (base)</t>
  </si>
  <si>
    <t>Sin cambios</t>
  </si>
  <si>
    <t>Pesimista</t>
  </si>
  <si>
    <t>ANALISIS DE SENSIBILIDAD</t>
  </si>
  <si>
    <t>Capacitación continua (costo variable)</t>
  </si>
  <si>
    <t>Soporte y mantenimiento (costo fijo)</t>
  </si>
  <si>
    <t>Infraestructura tecnológica (costo fijo)</t>
  </si>
  <si>
    <t>PUNTO DE EQUILIBRIO</t>
  </si>
  <si>
    <t>Total de costos fijos</t>
  </si>
  <si>
    <t>Total de costos variables</t>
  </si>
  <si>
    <t>Razón de Margen de Contribución (RMC)</t>
  </si>
  <si>
    <t>Punto de Equilibrio (BEP)</t>
  </si>
  <si>
    <t>ESCENARIO OPTIMISTA</t>
  </si>
  <si>
    <t>ESCENARIO PESIMISTA</t>
  </si>
  <si>
    <t>Análisis y diseño</t>
  </si>
  <si>
    <t>Desarrollo backend</t>
  </si>
  <si>
    <t>Desarrollo frontend</t>
  </si>
  <si>
    <t>QA y documentación</t>
  </si>
  <si>
    <t>Análisis del proceso y diseño estructural</t>
  </si>
  <si>
    <t xml:space="preserve">Creación de la interfaz de usuario de la aplicación </t>
  </si>
  <si>
    <t>Desarrollo web que se ocupa de la lógica del servidor, las bases de datos y las API</t>
  </si>
  <si>
    <t>Aumento de beneficios en 5%</t>
  </si>
  <si>
    <t>Aumento de beneficios en 1%</t>
  </si>
  <si>
    <t>ESTADO DE RESULTADOS</t>
  </si>
  <si>
    <t>RAZONES FINANCIERAS</t>
  </si>
  <si>
    <t>EBITDA</t>
  </si>
  <si>
    <t>Margen EBITDA (ebitda /ventas)</t>
  </si>
  <si>
    <t>Margen Neto</t>
  </si>
  <si>
    <t>Margen Operacional</t>
  </si>
  <si>
    <t>Margen Bruto</t>
  </si>
  <si>
    <t>ANÁLISIS FINANCIERO: PROPUESTA DE INNOVACIÓN TECNOLÓGICA PARA LA EFICIENCIA Y SOSTENIBILIDAD EN LA GESTIÓN DE COMPRAS DE SGI HIDROCARBUROS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</si>
</sst>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42" formatCode="_-&quot;$&quot;\ * #,##0_-;\-&quot;$&quot;\ * #,##0_-;_-&quot;$&quot;\ * &quot;-&quot;_-;_-@_-"/>
    <numFmt numFmtId="164" formatCode="0.0%"/>
    <numFmt numFmtId="165" formatCode="0.0000"/>
    <numFmt numFmtId="166" formatCode="0.000"/>
    <numFmt numFmtId="167" formatCode="_-&quot;$&quot;\ * #,##0_-;\-&quot;$&quot;\ * #,##0_-;_-&quot;$&quot;\ * &quot;-&quot;????_-;_-@_-"/>
  </numFmts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theme="1"/>
      <name val="Arial"/>
      <family val="2"/>
    </font>
    <font>
      <sz val="11"/>
      <color theme="1"/>
      <name val="Aptos Narrow"/>
      <family val="2"/>
      <scheme val="minor"/>
    </font>
    <font>
      <sz val="12"/>
      <color theme="0"/>
      <name val="Arial"/>
      <family val="2"/>
    </font>
    <font>
      <sz val="8"/>
      <name val="Aptos Narrow"/>
      <family val="2"/>
      <scheme val="minor"/>
    </font>
    <font>
      <b/>
      <sz val="16"/>
      <color theme="0"/>
      <name val="Arial"/>
      <family val="2"/>
    </font>
    <font>
      <sz val="10"/>
      <color rgb="FF000000"/>
      <name val="Tahoma"/>
      <family val="2"/>
    </font>
    <font>
      <sz val="9"/>
      <color rgb="FF000000"/>
      <name val="Arial"/>
      <family val="34"/>
    </font>
    <font>
      <b/>
      <sz val="9"/>
      <color rgb="FF000000"/>
      <name val="Arial"/>
      <family val="34"/>
    </font>
    <font>
      <b/>
      <sz val="10"/>
      <color theme="0"/>
      <name val="Aptos Narrow"/>
      <scheme val="minor"/>
    </font>
    <font>
      <sz val="16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B29FE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42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42" fontId="8" fillId="0" borderId="0" xfId="1" applyFont="1" applyFill="1" applyAlignment="1">
      <alignment horizontal="center" vertical="center" wrapText="1"/>
    </xf>
    <xf numFmtId="42" fontId="9" fillId="0" borderId="0" xfId="1" applyFont="1" applyFill="1" applyAlignment="1">
      <alignment horizontal="center" vertical="center"/>
    </xf>
    <xf numFmtId="42" fontId="9" fillId="0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9" fontId="0" fillId="0" borderId="0" xfId="2" applyFont="1"/>
    <xf numFmtId="10" fontId="2" fillId="0" borderId="0" xfId="2" applyNumberFormat="1" applyFont="1" applyAlignment="1">
      <alignment horizontal="center"/>
    </xf>
    <xf numFmtId="42" fontId="0" fillId="0" borderId="0" xfId="0" applyNumberFormat="1"/>
    <xf numFmtId="2" fontId="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/>
    </xf>
    <xf numFmtId="42" fontId="7" fillId="0" borderId="2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42" fontId="4" fillId="2" borderId="2" xfId="0" applyNumberFormat="1" applyFont="1" applyFill="1" applyBorder="1" applyAlignment="1">
      <alignment vertical="center"/>
    </xf>
    <xf numFmtId="0" fontId="14" fillId="0" borderId="0" xfId="0" applyFont="1"/>
    <xf numFmtId="9" fontId="7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42" fontId="5" fillId="0" borderId="2" xfId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42" fontId="4" fillId="7" borderId="2" xfId="0" applyNumberFormat="1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vertical="center"/>
    </xf>
    <xf numFmtId="42" fontId="4" fillId="0" borderId="2" xfId="1" applyFont="1" applyBorder="1" applyAlignment="1">
      <alignment vertical="center"/>
    </xf>
    <xf numFmtId="0" fontId="4" fillId="8" borderId="2" xfId="0" applyFont="1" applyFill="1" applyBorder="1" applyAlignment="1">
      <alignment vertical="center"/>
    </xf>
    <xf numFmtId="42" fontId="5" fillId="8" borderId="2" xfId="1" applyFont="1" applyFill="1" applyBorder="1" applyAlignment="1">
      <alignment vertical="center"/>
    </xf>
    <xf numFmtId="42" fontId="4" fillId="8" borderId="2" xfId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0" fontId="4" fillId="0" borderId="2" xfId="2" applyNumberFormat="1" applyFont="1" applyBorder="1" applyAlignment="1">
      <alignment horizontal="center" vertical="center"/>
    </xf>
    <xf numFmtId="9" fontId="5" fillId="0" borderId="6" xfId="1" applyNumberFormat="1" applyFont="1" applyBorder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42" fontId="5" fillId="0" borderId="2" xfId="0" applyNumberFormat="1" applyFont="1" applyBorder="1" applyAlignment="1">
      <alignment vertical="center"/>
    </xf>
    <xf numFmtId="6" fontId="0" fillId="0" borderId="0" xfId="0" applyNumberFormat="1" applyAlignment="1">
      <alignment vertical="center"/>
    </xf>
    <xf numFmtId="42" fontId="0" fillId="0" borderId="0" xfId="0" applyNumberFormat="1" applyAlignment="1">
      <alignment vertical="center"/>
    </xf>
    <xf numFmtId="9" fontId="7" fillId="0" borderId="0" xfId="0" applyNumberFormat="1" applyFont="1"/>
    <xf numFmtId="9" fontId="14" fillId="0" borderId="0" xfId="0" applyNumberFormat="1" applyFont="1"/>
    <xf numFmtId="6" fontId="7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0" fontId="7" fillId="0" borderId="2" xfId="0" applyNumberFormat="1" applyFont="1" applyBorder="1" applyAlignment="1">
      <alignment horizontal="center" vertical="center"/>
    </xf>
    <xf numFmtId="6" fontId="9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42" fontId="4" fillId="11" borderId="2" xfId="0" applyNumberFormat="1" applyFont="1" applyFill="1" applyBorder="1" applyAlignment="1">
      <alignment vertical="center"/>
    </xf>
    <xf numFmtId="0" fontId="4" fillId="13" borderId="2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vertical="center"/>
    </xf>
    <xf numFmtId="165" fontId="5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167" fontId="4" fillId="5" borderId="2" xfId="0" applyNumberFormat="1" applyFont="1" applyFill="1" applyBorder="1" applyAlignment="1">
      <alignment vertical="center"/>
    </xf>
    <xf numFmtId="164" fontId="4" fillId="1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3" xfId="0" applyFont="1" applyBorder="1" applyAlignment="1">
      <alignment vertical="center"/>
    </xf>
    <xf numFmtId="42" fontId="7" fillId="0" borderId="13" xfId="1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42" fontId="7" fillId="0" borderId="14" xfId="1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42" fontId="0" fillId="0" borderId="0" xfId="1" applyFont="1"/>
    <xf numFmtId="42" fontId="5" fillId="0" borderId="0" xfId="0" applyNumberFormat="1" applyFont="1" applyAlignment="1">
      <alignment vertical="center"/>
    </xf>
    <xf numFmtId="2" fontId="0" fillId="0" borderId="0" xfId="0" applyNumberFormat="1"/>
    <xf numFmtId="165" fontId="0" fillId="0" borderId="0" xfId="0" applyNumberFormat="1"/>
    <xf numFmtId="164" fontId="4" fillId="0" borderId="2" xfId="2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8" fillId="17" borderId="0" xfId="0" applyFont="1" applyFill="1" applyAlignment="1">
      <alignment horizontal="center" vertical="center"/>
    </xf>
    <xf numFmtId="42" fontId="9" fillId="0" borderId="0" xfId="0" applyNumberFormat="1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13" fillId="13" borderId="2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7" fillId="10" borderId="3" xfId="0" applyFont="1" applyFill="1" applyBorder="1" applyAlignment="1">
      <alignment horizontal="center" vertical="center"/>
    </xf>
    <xf numFmtId="0" fontId="17" fillId="10" borderId="0" xfId="0" applyFont="1" applyFill="1" applyAlignment="1">
      <alignment horizontal="center" vertical="center"/>
    </xf>
    <xf numFmtId="0" fontId="17" fillId="16" borderId="4" xfId="0" applyFont="1" applyFill="1" applyBorder="1" applyAlignment="1">
      <alignment horizontal="center" vertical="center"/>
    </xf>
    <xf numFmtId="0" fontId="17" fillId="16" borderId="5" xfId="0" applyFont="1" applyFill="1" applyBorder="1" applyAlignment="1">
      <alignment horizontal="center" vertical="center"/>
    </xf>
    <xf numFmtId="0" fontId="17" fillId="16" borderId="6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B29FEC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83000625476041"/>
          <c:y val="4.0293040293040296E-2"/>
          <c:w val="0.85461244611638909"/>
          <c:h val="0.90754062941826963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257-2E48-B22F-93FB8542E53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257-2E48-B22F-93FB8542E53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257-2E48-B22F-93FB8542E53F}"/>
                </c:ext>
              </c:extLst>
            </c:dLbl>
            <c:dLbl>
              <c:idx val="5"/>
              <c:layout>
                <c:manualLayout>
                  <c:x val="-4.9281314168377825E-2"/>
                  <c:y val="-7.3260073260073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7-2E48-B22F-93FB8542E5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'Flujo de caja proyectado'!$C$30:$H$30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'Flujo de caja proyectado'!$C$35:$H$35</c:f>
              <c:numCache>
                <c:formatCode>_("$"* #,##0_);_("$"* \(#,##0\);_("$"* "-"_);_(@_)</c:formatCode>
                <c:ptCount val="6"/>
                <c:pt idx="0">
                  <c:v>-96000000</c:v>
                </c:pt>
                <c:pt idx="1">
                  <c:v>-42431566.911144808</c:v>
                </c:pt>
                <c:pt idx="2">
                  <c:v>16493709.486595899</c:v>
                </c:pt>
                <c:pt idx="3">
                  <c:v>81691513.524110675</c:v>
                </c:pt>
                <c:pt idx="4">
                  <c:v>154169097.96537694</c:v>
                </c:pt>
                <c:pt idx="5">
                  <c:v>235034440.85076982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257-2E48-B22F-93FB8542E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557408"/>
        <c:axId val="365749152"/>
      </c:scatterChart>
      <c:valAx>
        <c:axId val="365557408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b="1">
                    <a:latin typeface="Arial" panose="020B0604020202020204" pitchFamily="34" charset="0"/>
                    <a:cs typeface="Arial" panose="020B0604020202020204" pitchFamily="34" charset="0"/>
                  </a:rPr>
                  <a:t>Años</a:t>
                </a:r>
              </a:p>
            </c:rich>
          </c:tx>
          <c:layout>
            <c:manualLayout>
              <c:xMode val="edge"/>
              <c:yMode val="edge"/>
              <c:x val="0.54625467472314682"/>
              <c:y val="0.959888323936665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65749152"/>
        <c:crosses val="autoZero"/>
        <c:crossBetween val="midCat"/>
        <c:majorUnit val="1"/>
      </c:valAx>
      <c:valAx>
        <c:axId val="365749152"/>
        <c:scaling>
          <c:orientation val="minMax"/>
          <c:max val="250000000"/>
          <c:min val="-100000000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b="1">
                    <a:latin typeface="Arial" panose="020B0604020202020204" pitchFamily="34" charset="0"/>
                    <a:cs typeface="Arial" panose="020B0604020202020204" pitchFamily="34" charset="0"/>
                  </a:rPr>
                  <a:t>Flujo de Caja Acumulado (COP)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6555740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MX" b="1">
                <a:latin typeface="Arial" panose="020B0604020202020204" pitchFamily="34" charset="0"/>
                <a:cs typeface="Arial" panose="020B0604020202020204" pitchFamily="34" charset="0"/>
              </a:rPr>
              <a:t>Proyección de Ingresos y Costos Futuros</a:t>
            </a:r>
          </a:p>
        </c:rich>
      </c:tx>
      <c:layout>
        <c:manualLayout>
          <c:xMode val="edge"/>
          <c:yMode val="edge"/>
          <c:x val="0.2918817025124183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649423625661376"/>
          <c:y val="7.0424091725376434E-2"/>
          <c:w val="0.82350576374338624"/>
          <c:h val="0.8354432011788"/>
        </c:manualLayout>
      </c:layout>
      <c:barChart>
        <c:barDir val="col"/>
        <c:grouping val="clustered"/>
        <c:varyColors val="0"/>
        <c:ser>
          <c:idx val="0"/>
          <c:order val="0"/>
          <c:tx>
            <c:v>Ingresos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'Flujo de caja proyectado'!$E$7:$I$7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'Flujo de caja proyectado'!$E$8:$I$8</c:f>
              <c:numCache>
                <c:formatCode>_("$"* #,##0_);_("$"* \(#,##0\);_("$"* "-"_);_(@_)</c:formatCode>
                <c:ptCount val="5"/>
                <c:pt idx="0">
                  <c:v>4651046570.5</c:v>
                </c:pt>
                <c:pt idx="1">
                  <c:v>5116151227.5500002</c:v>
                </c:pt>
                <c:pt idx="2">
                  <c:v>5627766350.3050003</c:v>
                </c:pt>
                <c:pt idx="3">
                  <c:v>6190542985.3355007</c:v>
                </c:pt>
                <c:pt idx="4">
                  <c:v>6809597283.869051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5-674C-8D22-7FFF8DF7C64F}"/>
            </c:ext>
          </c:extLst>
        </c:ser>
        <c:ser>
          <c:idx val="1"/>
          <c:order val="1"/>
          <c:tx>
            <c:v>Costos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'Flujo de caja proyectado'!$E$7:$I$7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'Flujo de caja proyectado'!$E$9:$I$9</c:f>
              <c:numCache>
                <c:formatCode>_("$"* #,##0_);_("$"* \(#,##0\);_("$"* "-"_);_(@_)</c:formatCode>
                <c:ptCount val="5"/>
                <c:pt idx="0">
                  <c:v>3052281102.9618397</c:v>
                </c:pt>
                <c:pt idx="1">
                  <c:v>3357509213.2580237</c:v>
                </c:pt>
                <c:pt idx="2">
                  <c:v>3693260134.5838261</c:v>
                </c:pt>
                <c:pt idx="3">
                  <c:v>4062586148.0422091</c:v>
                </c:pt>
                <c:pt idx="4">
                  <c:v>4468844762.8464298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5-674C-8D22-7FFF8DF7C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2392047"/>
        <c:axId val="1801228687"/>
      </c:barChart>
      <c:catAx>
        <c:axId val="17623920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01228687"/>
        <c:crosses val="autoZero"/>
        <c:auto val="1"/>
        <c:lblAlgn val="ctr"/>
        <c:lblOffset val="100"/>
        <c:noMultiLvlLbl val="0"/>
      </c:catAx>
      <c:valAx>
        <c:axId val="180122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COP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62392047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26575276078583587"/>
          <c:y val="9.7713367725586031E-2"/>
          <c:w val="0.63669065562333471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66967100810511"/>
          <c:y val="4.0293040293040296E-2"/>
          <c:w val="0.7830231598408689"/>
          <c:h val="0.88935883014623174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4DD-3A4A-A282-24CE39D44DB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4DD-3A4A-A282-24CE39D44DB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4DD-3A4A-A282-24CE39D44DBD}"/>
                </c:ext>
              </c:extLst>
            </c:dLbl>
            <c:dLbl>
              <c:idx val="5"/>
              <c:layout>
                <c:manualLayout>
                  <c:x val="-4.9281314168377825E-2"/>
                  <c:y val="-7.3260073260073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D-3A4A-A282-24CE39D44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'Análisis de sensibilidad'!$C$30:$H$30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'Análisis de sensibilidad'!$C$35:$H$35</c:f>
              <c:numCache>
                <c:formatCode>_("$"* #,##0_);_("$"* \(#,##0\);_("$"* "-"_);_(@_)</c:formatCode>
                <c:ptCount val="6"/>
                <c:pt idx="0">
                  <c:v>-96000000</c:v>
                </c:pt>
                <c:pt idx="1">
                  <c:v>-37853145.256702051</c:v>
                </c:pt>
                <c:pt idx="2">
                  <c:v>26108394.960925698</c:v>
                </c:pt>
                <c:pt idx="3">
                  <c:v>96846089.200316221</c:v>
                </c:pt>
                <c:pt idx="4">
                  <c:v>175417552.86364579</c:v>
                </c:pt>
                <c:pt idx="5">
                  <c:v>262986162.89330834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4DD-3A4A-A282-24CE39D44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557408"/>
        <c:axId val="365749152"/>
      </c:scatterChart>
      <c:valAx>
        <c:axId val="365557408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b="1">
                    <a:latin typeface="Arial" panose="020B0604020202020204" pitchFamily="34" charset="0"/>
                    <a:cs typeface="Arial" panose="020B0604020202020204" pitchFamily="34" charset="0"/>
                  </a:rPr>
                  <a:t>Años</a:t>
                </a:r>
              </a:p>
            </c:rich>
          </c:tx>
          <c:layout>
            <c:manualLayout>
              <c:xMode val="edge"/>
              <c:yMode val="edge"/>
              <c:x val="0.54768649201868636"/>
              <c:y val="0.944303885091286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65749152"/>
        <c:crosses val="autoZero"/>
        <c:crossBetween val="midCat"/>
        <c:majorUnit val="1"/>
      </c:valAx>
      <c:valAx>
        <c:axId val="36574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b="1">
                    <a:latin typeface="Arial" panose="020B0604020202020204" pitchFamily="34" charset="0"/>
                    <a:cs typeface="Arial" panose="020B0604020202020204" pitchFamily="34" charset="0"/>
                  </a:rPr>
                  <a:t>Flujo de Caja Acumulado (COP)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6555740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66967100810511"/>
          <c:y val="4.0293040293040296E-2"/>
          <c:w val="0.7830231598408689"/>
          <c:h val="0.88935883014623174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E9D-114E-9DE9-9ED7A46AD22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35C3E20-0BFD-3A40-A115-2FAA86B5FDDA}" type="YVALUE">
                      <a:rPr lang="en-US">
                        <a:solidFill>
                          <a:srgbClr val="FF0000"/>
                        </a:solidFill>
                      </a:rPr>
                      <a:pPr/>
                      <a:t>[VALOR DE Y]</a:t>
                    </a:fld>
                    <a:endParaRPr lang="es-MX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E9D-114E-9DE9-9ED7A46AD228}"/>
                </c:ext>
              </c:extLst>
            </c:dLbl>
            <c:dLbl>
              <c:idx val="5"/>
              <c:layout>
                <c:manualLayout>
                  <c:x val="-6.0508766420234679E-2"/>
                  <c:y val="-5.58659217877097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D-114E-9DE9-9ED7A46AD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'Análisis de sensibilidad'!$K$30:$P$30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'Análisis de sensibilidad'!$K$35:$P$35</c:f>
              <c:numCache>
                <c:formatCode>_("$"* #,##0_);_("$"* \(#,##0\);_("$"* "-"_);_(@_)</c:formatCode>
                <c:ptCount val="6"/>
                <c:pt idx="0">
                  <c:v>-96000000</c:v>
                </c:pt>
                <c:pt idx="1">
                  <c:v>-41515882.580256253</c:v>
                </c:pt>
                <c:pt idx="2">
                  <c:v>18416646.581461862</c:v>
                </c:pt>
                <c:pt idx="3">
                  <c:v>84722428.659351781</c:v>
                </c:pt>
                <c:pt idx="4">
                  <c:v>158418788.94503072</c:v>
                </c:pt>
                <c:pt idx="5">
                  <c:v>240624785.25927752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268-E24B-B4DF-BF406753F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557408"/>
        <c:axId val="365749152"/>
      </c:scatterChart>
      <c:valAx>
        <c:axId val="365557408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b="1">
                    <a:latin typeface="Arial" panose="020B0604020202020204" pitchFamily="34" charset="0"/>
                    <a:cs typeface="Arial" panose="020B0604020202020204" pitchFamily="34" charset="0"/>
                  </a:rPr>
                  <a:t>Años</a:t>
                </a:r>
              </a:p>
            </c:rich>
          </c:tx>
          <c:layout>
            <c:manualLayout>
              <c:xMode val="edge"/>
              <c:yMode val="edge"/>
              <c:x val="0.54768649201868636"/>
              <c:y val="0.944303885091286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65749152"/>
        <c:crosses val="autoZero"/>
        <c:crossBetween val="midCat"/>
        <c:majorUnit val="1"/>
      </c:valAx>
      <c:valAx>
        <c:axId val="36574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b="1">
                    <a:latin typeface="Arial" panose="020B0604020202020204" pitchFamily="34" charset="0"/>
                    <a:cs typeface="Arial" panose="020B0604020202020204" pitchFamily="34" charset="0"/>
                  </a:rPr>
                  <a:t>Flujo de Caja Acumulado (COP)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6555740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96156</xdr:colOff>
      <xdr:row>19</xdr:row>
      <xdr:rowOff>177801</xdr:rowOff>
    </xdr:from>
    <xdr:to>
      <xdr:col>18</xdr:col>
      <xdr:colOff>165100</xdr:colOff>
      <xdr:row>37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EDF40A-1D96-A74C-91A6-2D0124821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144236</xdr:colOff>
      <xdr:row>3</xdr:row>
      <xdr:rowOff>190500</xdr:rowOff>
    </xdr:from>
    <xdr:to>
      <xdr:col>17</xdr:col>
      <xdr:colOff>609600</xdr:colOff>
      <xdr:row>18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F9BE966-2B5B-3E36-29DB-4B2A3757F4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0.39872</cdr:x>
      <cdr:y>0.37928</cdr:y>
    </cdr:from>
    <cdr:to>
      <cdr:x>0.42693</cdr:x>
      <cdr:y>0.69121</cdr:y>
    </cdr:to>
    <cdr:cxnSp macro="">
      <cdr:nvCxnSpPr>
        <cdr:cNvPr id="3" name="Conector angular 2">
          <a:extLst xmlns:a="http://schemas.openxmlformats.org/drawingml/2006/main">
            <a:ext uri="{FF2B5EF4-FFF2-40B4-BE49-F238E27FC236}">
              <a16:creationId xmlns:a16="http://schemas.microsoft.com/office/drawing/2014/main" id="{11F00E1C-6504-3258-38B3-FB1113209332}"/>
            </a:ext>
          </a:extLst>
        </cdr:cNvPr>
        <cdr:cNvCxnSpPr>
          <a:endCxn xmlns:a="http://schemas.openxmlformats.org/drawingml/2006/main" id="9" idx="3"/>
        </cdr:cNvCxnSpPr>
      </cdr:nvCxnSpPr>
      <cdr:spPr>
        <a:xfrm xmlns:a="http://schemas.openxmlformats.org/drawingml/2006/main" rot="16200000" flipV="1">
          <a:off x="2899194" y="2491996"/>
          <a:ext cx="1525146" cy="250169"/>
        </a:xfrm>
        <a:prstGeom xmlns:a="http://schemas.openxmlformats.org/drawingml/2006/main" prst="bentConnector2">
          <a:avLst/>
        </a:prstGeom>
        <a:ln xmlns:a="http://schemas.openxmlformats.org/drawingml/2006/main" w="12700">
          <a:solidFill>
            <a:srgbClr val="0432FF"/>
          </a:solidFill>
          <a:prstDash val="dash"/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0.16955</cdr:x>
      <cdr:y>0.33238</cdr:y>
    </cdr:from>
    <cdr:to>
      <cdr:x>0.39872</cdr:x>
      <cdr:y>0.42619</cdr:y>
    </cdr:to>
    <cdr:sp macro="" textlink="">
      <cdr:nvSpPr>
        <cdr:cNvPr id="9" name="CuadroTexto 8">
          <a:extLst xmlns:a="http://schemas.openxmlformats.org/drawingml/2006/main">
            <a:ext uri="{FF2B5EF4-FFF2-40B4-BE49-F238E27FC236}">
              <a16:creationId xmlns:a16="http://schemas.microsoft.com/office/drawing/2014/main" id="{947A19B4-0CA4-D085-A50A-F225DFF2F68D}"/>
            </a:ext>
          </a:extLst>
        </cdr:cNvPr>
        <cdr:cNvSpPr txBox="1"/>
      </cdr:nvSpPr>
      <cdr:spPr>
        <a:xfrm xmlns:a="http://schemas.openxmlformats.org/drawingml/2006/main">
          <a:off x="1503920" y="1625166"/>
          <a:ext cx="2032762" cy="4586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0432FF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s-MX" sz="1100" kern="1200">
              <a:latin typeface="Arial" panose="020B0604020202020204" pitchFamily="34" charset="0"/>
              <a:cs typeface="Arial" panose="020B0604020202020204" pitchFamily="34" charset="0"/>
            </a:rPr>
            <a:t>Periodo </a:t>
          </a:r>
          <a:r>
            <a:rPr lang="es-MX" sz="1100" kern="1200" baseline="0">
              <a:latin typeface="Arial" panose="020B0604020202020204" pitchFamily="34" charset="0"/>
              <a:cs typeface="Arial" panose="020B0604020202020204" pitchFamily="34" charset="0"/>
            </a:rPr>
            <a:t>de recuperación</a:t>
          </a:r>
        </a:p>
        <a:p xmlns:a="http://schemas.openxmlformats.org/drawingml/2006/main">
          <a:pPr algn="ctr"/>
          <a:r>
            <a:rPr lang="es-MX" sz="1100" kern="1200" baseline="0">
              <a:latin typeface="Arial" panose="020B0604020202020204" pitchFamily="34" charset="0"/>
              <a:cs typeface="Arial" panose="020B0604020202020204" pitchFamily="34" charset="0"/>
            </a:rPr>
            <a:t>1,7 años aprox.</a:t>
          </a:r>
          <a:endParaRPr lang="es-MX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5</xdr:row>
      <xdr:rowOff>165100</xdr:rowOff>
    </xdr:from>
    <xdr:to>
      <xdr:col>2</xdr:col>
      <xdr:colOff>863600</xdr:colOff>
      <xdr:row>7</xdr:row>
      <xdr:rowOff>136236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965E5B-F51B-544E-4F75-600274E4E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1295400"/>
          <a:ext cx="3619500" cy="5045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1950356</xdr:colOff>
      <xdr:row>35</xdr:row>
      <xdr:rowOff>177800</xdr:rowOff>
    </xdr:from>
    <xdr:to>
      <xdr:col>6</xdr:col>
      <xdr:colOff>1104899</xdr:colOff>
      <xdr:row>58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57B96B-C2BB-1C4D-B44B-8761925AF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228600</xdr:colOff>
      <xdr:row>60</xdr:row>
      <xdr:rowOff>165100</xdr:rowOff>
    </xdr:from>
    <xdr:to>
      <xdr:col>2</xdr:col>
      <xdr:colOff>685800</xdr:colOff>
      <xdr:row>62</xdr:row>
      <xdr:rowOff>148936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0487C1-3AEA-E248-AA94-44488B59D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500" y="1295400"/>
          <a:ext cx="3619500" cy="504536"/>
        </a:xfrm>
        <a:prstGeom prst="rect">
          <a:avLst/>
        </a:prstGeom>
      </xdr:spPr>
    </xdr:pic>
    <xdr:clientData/>
  </xdr:twoCellAnchor>
  <xdr:twoCellAnchor>
    <xdr:from>
      <xdr:col>9</xdr:col>
      <xdr:colOff>1950356</xdr:colOff>
      <xdr:row>35</xdr:row>
      <xdr:rowOff>177800</xdr:rowOff>
    </xdr:from>
    <xdr:to>
      <xdr:col>14</xdr:col>
      <xdr:colOff>1104899</xdr:colOff>
      <xdr:row>58</xdr:row>
      <xdr:rowOff>50800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4A5964-6853-284C-918E-5D0795FBC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9</xdr:col>
      <xdr:colOff>228600</xdr:colOff>
      <xdr:row>60</xdr:row>
      <xdr:rowOff>165100</xdr:rowOff>
    </xdr:from>
    <xdr:ext cx="3619500" cy="504536"/>
    <xdr:pic>
      <xdr:nvPicPr>
        <xdr:cNvPr id="6" name="Imagen 5">
          <a:extLst>
            <a:ext uri="{FF2B5EF4-FFF2-40B4-BE49-F238E27FC236}">
              <a16:creationId xmlns:a16="http://schemas.microsoft.com/office/drawing/2014/main" id="{58245720-1816-EA4F-8FD9-D3DAE7BB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500" y="15189200"/>
          <a:ext cx="3619500" cy="504536"/>
        </a:xfrm>
        <a:prstGeom prst="rect">
          <a:avLst/>
        </a:prstGeom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0.41123</cdr:x>
      <cdr:y>0.38943</cdr:y>
    </cdr:from>
    <cdr:to>
      <cdr:x>0.4378</cdr:x>
      <cdr:y>0.63401</cdr:y>
    </cdr:to>
    <cdr:cxnSp macro="">
      <cdr:nvCxnSpPr>
        <cdr:cNvPr id="3" name="Conector angular 2">
          <a:extLst xmlns:a="http://schemas.openxmlformats.org/drawingml/2006/main">
            <a:ext uri="{FF2B5EF4-FFF2-40B4-BE49-F238E27FC236}">
              <a16:creationId xmlns:a16="http://schemas.microsoft.com/office/drawing/2014/main" id="{11F00E1C-6504-3258-38B3-FB1113209332}"/>
            </a:ext>
          </a:extLst>
        </cdr:cNvPr>
        <cdr:cNvCxnSpPr/>
      </cdr:nvCxnSpPr>
      <cdr:spPr>
        <a:xfrm xmlns:a="http://schemas.openxmlformats.org/drawingml/2006/main" rot="16200000" flipV="1">
          <a:off x="2621803" y="2227131"/>
          <a:ext cx="1112003" cy="198937"/>
        </a:xfrm>
        <a:prstGeom xmlns:a="http://schemas.openxmlformats.org/drawingml/2006/main" prst="bentConnector3">
          <a:avLst>
            <a:gd name="adj1" fmla="val 50000"/>
          </a:avLst>
        </a:prstGeom>
        <a:ln xmlns:a="http://schemas.openxmlformats.org/drawingml/2006/main" w="12700">
          <a:solidFill>
            <a:srgbClr val="0432FF"/>
          </a:solidFill>
          <a:prstDash val="dash"/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0.30258</cdr:x>
      <cdr:y>0.29562</cdr:y>
    </cdr:from>
    <cdr:to>
      <cdr:x>0.52327</cdr:x>
      <cdr:y>0.38943</cdr:y>
    </cdr:to>
    <cdr:sp macro="" textlink="">
      <cdr:nvSpPr>
        <cdr:cNvPr id="9" name="CuadroTexto 8">
          <a:extLst xmlns:a="http://schemas.openxmlformats.org/drawingml/2006/main">
            <a:ext uri="{FF2B5EF4-FFF2-40B4-BE49-F238E27FC236}">
              <a16:creationId xmlns:a16="http://schemas.microsoft.com/office/drawing/2014/main" id="{947A19B4-0CA4-D085-A50A-F225DFF2F68D}"/>
            </a:ext>
          </a:extLst>
        </cdr:cNvPr>
        <cdr:cNvSpPr txBox="1"/>
      </cdr:nvSpPr>
      <cdr:spPr>
        <a:xfrm xmlns:a="http://schemas.openxmlformats.org/drawingml/2006/main">
          <a:off x="2265025" y="1344081"/>
          <a:ext cx="1652019" cy="4265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0432FF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s-MX" sz="1100" kern="1200">
              <a:latin typeface="Arial" panose="020B0604020202020204" pitchFamily="34" charset="0"/>
              <a:cs typeface="Arial" panose="020B0604020202020204" pitchFamily="34" charset="0"/>
            </a:rPr>
            <a:t>Periodo </a:t>
          </a:r>
          <a:r>
            <a:rPr lang="es-MX" sz="1100" kern="1200" baseline="0">
              <a:latin typeface="Arial" panose="020B0604020202020204" pitchFamily="34" charset="0"/>
              <a:cs typeface="Arial" panose="020B0604020202020204" pitchFamily="34" charset="0"/>
            </a:rPr>
            <a:t>de recuperación</a:t>
          </a:r>
        </a:p>
        <a:p xmlns:a="http://schemas.openxmlformats.org/drawingml/2006/main">
          <a:pPr algn="ctr"/>
          <a:r>
            <a:rPr lang="es-MX" sz="1100" kern="1200" baseline="0">
              <a:latin typeface="Arial" panose="020B0604020202020204" pitchFamily="34" charset="0"/>
              <a:cs typeface="Arial" panose="020B0604020202020204" pitchFamily="34" charset="0"/>
            </a:rPr>
            <a:t>1,6 años aprox.</a:t>
          </a:r>
          <a:endParaRPr lang="es-MX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0.38057</cdr:x>
      <cdr:y>0.35591</cdr:y>
    </cdr:from>
    <cdr:to>
      <cdr:x>0.45437</cdr:x>
      <cdr:y>0.63681</cdr:y>
    </cdr:to>
    <cdr:cxnSp macro="">
      <cdr:nvCxnSpPr>
        <cdr:cNvPr id="3" name="Conector angular 2">
          <a:extLst xmlns:a="http://schemas.openxmlformats.org/drawingml/2006/main">
            <a:ext uri="{FF2B5EF4-FFF2-40B4-BE49-F238E27FC236}">
              <a16:creationId xmlns:a16="http://schemas.microsoft.com/office/drawing/2014/main" id="{11F00E1C-6504-3258-38B3-FB1113209332}"/>
            </a:ext>
          </a:extLst>
        </cdr:cNvPr>
        <cdr:cNvCxnSpPr>
          <a:endCxn xmlns:a="http://schemas.openxmlformats.org/drawingml/2006/main" id="9" idx="2"/>
        </cdr:cNvCxnSpPr>
      </cdr:nvCxnSpPr>
      <cdr:spPr>
        <a:xfrm xmlns:a="http://schemas.openxmlformats.org/drawingml/2006/main" rot="16200000" flipV="1">
          <a:off x="2428205" y="1985708"/>
          <a:ext cx="1277104" cy="542084"/>
        </a:xfrm>
        <a:prstGeom xmlns:a="http://schemas.openxmlformats.org/drawingml/2006/main" prst="bentConnector3">
          <a:avLst>
            <a:gd name="adj1" fmla="val 50000"/>
          </a:avLst>
        </a:prstGeom>
        <a:ln xmlns:a="http://schemas.openxmlformats.org/drawingml/2006/main" w="12700">
          <a:solidFill>
            <a:srgbClr val="0432FF"/>
          </a:solidFill>
          <a:prstDash val="dash"/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0.26424</cdr:x>
      <cdr:y>0.2621</cdr:y>
    </cdr:from>
    <cdr:to>
      <cdr:x>0.49691</cdr:x>
      <cdr:y>0.35591</cdr:y>
    </cdr:to>
    <cdr:sp macro="" textlink="">
      <cdr:nvSpPr>
        <cdr:cNvPr id="9" name="CuadroTexto 8">
          <a:extLst xmlns:a="http://schemas.openxmlformats.org/drawingml/2006/main">
            <a:ext uri="{FF2B5EF4-FFF2-40B4-BE49-F238E27FC236}">
              <a16:creationId xmlns:a16="http://schemas.microsoft.com/office/drawing/2014/main" id="{947A19B4-0CA4-D085-A50A-F225DFF2F68D}"/>
            </a:ext>
          </a:extLst>
        </cdr:cNvPr>
        <cdr:cNvSpPr txBox="1"/>
      </cdr:nvSpPr>
      <cdr:spPr>
        <a:xfrm xmlns:a="http://schemas.openxmlformats.org/drawingml/2006/main">
          <a:off x="1941085" y="1191681"/>
          <a:ext cx="1709260" cy="4265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0432FF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s-MX" sz="1100" kern="1200">
              <a:latin typeface="Arial" panose="020B0604020202020204" pitchFamily="34" charset="0"/>
              <a:cs typeface="Arial" panose="020B0604020202020204" pitchFamily="34" charset="0"/>
            </a:rPr>
            <a:t>Periodo </a:t>
          </a:r>
          <a:r>
            <a:rPr lang="es-MX" sz="1100" kern="1200" baseline="0">
              <a:latin typeface="Arial" panose="020B0604020202020204" pitchFamily="34" charset="0"/>
              <a:cs typeface="Arial" panose="020B0604020202020204" pitchFamily="34" charset="0"/>
            </a:rPr>
            <a:t>de recuperación</a:t>
          </a:r>
        </a:p>
        <a:p xmlns:a="http://schemas.openxmlformats.org/drawingml/2006/main">
          <a:pPr algn="ctr"/>
          <a:r>
            <a:rPr lang="es-MX" sz="1100" kern="1200" baseline="0">
              <a:latin typeface="Arial" panose="020B0604020202020204" pitchFamily="34" charset="0"/>
              <a:cs typeface="Arial" panose="020B0604020202020204" pitchFamily="34" charset="0"/>
            </a:rPr>
            <a:t>1,7 años aprox.</a:t>
          </a:r>
          <a:endParaRPr lang="es-MX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AD0B-FF95-5C4E-89C7-A1F93DB906B0}">
  <sheetPr>
    <pageSetUpPr fitToPage="1"/>
  </sheetPr>
  <dimension ref="B2:H22"/>
  <sheetViews>
    <sheetView showGridLines="0" tabSelected="1" topLeftCell="A2" zoomScale="130" zoomScaleNormal="130" workbookViewId="0">
      <selection activeCell="B5" sqref="B5:D5"/>
    </sheetView>
  </sheetViews>
  <sheetFormatPr baseColWidth="10" defaultRowHeight="16" x14ac:dyDescent="0.2"/>
  <cols>
    <col min="1" max="1" width="2.83203125" customWidth="1"/>
    <col min="2" max="2" width="43" customWidth="1"/>
    <col min="3" max="3" width="54.6640625" customWidth="1"/>
    <col min="4" max="4" width="22.5" customWidth="1"/>
    <col min="5" max="5" width="2.83203125" customWidth="1"/>
    <col min="8" max="8" width="11.5" bestFit="1" customWidth="1"/>
  </cols>
  <sheetData>
    <row r="2" spans="2:8" s="126" customFormat="1" ht="29" customHeight="1" x14ac:dyDescent="0.2">
      <c r="B2" s="127" t="s">
        <v>96</v>
      </c>
      <c r="C2" s="127"/>
      <c r="D2" s="127"/>
    </row>
    <row r="3" spans="2:8" s="126" customFormat="1" ht="29" customHeight="1" x14ac:dyDescent="0.2">
      <c r="B3" s="127"/>
      <c r="C3" s="127"/>
      <c r="D3" s="127"/>
    </row>
    <row r="5" spans="2:8" ht="25" customHeight="1" x14ac:dyDescent="0.2">
      <c r="B5" s="100" t="s">
        <v>39</v>
      </c>
      <c r="C5" s="100"/>
      <c r="D5" s="100"/>
    </row>
    <row r="6" spans="2:8" ht="20" x14ac:dyDescent="0.2">
      <c r="B6" s="26"/>
      <c r="C6" s="26"/>
      <c r="D6" s="26"/>
    </row>
    <row r="7" spans="2:8" s="27" customFormat="1" ht="25" customHeight="1" x14ac:dyDescent="0.2">
      <c r="B7" s="86" t="s">
        <v>0</v>
      </c>
      <c r="C7" s="86" t="s">
        <v>1</v>
      </c>
      <c r="D7" s="86" t="s">
        <v>2</v>
      </c>
    </row>
    <row r="8" spans="2:8" s="27" customFormat="1" ht="30" customHeight="1" x14ac:dyDescent="0.2">
      <c r="B8" s="87" t="s">
        <v>80</v>
      </c>
      <c r="C8" s="84" t="s">
        <v>84</v>
      </c>
      <c r="D8" s="88">
        <f>5000000*2</f>
        <v>10000000</v>
      </c>
      <c r="H8" s="59"/>
    </row>
    <row r="9" spans="2:8" s="27" customFormat="1" ht="30" customHeight="1" x14ac:dyDescent="0.2">
      <c r="B9" s="87" t="s">
        <v>81</v>
      </c>
      <c r="C9" s="89" t="s">
        <v>86</v>
      </c>
      <c r="D9" s="88">
        <f>10000000*2</f>
        <v>20000000</v>
      </c>
      <c r="H9" s="59"/>
    </row>
    <row r="10" spans="2:8" s="27" customFormat="1" ht="30" customHeight="1" x14ac:dyDescent="0.2">
      <c r="B10" s="87" t="s">
        <v>82</v>
      </c>
      <c r="C10" s="84" t="s">
        <v>85</v>
      </c>
      <c r="D10" s="88">
        <f>9000000*2</f>
        <v>18000000</v>
      </c>
      <c r="H10" s="59"/>
    </row>
    <row r="11" spans="2:8" s="27" customFormat="1" ht="30" customHeight="1" x14ac:dyDescent="0.2">
      <c r="B11" s="87" t="s">
        <v>83</v>
      </c>
      <c r="C11" s="84" t="s">
        <v>83</v>
      </c>
      <c r="D11" s="88">
        <f>2000000*2</f>
        <v>4000000</v>
      </c>
      <c r="H11" s="59"/>
    </row>
    <row r="12" spans="2:8" s="27" customFormat="1" ht="30" customHeight="1" x14ac:dyDescent="0.2">
      <c r="B12" s="84" t="s">
        <v>3</v>
      </c>
      <c r="C12" s="84" t="s">
        <v>4</v>
      </c>
      <c r="D12" s="85">
        <v>18000000</v>
      </c>
    </row>
    <row r="13" spans="2:8" ht="30" customHeight="1" x14ac:dyDescent="0.2">
      <c r="B13" s="28" t="s">
        <v>5</v>
      </c>
      <c r="C13" s="28" t="s">
        <v>6</v>
      </c>
      <c r="D13" s="29">
        <v>8000000</v>
      </c>
    </row>
    <row r="14" spans="2:8" ht="30" customHeight="1" x14ac:dyDescent="0.2">
      <c r="B14" s="28" t="s">
        <v>7</v>
      </c>
      <c r="C14" s="28" t="s">
        <v>8</v>
      </c>
      <c r="D14" s="29">
        <v>12000000</v>
      </c>
    </row>
    <row r="15" spans="2:8" ht="30" customHeight="1" x14ac:dyDescent="0.2">
      <c r="B15" s="28" t="s">
        <v>9</v>
      </c>
      <c r="C15" s="28" t="s">
        <v>10</v>
      </c>
      <c r="D15" s="29">
        <v>6000000</v>
      </c>
    </row>
    <row r="16" spans="2:8" ht="30" customHeight="1" x14ac:dyDescent="0.2">
      <c r="B16" s="30"/>
      <c r="C16" s="31" t="s">
        <v>40</v>
      </c>
      <c r="D16" s="32">
        <f>SUM(D8:D15)</f>
        <v>96000000</v>
      </c>
    </row>
    <row r="17" spans="2:4" x14ac:dyDescent="0.2">
      <c r="B17" s="11"/>
      <c r="C17" s="11"/>
      <c r="D17" s="11"/>
    </row>
    <row r="18" spans="2:4" x14ac:dyDescent="0.2">
      <c r="B18" s="11"/>
      <c r="C18" s="11"/>
      <c r="D18" s="11"/>
    </row>
    <row r="19" spans="2:4" x14ac:dyDescent="0.2">
      <c r="B19" s="11"/>
      <c r="C19" s="11"/>
      <c r="D19" s="11"/>
    </row>
    <row r="20" spans="2:4" x14ac:dyDescent="0.2">
      <c r="B20" s="11"/>
      <c r="C20" s="11"/>
      <c r="D20" s="11"/>
    </row>
    <row r="21" spans="2:4" x14ac:dyDescent="0.2">
      <c r="B21" s="11"/>
      <c r="C21" s="11"/>
      <c r="D21" s="11"/>
    </row>
    <row r="22" spans="2:4" x14ac:dyDescent="0.2">
      <c r="B22" s="11"/>
      <c r="C22" s="11"/>
      <c r="D22" s="11"/>
    </row>
  </sheetData>
  <mergeCells count="2">
    <mergeCell ref="B5:D5"/>
    <mergeCell ref="B2:D3"/>
  </mergeCells>
  <pageMargins left="0.4" right="0.4" top="0.4" bottom="0.4" header="0.3" footer="0.3"/>
  <pageSetup scale="54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E0A5-3F81-884D-9099-39440887DEFF}">
  <dimension ref="A2:K68"/>
  <sheetViews>
    <sheetView showGridLines="0" zoomScaleNormal="100" workbookViewId="0">
      <selection activeCell="B2" sqref="B2:I3"/>
    </sheetView>
  </sheetViews>
  <sheetFormatPr baseColWidth="10" defaultRowHeight="16" x14ac:dyDescent="0.2"/>
  <cols>
    <col min="1" max="1" width="2.83203125" customWidth="1"/>
    <col min="2" max="2" width="35.6640625" bestFit="1" customWidth="1"/>
    <col min="3" max="4" width="18.6640625" bestFit="1" customWidth="1"/>
    <col min="5" max="5" width="17.83203125" bestFit="1" customWidth="1"/>
    <col min="6" max="6" width="18.5" bestFit="1" customWidth="1"/>
    <col min="7" max="7" width="17.5" bestFit="1" customWidth="1"/>
    <col min="8" max="9" width="18" customWidth="1"/>
  </cols>
  <sheetData>
    <row r="2" spans="1:9" ht="16" customHeight="1" x14ac:dyDescent="0.2">
      <c r="B2" s="128" t="s">
        <v>96</v>
      </c>
      <c r="C2" s="129"/>
      <c r="D2" s="129"/>
      <c r="E2" s="129"/>
      <c r="F2" s="129"/>
      <c r="G2" s="129"/>
      <c r="H2" s="129"/>
      <c r="I2" s="129"/>
    </row>
    <row r="3" spans="1:9" ht="31" customHeight="1" x14ac:dyDescent="0.2">
      <c r="B3" s="128"/>
      <c r="C3" s="129"/>
      <c r="D3" s="129"/>
      <c r="E3" s="129"/>
      <c r="F3" s="129"/>
      <c r="G3" s="129"/>
      <c r="H3" s="129"/>
      <c r="I3" s="129"/>
    </row>
    <row r="5" spans="1:9" ht="25" customHeight="1" x14ac:dyDescent="0.2">
      <c r="B5" s="109" t="s">
        <v>62</v>
      </c>
      <c r="C5" s="109"/>
      <c r="D5" s="109"/>
      <c r="E5" s="109"/>
      <c r="F5" s="109"/>
      <c r="G5" s="109"/>
      <c r="H5" s="109"/>
      <c r="I5" s="109"/>
    </row>
    <row r="6" spans="1:9" ht="25" customHeight="1" x14ac:dyDescent="0.2">
      <c r="B6" s="64"/>
      <c r="C6" s="64"/>
      <c r="D6" s="64"/>
      <c r="E6" s="64"/>
      <c r="F6" s="64"/>
      <c r="G6" s="64"/>
      <c r="H6" s="64"/>
    </row>
    <row r="7" spans="1:9" ht="25" customHeight="1" x14ac:dyDescent="0.2">
      <c r="C7" s="38">
        <v>2024</v>
      </c>
      <c r="D7" s="38">
        <v>2025</v>
      </c>
      <c r="E7" s="38">
        <v>2026</v>
      </c>
      <c r="F7" s="38">
        <v>2027</v>
      </c>
      <c r="G7" s="38">
        <v>2028</v>
      </c>
      <c r="H7" s="38">
        <v>2029</v>
      </c>
      <c r="I7" s="38">
        <v>2030</v>
      </c>
    </row>
    <row r="8" spans="1:9" ht="25" customHeight="1" x14ac:dyDescent="0.2">
      <c r="B8" s="65" t="s">
        <v>24</v>
      </c>
      <c r="C8" s="40">
        <v>3110731236</v>
      </c>
      <c r="D8" s="40">
        <v>4228224155</v>
      </c>
      <c r="E8" s="40">
        <f>D8*1.1</f>
        <v>4651046570.5</v>
      </c>
      <c r="F8" s="40">
        <f t="shared" ref="F8:G8" si="0">E8*1.1</f>
        <v>5116151227.5500002</v>
      </c>
      <c r="G8" s="40">
        <f t="shared" si="0"/>
        <v>5627766350.3050003</v>
      </c>
      <c r="H8" s="40">
        <f>G8*1.1</f>
        <v>6190542985.3355007</v>
      </c>
      <c r="I8" s="40">
        <f>H8*1.1</f>
        <v>6809597283.869051</v>
      </c>
    </row>
    <row r="9" spans="1:9" ht="25" customHeight="1" x14ac:dyDescent="0.2">
      <c r="B9" s="65" t="s">
        <v>59</v>
      </c>
      <c r="C9" s="40">
        <v>2061971051</v>
      </c>
      <c r="D9" s="40">
        <v>2746892564</v>
      </c>
      <c r="E9" s="40">
        <f>E8*$C$11</f>
        <v>3052281102.9618397</v>
      </c>
      <c r="F9" s="40">
        <f t="shared" ref="F9:H9" si="1">F8*$C$11</f>
        <v>3357509213.2580237</v>
      </c>
      <c r="G9" s="40">
        <f t="shared" si="1"/>
        <v>3693260134.5838261</v>
      </c>
      <c r="H9" s="40">
        <f t="shared" si="1"/>
        <v>4062586148.0422091</v>
      </c>
      <c r="I9" s="40">
        <f>I8*$C$11</f>
        <v>4468844762.8464298</v>
      </c>
    </row>
    <row r="10" spans="1:9" ht="25" customHeight="1" x14ac:dyDescent="0.2">
      <c r="B10" s="65" t="s">
        <v>61</v>
      </c>
      <c r="C10" s="66">
        <f>1-(C8-C9)/C8</f>
        <v>0.66285734593112244</v>
      </c>
      <c r="D10" s="66">
        <f>1-(D8-D9)/D8</f>
        <v>0.64965632457108935</v>
      </c>
      <c r="E10" s="66">
        <f>1-(E8-E9)/E8</f>
        <v>0.6562568352511059</v>
      </c>
      <c r="F10" s="66">
        <f>1-(F8-F9)/F8</f>
        <v>0.6562568352511059</v>
      </c>
      <c r="G10" s="66">
        <f t="shared" ref="G10:H10" si="2">1-(G8-G9)/G8</f>
        <v>0.6562568352511059</v>
      </c>
      <c r="H10" s="66">
        <f t="shared" si="2"/>
        <v>0.65625683525110601</v>
      </c>
      <c r="I10" s="66">
        <f>1-(I8-I9)/I8</f>
        <v>0.6562568352511059</v>
      </c>
    </row>
    <row r="11" spans="1:9" ht="25" customHeight="1" x14ac:dyDescent="0.2">
      <c r="B11" s="65" t="s">
        <v>60</v>
      </c>
      <c r="C11" s="102">
        <f>AVERAGE(C10:D10)</f>
        <v>0.6562568352511059</v>
      </c>
      <c r="D11" s="102"/>
      <c r="E11" s="90"/>
      <c r="F11" s="64"/>
      <c r="G11" s="64"/>
      <c r="H11" s="64"/>
    </row>
    <row r="12" spans="1:9" ht="20" x14ac:dyDescent="0.2">
      <c r="B12" s="64"/>
      <c r="C12" s="64"/>
      <c r="D12" s="64"/>
      <c r="E12" s="64"/>
      <c r="F12" s="64"/>
      <c r="G12" s="64"/>
      <c r="H12" s="64"/>
    </row>
    <row r="13" spans="1:9" ht="20" x14ac:dyDescent="0.2">
      <c r="B13" s="64"/>
      <c r="C13" s="64"/>
      <c r="D13" s="64"/>
      <c r="E13" s="64"/>
      <c r="F13" s="64"/>
      <c r="G13" s="64"/>
      <c r="H13" s="64"/>
    </row>
    <row r="14" spans="1:9" ht="25" customHeight="1" x14ac:dyDescent="0.2">
      <c r="B14" s="106" t="s">
        <v>41</v>
      </c>
      <c r="C14" s="107"/>
      <c r="D14" s="107"/>
      <c r="E14" s="107"/>
      <c r="F14" s="107"/>
      <c r="G14" s="108"/>
      <c r="H14" s="64"/>
    </row>
    <row r="15" spans="1:9" x14ac:dyDescent="0.2">
      <c r="A15" s="11"/>
      <c r="B15" s="10"/>
      <c r="C15" s="11"/>
      <c r="D15" s="11"/>
      <c r="E15" s="67"/>
      <c r="F15" s="11"/>
      <c r="G15" s="11"/>
      <c r="H15" s="11"/>
    </row>
    <row r="16" spans="1:9" s="27" customFormat="1" ht="25" customHeight="1" x14ac:dyDescent="0.2">
      <c r="A16" s="36"/>
      <c r="B16" s="37"/>
      <c r="C16" s="38" t="s">
        <v>12</v>
      </c>
      <c r="D16" s="38" t="s">
        <v>13</v>
      </c>
      <c r="E16" s="38" t="s">
        <v>14</v>
      </c>
      <c r="F16" s="38" t="s">
        <v>15</v>
      </c>
      <c r="G16" s="38" t="s">
        <v>16</v>
      </c>
      <c r="H16" s="63"/>
    </row>
    <row r="17" spans="1:8" s="27" customFormat="1" ht="25" customHeight="1" x14ac:dyDescent="0.2">
      <c r="A17" s="36"/>
      <c r="B17" s="39" t="s">
        <v>18</v>
      </c>
      <c r="C17" s="40">
        <f>E9*3%</f>
        <v>91568433.088855192</v>
      </c>
      <c r="D17" s="40">
        <f>F9*3%</f>
        <v>100725276.39774071</v>
      </c>
      <c r="E17" s="40">
        <f>G9*3%</f>
        <v>110797804.03751478</v>
      </c>
      <c r="F17" s="40">
        <f>H9*3%</f>
        <v>121877584.44126627</v>
      </c>
      <c r="G17" s="40">
        <f>I9*3%</f>
        <v>134065342.88539289</v>
      </c>
      <c r="H17" s="30"/>
    </row>
    <row r="19" spans="1:8" x14ac:dyDescent="0.2">
      <c r="A19" s="11"/>
      <c r="B19" s="5"/>
      <c r="C19" s="61"/>
      <c r="D19" s="62"/>
      <c r="E19" s="33"/>
      <c r="F19" s="33"/>
      <c r="G19" s="33"/>
      <c r="H19" s="5"/>
    </row>
    <row r="20" spans="1:8" ht="25" customHeight="1" x14ac:dyDescent="0.2">
      <c r="A20" s="11"/>
      <c r="B20" s="103" t="s">
        <v>42</v>
      </c>
      <c r="C20" s="104"/>
      <c r="D20" s="104"/>
      <c r="E20" s="104"/>
      <c r="F20" s="104"/>
      <c r="G20" s="105"/>
      <c r="H20" s="93"/>
    </row>
    <row r="21" spans="1:8" x14ac:dyDescent="0.2">
      <c r="A21" s="11"/>
      <c r="B21" s="4"/>
      <c r="C21" s="7"/>
      <c r="D21" s="34"/>
      <c r="E21" s="5"/>
      <c r="F21" s="5"/>
      <c r="G21" s="5"/>
      <c r="H21" s="93"/>
    </row>
    <row r="22" spans="1:8" s="27" customFormat="1" ht="25" customHeight="1" x14ac:dyDescent="0.2">
      <c r="A22" s="36"/>
      <c r="B22" s="42"/>
      <c r="C22" s="43" t="s">
        <v>12</v>
      </c>
      <c r="D22" s="43" t="s">
        <v>13</v>
      </c>
      <c r="E22" s="43" t="s">
        <v>14</v>
      </c>
      <c r="F22" s="43" t="s">
        <v>15</v>
      </c>
      <c r="G22" s="43" t="s">
        <v>16</v>
      </c>
      <c r="H22" s="93"/>
    </row>
    <row r="23" spans="1:8" s="27" customFormat="1" ht="25" customHeight="1" x14ac:dyDescent="0.2">
      <c r="A23" s="36"/>
      <c r="B23" s="44" t="s">
        <v>71</v>
      </c>
      <c r="C23" s="40">
        <v>12000000</v>
      </c>
      <c r="D23" s="40">
        <v>13200000</v>
      </c>
      <c r="E23" s="40">
        <v>14400000</v>
      </c>
      <c r="F23" s="40">
        <v>15600000</v>
      </c>
      <c r="G23" s="40">
        <v>16800000</v>
      </c>
      <c r="H23" s="93"/>
    </row>
    <row r="24" spans="1:8" s="27" customFormat="1" ht="25" customHeight="1" x14ac:dyDescent="0.2">
      <c r="A24" s="36"/>
      <c r="B24" s="44" t="s">
        <v>72</v>
      </c>
      <c r="C24" s="40">
        <v>18000000</v>
      </c>
      <c r="D24" s="40">
        <v>19800000</v>
      </c>
      <c r="E24" s="40">
        <v>21600000</v>
      </c>
      <c r="F24" s="40">
        <v>23400000</v>
      </c>
      <c r="G24" s="40">
        <v>25200000</v>
      </c>
      <c r="H24" s="91"/>
    </row>
    <row r="25" spans="1:8" s="27" customFormat="1" ht="25" customHeight="1" x14ac:dyDescent="0.2">
      <c r="A25" s="36"/>
      <c r="B25" s="44" t="s">
        <v>70</v>
      </c>
      <c r="C25" s="40">
        <v>8000000</v>
      </c>
      <c r="D25" s="40">
        <v>8800000</v>
      </c>
      <c r="E25" s="40">
        <v>9600000</v>
      </c>
      <c r="F25" s="40">
        <v>10400000</v>
      </c>
      <c r="G25" s="40">
        <v>11200000</v>
      </c>
      <c r="H25" s="37"/>
    </row>
    <row r="26" spans="1:8" s="27" customFormat="1" ht="25" customHeight="1" x14ac:dyDescent="0.2">
      <c r="A26" s="36"/>
      <c r="B26" s="45" t="s">
        <v>17</v>
      </c>
      <c r="C26" s="46">
        <f>SUM(C23:C25)</f>
        <v>38000000</v>
      </c>
      <c r="D26" s="46">
        <f t="shared" ref="D26:G26" si="3">SUM(D23:D25)</f>
        <v>41800000</v>
      </c>
      <c r="E26" s="46">
        <f t="shared" si="3"/>
        <v>45600000</v>
      </c>
      <c r="F26" s="46">
        <f t="shared" si="3"/>
        <v>49400000</v>
      </c>
      <c r="G26" s="46">
        <f t="shared" si="3"/>
        <v>53200000</v>
      </c>
      <c r="H26" s="37"/>
    </row>
    <row r="27" spans="1:8" x14ac:dyDescent="0.2">
      <c r="A27" s="11"/>
      <c r="B27" s="3"/>
      <c r="C27" s="3"/>
      <c r="D27" s="3"/>
      <c r="E27" s="3"/>
      <c r="F27" s="3"/>
      <c r="G27" s="3"/>
      <c r="H27" s="3"/>
    </row>
    <row r="28" spans="1:8" x14ac:dyDescent="0.2">
      <c r="A28" s="11"/>
      <c r="B28" s="3"/>
      <c r="C28" s="3"/>
      <c r="D28" s="3"/>
      <c r="E28" s="3"/>
      <c r="F28" s="3"/>
      <c r="G28" s="3"/>
      <c r="H28" s="3"/>
    </row>
    <row r="29" spans="1:8" ht="25" customHeight="1" x14ac:dyDescent="0.2">
      <c r="A29" s="11"/>
      <c r="B29" s="101" t="s">
        <v>43</v>
      </c>
      <c r="C29" s="101"/>
      <c r="D29" s="101"/>
      <c r="E29" s="101"/>
      <c r="F29" s="101"/>
      <c r="G29" s="101"/>
      <c r="H29" s="101"/>
    </row>
    <row r="30" spans="1:8" x14ac:dyDescent="0.2">
      <c r="A30" s="11"/>
      <c r="B30" s="2"/>
      <c r="C30" s="35">
        <v>0</v>
      </c>
      <c r="D30" s="35">
        <v>1</v>
      </c>
      <c r="E30" s="35">
        <v>2</v>
      </c>
      <c r="F30" s="35">
        <v>3</v>
      </c>
      <c r="G30" s="35">
        <v>4</v>
      </c>
      <c r="H30" s="35">
        <v>5</v>
      </c>
    </row>
    <row r="31" spans="1:8" s="27" customFormat="1" ht="25" customHeight="1" x14ac:dyDescent="0.2">
      <c r="A31" s="36"/>
      <c r="B31" s="37"/>
      <c r="C31" s="47" t="s">
        <v>23</v>
      </c>
      <c r="D31" s="47" t="s">
        <v>12</v>
      </c>
      <c r="E31" s="47" t="s">
        <v>13</v>
      </c>
      <c r="F31" s="47" t="s">
        <v>14</v>
      </c>
      <c r="G31" s="47" t="s">
        <v>15</v>
      </c>
      <c r="H31" s="47" t="s">
        <v>16</v>
      </c>
    </row>
    <row r="32" spans="1:8" s="27" customFormat="1" ht="25" customHeight="1" x14ac:dyDescent="0.2">
      <c r="A32" s="36"/>
      <c r="B32" s="48" t="s">
        <v>19</v>
      </c>
      <c r="C32" s="40">
        <v>0</v>
      </c>
      <c r="D32" s="40">
        <f>C17</f>
        <v>91568433.088855192</v>
      </c>
      <c r="E32" s="40">
        <f>D17</f>
        <v>100725276.39774071</v>
      </c>
      <c r="F32" s="40">
        <f>E17</f>
        <v>110797804.03751478</v>
      </c>
      <c r="G32" s="40">
        <f>F17</f>
        <v>121877584.44126627</v>
      </c>
      <c r="H32" s="40">
        <f>G17</f>
        <v>134065342.88539289</v>
      </c>
    </row>
    <row r="33" spans="1:11" s="27" customFormat="1" ht="25" customHeight="1" x14ac:dyDescent="0.2">
      <c r="A33" s="36"/>
      <c r="B33" s="48" t="s">
        <v>20</v>
      </c>
      <c r="C33" s="49">
        <f>'Inversión inicial'!D16</f>
        <v>96000000</v>
      </c>
      <c r="D33" s="40">
        <f>C26</f>
        <v>38000000</v>
      </c>
      <c r="E33" s="40">
        <f>D26</f>
        <v>41800000</v>
      </c>
      <c r="F33" s="40">
        <f t="shared" ref="F33:H33" si="4">E26</f>
        <v>45600000</v>
      </c>
      <c r="G33" s="40">
        <f t="shared" si="4"/>
        <v>49400000</v>
      </c>
      <c r="H33" s="40">
        <f t="shared" si="4"/>
        <v>53200000</v>
      </c>
    </row>
    <row r="34" spans="1:11" s="27" customFormat="1" ht="25" customHeight="1" x14ac:dyDescent="0.2">
      <c r="A34" s="36"/>
      <c r="B34" s="48" t="s">
        <v>21</v>
      </c>
      <c r="C34" s="49">
        <f t="shared" ref="C34:G34" si="5">C32-C33</f>
        <v>-96000000</v>
      </c>
      <c r="D34" s="49">
        <f t="shared" si="5"/>
        <v>53568433.088855192</v>
      </c>
      <c r="E34" s="49">
        <f>E32-E33</f>
        <v>58925276.397740707</v>
      </c>
      <c r="F34" s="49">
        <f t="shared" si="5"/>
        <v>65197804.037514776</v>
      </c>
      <c r="G34" s="49">
        <f t="shared" si="5"/>
        <v>72477584.441266268</v>
      </c>
      <c r="H34" s="49">
        <f>H32-H33</f>
        <v>80865342.885392889</v>
      </c>
    </row>
    <row r="35" spans="1:11" s="27" customFormat="1" ht="25" customHeight="1" x14ac:dyDescent="0.2">
      <c r="A35" s="36"/>
      <c r="B35" s="50" t="s">
        <v>22</v>
      </c>
      <c r="C35" s="51">
        <f>C34</f>
        <v>-96000000</v>
      </c>
      <c r="D35" s="51">
        <f>C35+D34</f>
        <v>-42431566.911144808</v>
      </c>
      <c r="E35" s="52">
        <f>D35+E34</f>
        <v>16493709.486595899</v>
      </c>
      <c r="F35" s="51">
        <f>E35+F34</f>
        <v>81691513.524110675</v>
      </c>
      <c r="G35" s="51">
        <f>F35+G34</f>
        <v>154169097.96537694</v>
      </c>
      <c r="H35" s="51">
        <f>G35+H34</f>
        <v>235034440.85076982</v>
      </c>
    </row>
    <row r="37" spans="1:11" x14ac:dyDescent="0.2">
      <c r="B37" s="8"/>
      <c r="C37" s="23"/>
      <c r="D37" s="22"/>
      <c r="E37" s="22"/>
      <c r="F37" s="22"/>
      <c r="G37" s="22"/>
    </row>
    <row r="38" spans="1:11" x14ac:dyDescent="0.2">
      <c r="B38" s="8"/>
      <c r="C38" s="23"/>
    </row>
    <row r="40" spans="1:11" x14ac:dyDescent="0.2">
      <c r="B40" s="8"/>
      <c r="J40" s="92"/>
      <c r="K40" s="92"/>
    </row>
    <row r="41" spans="1:11" x14ac:dyDescent="0.2">
      <c r="B41" s="8"/>
    </row>
    <row r="42" spans="1:11" x14ac:dyDescent="0.2">
      <c r="B42" s="6"/>
      <c r="C42" s="33"/>
      <c r="D42" s="33"/>
      <c r="E42" s="33"/>
      <c r="F42" s="33"/>
      <c r="G42" s="33"/>
      <c r="H42" s="33"/>
    </row>
    <row r="43" spans="1:11" x14ac:dyDescent="0.2">
      <c r="B43" s="12"/>
    </row>
    <row r="44" spans="1:11" x14ac:dyDescent="0.2">
      <c r="B44" s="12"/>
    </row>
    <row r="45" spans="1:11" x14ac:dyDescent="0.2">
      <c r="B45" s="12"/>
    </row>
    <row r="46" spans="1:11" x14ac:dyDescent="0.2">
      <c r="B46" s="12"/>
    </row>
    <row r="47" spans="1:11" x14ac:dyDescent="0.2">
      <c r="B47" s="12"/>
    </row>
    <row r="48" spans="1:11" x14ac:dyDescent="0.2">
      <c r="B48" s="12"/>
    </row>
    <row r="49" spans="2:7" x14ac:dyDescent="0.2">
      <c r="B49" s="12"/>
    </row>
    <row r="50" spans="2:7" x14ac:dyDescent="0.2">
      <c r="B50" s="12"/>
    </row>
    <row r="51" spans="2:7" x14ac:dyDescent="0.2">
      <c r="B51" s="12"/>
      <c r="C51" s="25"/>
    </row>
    <row r="52" spans="2:7" x14ac:dyDescent="0.2">
      <c r="C52" s="1"/>
      <c r="D52" s="1"/>
      <c r="E52" s="1"/>
      <c r="F52" s="1"/>
    </row>
    <row r="53" spans="2:7" x14ac:dyDescent="0.2">
      <c r="C53" s="12" t="s">
        <v>12</v>
      </c>
      <c r="D53" s="12" t="s">
        <v>13</v>
      </c>
      <c r="E53" s="12" t="s">
        <v>14</v>
      </c>
      <c r="F53" s="12" t="s">
        <v>15</v>
      </c>
      <c r="G53" s="12" t="s">
        <v>16</v>
      </c>
    </row>
    <row r="54" spans="2:7" x14ac:dyDescent="0.2">
      <c r="B54" s="18" t="s">
        <v>24</v>
      </c>
      <c r="C54" s="15">
        <f>C17</f>
        <v>91568433.088855192</v>
      </c>
      <c r="D54" s="15">
        <f>D17</f>
        <v>100725276.39774071</v>
      </c>
      <c r="E54" s="15">
        <f>E17</f>
        <v>110797804.03751478</v>
      </c>
      <c r="F54" s="15">
        <f>F17</f>
        <v>121877584.44126627</v>
      </c>
      <c r="G54" s="15">
        <f>G17</f>
        <v>134065342.88539289</v>
      </c>
    </row>
    <row r="55" spans="2:7" x14ac:dyDescent="0.2">
      <c r="B55" s="18" t="s">
        <v>25</v>
      </c>
      <c r="C55" s="16">
        <f>C26</f>
        <v>38000000</v>
      </c>
      <c r="D55" s="16">
        <f>D26</f>
        <v>41800000</v>
      </c>
      <c r="E55" s="16">
        <f>E26</f>
        <v>45600000</v>
      </c>
      <c r="F55" s="16">
        <f>F26</f>
        <v>49400000</v>
      </c>
      <c r="G55" s="16">
        <f>G26</f>
        <v>53200000</v>
      </c>
    </row>
    <row r="56" spans="2:7" x14ac:dyDescent="0.2">
      <c r="B56" s="19" t="s">
        <v>26</v>
      </c>
      <c r="C56" s="14">
        <f>C54-C55</f>
        <v>53568433.088855192</v>
      </c>
      <c r="D56" s="14">
        <f t="shared" ref="D56:G56" si="6">D54-D55</f>
        <v>58925276.397740707</v>
      </c>
      <c r="E56" s="14">
        <f t="shared" si="6"/>
        <v>65197804.037514776</v>
      </c>
      <c r="F56" s="14">
        <f t="shared" si="6"/>
        <v>72477584.441266268</v>
      </c>
      <c r="G56" s="14">
        <f t="shared" si="6"/>
        <v>80865342.885392889</v>
      </c>
    </row>
    <row r="57" spans="2:7" x14ac:dyDescent="0.2">
      <c r="B57" s="18" t="s">
        <v>27</v>
      </c>
      <c r="C57" s="15">
        <v>791862504.35000002</v>
      </c>
      <c r="D57" s="15">
        <v>930711256</v>
      </c>
      <c r="E57" s="15">
        <v>1166352666.6199999</v>
      </c>
      <c r="F57" s="15">
        <v>1491354062</v>
      </c>
      <c r="G57" s="15">
        <v>1491354062</v>
      </c>
    </row>
    <row r="58" spans="2:7" x14ac:dyDescent="0.2">
      <c r="B58" s="18" t="s">
        <v>28</v>
      </c>
      <c r="C58" s="15">
        <v>40466675.949999996</v>
      </c>
      <c r="D58" s="15">
        <v>137834334</v>
      </c>
      <c r="E58" s="15">
        <v>30558761</v>
      </c>
      <c r="F58" s="15">
        <v>14123617</v>
      </c>
      <c r="G58" s="15">
        <v>14123617</v>
      </c>
    </row>
    <row r="59" spans="2:7" x14ac:dyDescent="0.2">
      <c r="B59" s="18" t="s">
        <v>29</v>
      </c>
      <c r="C59" s="16">
        <v>11702258.629999999</v>
      </c>
      <c r="D59" s="16">
        <v>9907561</v>
      </c>
      <c r="E59" s="16">
        <v>22805691</v>
      </c>
      <c r="F59" s="16">
        <v>6257415</v>
      </c>
      <c r="G59" s="16">
        <v>6257415</v>
      </c>
    </row>
    <row r="60" spans="2:7" x14ac:dyDescent="0.2">
      <c r="B60" s="19" t="s">
        <v>30</v>
      </c>
      <c r="C60" s="14">
        <f>C56-C57+C58-C59</f>
        <v>-709529653.94114482</v>
      </c>
      <c r="D60" s="14">
        <f t="shared" ref="D60:G60" si="7">D56-D57+D58-D59</f>
        <v>-743859206.60225928</v>
      </c>
      <c r="E60" s="14">
        <f t="shared" si="7"/>
        <v>-1093401792.5824852</v>
      </c>
      <c r="F60" s="14">
        <f t="shared" si="7"/>
        <v>-1411010275.5587337</v>
      </c>
      <c r="G60" s="14">
        <f t="shared" si="7"/>
        <v>-1402622517.1146071</v>
      </c>
    </row>
    <row r="61" spans="2:7" x14ac:dyDescent="0.2">
      <c r="B61" s="18" t="s">
        <v>31</v>
      </c>
      <c r="C61" s="15">
        <v>1498004.03</v>
      </c>
      <c r="D61" s="15">
        <v>181429</v>
      </c>
      <c r="E61" s="15">
        <v>2457911</v>
      </c>
      <c r="F61" s="15">
        <v>3474711</v>
      </c>
    </row>
    <row r="62" spans="2:7" x14ac:dyDescent="0.2">
      <c r="B62" s="18" t="s">
        <v>32</v>
      </c>
      <c r="C62" s="16">
        <v>4902756.55</v>
      </c>
      <c r="D62" s="16">
        <v>3241282</v>
      </c>
      <c r="E62" s="16">
        <v>15836271</v>
      </c>
      <c r="F62" s="16">
        <v>46146772</v>
      </c>
      <c r="G62" s="16"/>
    </row>
    <row r="63" spans="2:7" x14ac:dyDescent="0.2">
      <c r="B63" s="19" t="s">
        <v>33</v>
      </c>
      <c r="C63" s="14">
        <f>C60+C61-C62</f>
        <v>-712934406.4611448</v>
      </c>
      <c r="D63" s="14">
        <f>D60+D61-D62</f>
        <v>-746919059.60225928</v>
      </c>
      <c r="E63" s="14">
        <f>E60+E61-E62</f>
        <v>-1106780152.5824852</v>
      </c>
      <c r="F63" s="14">
        <f>F60+F61-F62</f>
        <v>-1453682336.5587337</v>
      </c>
      <c r="G63" s="14">
        <f>G60+G61-G62</f>
        <v>-1402622517.1146071</v>
      </c>
    </row>
    <row r="64" spans="2:7" x14ac:dyDescent="0.2">
      <c r="B64" s="18" t="s">
        <v>34</v>
      </c>
      <c r="C64" s="16">
        <v>72279032</v>
      </c>
      <c r="D64" s="16">
        <v>230202094</v>
      </c>
      <c r="E64" s="16">
        <v>363954798</v>
      </c>
      <c r="F64" s="16">
        <v>5533519</v>
      </c>
      <c r="G64" s="16"/>
    </row>
    <row r="65" spans="2:7" x14ac:dyDescent="0.2">
      <c r="B65" s="19" t="s">
        <v>35</v>
      </c>
      <c r="C65" s="14">
        <f>C63-C64</f>
        <v>-785213438.4611448</v>
      </c>
      <c r="D65" s="14">
        <f>D63-D64</f>
        <v>-977121153.60225928</v>
      </c>
      <c r="E65" s="14">
        <f>E63-E64</f>
        <v>-1470734950.5824852</v>
      </c>
      <c r="F65" s="14">
        <f>F63-F64</f>
        <v>-1459215855.5587337</v>
      </c>
      <c r="G65" s="14">
        <f>G63-G64</f>
        <v>-1402622517.1146071</v>
      </c>
    </row>
    <row r="66" spans="2:7" x14ac:dyDescent="0.2">
      <c r="B66" s="20"/>
      <c r="C66" s="17"/>
      <c r="D66" s="17"/>
      <c r="E66" s="17"/>
      <c r="F66" s="17"/>
    </row>
    <row r="67" spans="2:7" x14ac:dyDescent="0.2">
      <c r="B67" s="13" t="s">
        <v>36</v>
      </c>
      <c r="C67" s="15">
        <v>28128083</v>
      </c>
      <c r="D67" s="15">
        <v>53103163</v>
      </c>
      <c r="E67" s="15">
        <v>62989670</v>
      </c>
      <c r="F67" s="15">
        <v>60387948</v>
      </c>
    </row>
    <row r="68" spans="2:7" x14ac:dyDescent="0.2">
      <c r="B68" s="21" t="s">
        <v>37</v>
      </c>
      <c r="C68" s="15">
        <v>0</v>
      </c>
      <c r="D68" s="15">
        <v>0</v>
      </c>
      <c r="E68" s="15">
        <v>11812476</v>
      </c>
      <c r="F68" s="15">
        <v>47249904</v>
      </c>
    </row>
  </sheetData>
  <mergeCells count="6">
    <mergeCell ref="B29:H29"/>
    <mergeCell ref="C11:D11"/>
    <mergeCell ref="B20:G20"/>
    <mergeCell ref="B14:G14"/>
    <mergeCell ref="B5:I5"/>
    <mergeCell ref="B2:I3"/>
  </mergeCells>
  <phoneticPr fontId="16" type="noConversion"/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41EA-38B5-1A43-9542-11199A311CCB}">
  <dimension ref="A2:H46"/>
  <sheetViews>
    <sheetView showGridLines="0" zoomScaleNormal="100" workbookViewId="0">
      <selection activeCell="B2" sqref="B2:G3"/>
    </sheetView>
  </sheetViews>
  <sheetFormatPr baseColWidth="10" defaultRowHeight="16" x14ac:dyDescent="0.2"/>
  <cols>
    <col min="1" max="1" width="2.83203125" customWidth="1"/>
    <col min="2" max="2" width="39.1640625" customWidth="1"/>
    <col min="3" max="7" width="17.83203125" customWidth="1"/>
    <col min="8" max="8" width="15.6640625" bestFit="1" customWidth="1"/>
    <col min="9" max="9" width="2.83203125" customWidth="1"/>
  </cols>
  <sheetData>
    <row r="2" spans="1:8" ht="16" customHeight="1" x14ac:dyDescent="0.2">
      <c r="B2" s="130" t="s">
        <v>96</v>
      </c>
      <c r="C2" s="131"/>
      <c r="D2" s="131"/>
      <c r="E2" s="131"/>
      <c r="F2" s="131"/>
      <c r="G2" s="132"/>
    </row>
    <row r="3" spans="1:8" ht="28" customHeight="1" x14ac:dyDescent="0.2">
      <c r="B3" s="133"/>
      <c r="C3" s="134"/>
      <c r="D3" s="134"/>
      <c r="E3" s="134"/>
      <c r="F3" s="134"/>
      <c r="G3" s="135"/>
    </row>
    <row r="5" spans="1:8" ht="25" customHeight="1" x14ac:dyDescent="0.2">
      <c r="B5" s="115" t="s">
        <v>54</v>
      </c>
      <c r="C5" s="115"/>
      <c r="D5" s="27"/>
      <c r="E5" s="106" t="s">
        <v>44</v>
      </c>
      <c r="F5" s="107"/>
      <c r="G5" s="108"/>
    </row>
    <row r="6" spans="1:8" x14ac:dyDescent="0.2">
      <c r="A6" s="11"/>
      <c r="B6" s="10"/>
      <c r="C6" s="11"/>
      <c r="D6" s="11"/>
      <c r="E6" s="11"/>
      <c r="F6" s="11"/>
      <c r="G6" s="11"/>
      <c r="H6" s="11"/>
    </row>
    <row r="7" spans="1:8" s="27" customFormat="1" ht="26" customHeight="1" x14ac:dyDescent="0.2">
      <c r="E7" s="53" t="s">
        <v>47</v>
      </c>
      <c r="F7" s="41" t="s">
        <v>45</v>
      </c>
      <c r="G7" s="94">
        <f>('Flujo de caja proyectado'!F35-'Flujo de caja proyectado'!C33)/'Flujo de caja proyectado'!C33</f>
        <v>-0.14904673412384714</v>
      </c>
    </row>
    <row r="8" spans="1:8" ht="25" customHeight="1" x14ac:dyDescent="0.2">
      <c r="D8" s="22"/>
      <c r="E8" s="53" t="s">
        <v>47</v>
      </c>
      <c r="F8" s="41" t="s">
        <v>46</v>
      </c>
      <c r="G8" s="94">
        <f>('Flujo de caja proyectado'!H35-'Flujo de caja proyectado'!C33)/'Flujo de caja proyectado'!C33</f>
        <v>1.4482754255288524</v>
      </c>
    </row>
    <row r="9" spans="1:8" ht="25" customHeight="1" x14ac:dyDescent="0.2">
      <c r="B9" s="41" t="s">
        <v>56</v>
      </c>
      <c r="C9" s="95">
        <f>1+(ABS('Flujo de caja proyectado'!D35/'Flujo de caja proyectado'!E34))</f>
        <v>1.7200910968110743</v>
      </c>
    </row>
    <row r="12" spans="1:8" s="27" customFormat="1" ht="25" customHeight="1" x14ac:dyDescent="0.2">
      <c r="B12" s="116" t="s">
        <v>48</v>
      </c>
      <c r="C12" s="117"/>
      <c r="D12" s="117"/>
      <c r="E12" s="117"/>
      <c r="F12" s="117"/>
      <c r="G12" s="118"/>
    </row>
    <row r="13" spans="1:8" x14ac:dyDescent="0.2">
      <c r="B13" s="4"/>
      <c r="C13" s="7"/>
      <c r="D13" s="34"/>
      <c r="E13" s="5"/>
      <c r="F13" s="5"/>
      <c r="G13" s="5"/>
      <c r="H13" s="5"/>
    </row>
    <row r="14" spans="1:8" s="27" customFormat="1" ht="25" customHeight="1" x14ac:dyDescent="0.2">
      <c r="B14" s="72" t="s">
        <v>51</v>
      </c>
      <c r="C14" s="55">
        <v>0.1</v>
      </c>
      <c r="D14" s="56"/>
      <c r="E14" s="30"/>
      <c r="F14" s="30"/>
      <c r="G14" s="30"/>
      <c r="H14" s="30"/>
    </row>
    <row r="15" spans="1:8" x14ac:dyDescent="0.2">
      <c r="B15" s="4"/>
      <c r="C15" s="35">
        <v>1</v>
      </c>
      <c r="D15" s="35">
        <v>2</v>
      </c>
      <c r="E15" s="35">
        <v>3</v>
      </c>
      <c r="F15" s="35">
        <v>4</v>
      </c>
      <c r="G15" s="35">
        <v>5</v>
      </c>
      <c r="H15" s="5"/>
    </row>
    <row r="16" spans="1:8" s="27" customFormat="1" ht="25" customHeight="1" x14ac:dyDescent="0.2">
      <c r="B16" s="42"/>
      <c r="C16" s="70" t="s">
        <v>12</v>
      </c>
      <c r="D16" s="70" t="s">
        <v>13</v>
      </c>
      <c r="E16" s="70" t="s">
        <v>14</v>
      </c>
      <c r="F16" s="70" t="s">
        <v>15</v>
      </c>
      <c r="G16" s="70" t="s">
        <v>16</v>
      </c>
      <c r="H16" s="37"/>
    </row>
    <row r="17" spans="2:8" s="27" customFormat="1" ht="25" customHeight="1" x14ac:dyDescent="0.2">
      <c r="B17" s="71" t="s">
        <v>49</v>
      </c>
      <c r="C17" s="58">
        <f>'Flujo de caja proyectado'!D34</f>
        <v>53568433.088855192</v>
      </c>
      <c r="D17" s="58">
        <f>'Flujo de caja proyectado'!E34</f>
        <v>58925276.397740707</v>
      </c>
      <c r="E17" s="58">
        <f>'Flujo de caja proyectado'!F34</f>
        <v>65197804.037514776</v>
      </c>
      <c r="F17" s="58">
        <f>'Flujo de caja proyectado'!G34</f>
        <v>72477584.441266268</v>
      </c>
      <c r="G17" s="58">
        <f>'Flujo de caja proyectado'!H34</f>
        <v>80865342.885392889</v>
      </c>
      <c r="H17" s="60"/>
    </row>
    <row r="18" spans="2:8" s="27" customFormat="1" ht="25" customHeight="1" x14ac:dyDescent="0.2">
      <c r="B18" s="71" t="s">
        <v>53</v>
      </c>
      <c r="C18" s="57">
        <f>(1+$C$14)^C15</f>
        <v>1.1000000000000001</v>
      </c>
      <c r="D18" s="57">
        <f>(1+$C$14)^D15</f>
        <v>1.2100000000000002</v>
      </c>
      <c r="E18" s="57">
        <f>(1+$C$14)^E15</f>
        <v>1.3310000000000004</v>
      </c>
      <c r="F18" s="57">
        <f>(1+$C$14)^F15</f>
        <v>1.4641000000000004</v>
      </c>
      <c r="G18" s="57">
        <f>(1+$C$14)^G15</f>
        <v>1.6105100000000006</v>
      </c>
      <c r="H18" s="60"/>
    </row>
    <row r="19" spans="2:8" s="27" customFormat="1" ht="25" customHeight="1" x14ac:dyDescent="0.2">
      <c r="B19" s="71" t="s">
        <v>50</v>
      </c>
      <c r="C19" s="58">
        <f>C17/C18</f>
        <v>48698575.535322897</v>
      </c>
      <c r="D19" s="58">
        <f t="shared" ref="D19:F19" si="0">D17/D18</f>
        <v>48698575.53532289</v>
      </c>
      <c r="E19" s="58">
        <f t="shared" si="0"/>
        <v>48984075.15966548</v>
      </c>
      <c r="F19" s="58">
        <f t="shared" si="0"/>
        <v>49503165.385742947</v>
      </c>
      <c r="G19" s="58">
        <f>G17/G18</f>
        <v>50211015.694030374</v>
      </c>
      <c r="H19" s="60"/>
    </row>
    <row r="20" spans="2:8" x14ac:dyDescent="0.2">
      <c r="B20" s="9"/>
      <c r="C20" s="3"/>
      <c r="D20" s="3"/>
      <c r="E20" s="3"/>
      <c r="F20" s="3"/>
      <c r="G20" s="3"/>
      <c r="H20" s="24"/>
    </row>
    <row r="21" spans="2:8" s="27" customFormat="1" ht="25" customHeight="1" x14ac:dyDescent="0.2">
      <c r="B21" s="71" t="s">
        <v>52</v>
      </c>
      <c r="C21" s="58">
        <f>SUM(C19:G19)</f>
        <v>246095407.31008461</v>
      </c>
      <c r="D21" s="37"/>
      <c r="E21" s="37"/>
      <c r="F21" s="37"/>
      <c r="G21" s="37"/>
      <c r="H21" s="60"/>
    </row>
    <row r="22" spans="2:8" x14ac:dyDescent="0.2">
      <c r="B22" s="9"/>
      <c r="C22" s="3"/>
      <c r="D22" s="3"/>
      <c r="E22" s="3"/>
      <c r="F22" s="3"/>
      <c r="G22" s="3"/>
      <c r="H22" s="24"/>
    </row>
    <row r="23" spans="2:8" s="27" customFormat="1" ht="25" customHeight="1" x14ac:dyDescent="0.2">
      <c r="B23" s="73" t="s">
        <v>57</v>
      </c>
      <c r="C23" s="74">
        <f>C21-'Inversión inicial'!D16</f>
        <v>150095407.31008461</v>
      </c>
      <c r="D23" s="37"/>
      <c r="E23" s="37"/>
      <c r="F23" s="37"/>
      <c r="G23" s="37"/>
    </row>
    <row r="24" spans="2:8" x14ac:dyDescent="0.2">
      <c r="B24" s="12"/>
      <c r="C24" s="3"/>
      <c r="D24" s="3"/>
      <c r="E24" s="3"/>
      <c r="F24" s="3"/>
      <c r="G24" s="3"/>
    </row>
    <row r="25" spans="2:8" ht="25" customHeight="1" x14ac:dyDescent="0.2">
      <c r="B25" s="73" t="s">
        <v>58</v>
      </c>
      <c r="C25" s="74">
        <f>NPV(C14,C17:G17)-'Inversión inicial'!D16</f>
        <v>150095407.31008458</v>
      </c>
      <c r="D25" s="3"/>
      <c r="E25" s="3"/>
      <c r="F25" s="3"/>
      <c r="G25" s="3"/>
    </row>
    <row r="27" spans="2:8" ht="25" customHeight="1" x14ac:dyDescent="0.2">
      <c r="B27" s="111" t="s">
        <v>55</v>
      </c>
      <c r="C27" s="111"/>
      <c r="D27" s="111"/>
    </row>
    <row r="29" spans="2:8" ht="25" customHeight="1" x14ac:dyDescent="0.2">
      <c r="B29" s="76" t="s">
        <v>11</v>
      </c>
      <c r="C29" s="53" t="s">
        <v>23</v>
      </c>
      <c r="D29" s="58">
        <f>-'Inversión inicial'!D16</f>
        <v>-96000000</v>
      </c>
    </row>
    <row r="30" spans="2:8" ht="25" customHeight="1" x14ac:dyDescent="0.2">
      <c r="B30" s="110" t="s">
        <v>49</v>
      </c>
      <c r="C30" s="53" t="s">
        <v>12</v>
      </c>
      <c r="D30" s="58">
        <f>C17</f>
        <v>53568433.088855192</v>
      </c>
    </row>
    <row r="31" spans="2:8" ht="25" customHeight="1" x14ac:dyDescent="0.2">
      <c r="B31" s="110"/>
      <c r="C31" s="53" t="s">
        <v>13</v>
      </c>
      <c r="D31" s="58">
        <f>D17</f>
        <v>58925276.397740707</v>
      </c>
    </row>
    <row r="32" spans="2:8" ht="25" customHeight="1" x14ac:dyDescent="0.2">
      <c r="B32" s="110"/>
      <c r="C32" s="53" t="s">
        <v>14</v>
      </c>
      <c r="D32" s="58">
        <f>E17</f>
        <v>65197804.037514776</v>
      </c>
    </row>
    <row r="33" spans="2:7" ht="25" customHeight="1" x14ac:dyDescent="0.2">
      <c r="B33" s="110"/>
      <c r="C33" s="53" t="s">
        <v>15</v>
      </c>
      <c r="D33" s="58">
        <f>F17</f>
        <v>72477584.441266268</v>
      </c>
    </row>
    <row r="34" spans="2:7" ht="25" customHeight="1" x14ac:dyDescent="0.2">
      <c r="B34" s="110"/>
      <c r="C34" s="53" t="s">
        <v>16</v>
      </c>
      <c r="D34" s="58">
        <f>G17</f>
        <v>80865342.885392889</v>
      </c>
    </row>
    <row r="35" spans="2:7" x14ac:dyDescent="0.2">
      <c r="B35" s="3"/>
      <c r="C35" s="3"/>
      <c r="D35" s="3"/>
    </row>
    <row r="36" spans="2:7" ht="25" customHeight="1" x14ac:dyDescent="0.2">
      <c r="B36" s="3"/>
      <c r="C36" s="75" t="s">
        <v>38</v>
      </c>
      <c r="D36" s="82">
        <f>IRR(D29:D34)</f>
        <v>0.56495223912283055</v>
      </c>
    </row>
    <row r="39" spans="2:7" ht="25" customHeight="1" x14ac:dyDescent="0.2">
      <c r="B39" s="112" t="s">
        <v>73</v>
      </c>
      <c r="C39" s="113"/>
      <c r="D39" s="113"/>
      <c r="E39" s="113"/>
      <c r="F39" s="113"/>
      <c r="G39" s="114"/>
    </row>
    <row r="41" spans="2:7" ht="25" customHeight="1" x14ac:dyDescent="0.2">
      <c r="B41" s="3"/>
      <c r="C41" s="77" t="s">
        <v>12</v>
      </c>
      <c r="D41" s="77" t="s">
        <v>13</v>
      </c>
      <c r="E41" s="77" t="s">
        <v>14</v>
      </c>
      <c r="F41" s="77" t="s">
        <v>15</v>
      </c>
      <c r="G41" s="77" t="s">
        <v>16</v>
      </c>
    </row>
    <row r="42" spans="2:7" ht="25" customHeight="1" x14ac:dyDescent="0.2">
      <c r="B42" s="78" t="s">
        <v>18</v>
      </c>
      <c r="C42" s="58">
        <f>'Flujo de caja proyectado'!C17</f>
        <v>91568433.088855192</v>
      </c>
      <c r="D42" s="58">
        <f>'Flujo de caja proyectado'!D17</f>
        <v>100725276.39774071</v>
      </c>
      <c r="E42" s="58">
        <f>'Flujo de caja proyectado'!E17</f>
        <v>110797804.03751478</v>
      </c>
      <c r="F42" s="58">
        <f>'Flujo de caja proyectado'!F17</f>
        <v>121877584.44126627</v>
      </c>
      <c r="G42" s="58">
        <f>'Flujo de caja proyectado'!G17</f>
        <v>134065342.88539289</v>
      </c>
    </row>
    <row r="43" spans="2:7" ht="25" customHeight="1" x14ac:dyDescent="0.2">
      <c r="B43" s="78" t="s">
        <v>74</v>
      </c>
      <c r="C43" s="58">
        <f>SUM('Flujo de caja proyectado'!C23:C24)</f>
        <v>30000000</v>
      </c>
      <c r="D43" s="58">
        <f>SUM('Flujo de caja proyectado'!D23:D24)</f>
        <v>33000000</v>
      </c>
      <c r="E43" s="58">
        <f>SUM('Flujo de caja proyectado'!E23:E24)</f>
        <v>36000000</v>
      </c>
      <c r="F43" s="58">
        <f>SUM('Flujo de caja proyectado'!F23:F24)</f>
        <v>39000000</v>
      </c>
      <c r="G43" s="58">
        <f>SUM('Flujo de caja proyectado'!G23:G24)</f>
        <v>42000000</v>
      </c>
    </row>
    <row r="44" spans="2:7" ht="25" customHeight="1" x14ac:dyDescent="0.2">
      <c r="B44" s="78" t="s">
        <v>75</v>
      </c>
      <c r="C44" s="58">
        <f>'Flujo de caja proyectado'!C25</f>
        <v>8000000</v>
      </c>
      <c r="D44" s="58">
        <f>'Flujo de caja proyectado'!D25</f>
        <v>8800000</v>
      </c>
      <c r="E44" s="58">
        <f>'Flujo de caja proyectado'!E25</f>
        <v>9600000</v>
      </c>
      <c r="F44" s="58">
        <f>'Flujo de caja proyectado'!F25</f>
        <v>10400000</v>
      </c>
      <c r="G44" s="58">
        <f>'Flujo de caja proyectado'!G25</f>
        <v>11200000</v>
      </c>
    </row>
    <row r="45" spans="2:7" s="27" customFormat="1" ht="25" customHeight="1" x14ac:dyDescent="0.2">
      <c r="B45" s="78" t="s">
        <v>76</v>
      </c>
      <c r="C45" s="79">
        <f>1-(C44/C42)</f>
        <v>0.91263364753400289</v>
      </c>
      <c r="D45" s="79">
        <f t="shared" ref="D45:G45" si="1">1-(D44/D42)</f>
        <v>0.91263364753400289</v>
      </c>
      <c r="E45" s="79">
        <f t="shared" si="1"/>
        <v>0.91335568350479623</v>
      </c>
      <c r="F45" s="79">
        <f t="shared" si="1"/>
        <v>0.91466847617896596</v>
      </c>
      <c r="G45" s="79">
        <f t="shared" si="1"/>
        <v>0.91645864800737931</v>
      </c>
    </row>
    <row r="46" spans="2:7" s="27" customFormat="1" ht="25" customHeight="1" x14ac:dyDescent="0.2">
      <c r="B46" s="80" t="s">
        <v>77</v>
      </c>
      <c r="C46" s="81">
        <f>C43/C45</f>
        <v>32871897.810322911</v>
      </c>
      <c r="D46" s="81">
        <f t="shared" ref="D46:G46" si="2">D43/D45</f>
        <v>36159087.591355205</v>
      </c>
      <c r="E46" s="81">
        <f t="shared" si="2"/>
        <v>39415093.867766969</v>
      </c>
      <c r="F46" s="81">
        <f t="shared" si="2"/>
        <v>42638399.612199143</v>
      </c>
      <c r="G46" s="81">
        <f t="shared" si="2"/>
        <v>45828581.672854505</v>
      </c>
    </row>
  </sheetData>
  <mergeCells count="7">
    <mergeCell ref="B30:B34"/>
    <mergeCell ref="B27:D27"/>
    <mergeCell ref="B39:G39"/>
    <mergeCell ref="B5:C5"/>
    <mergeCell ref="B2:G3"/>
    <mergeCell ref="B12:G12"/>
    <mergeCell ref="E5:G5"/>
  </mergeCells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E0F-141F-C54C-AC0E-87F89C77299C}">
  <dimension ref="A2:P101"/>
  <sheetViews>
    <sheetView showGridLines="0" zoomScale="80" zoomScaleNormal="80" workbookViewId="0">
      <selection activeCell="H8" sqref="H8"/>
    </sheetView>
  </sheetViews>
  <sheetFormatPr baseColWidth="10" defaultRowHeight="16" x14ac:dyDescent="0.2"/>
  <cols>
    <col min="1" max="1" width="2.83203125" customWidth="1"/>
    <col min="2" max="2" width="41.5" customWidth="1"/>
    <col min="3" max="4" width="18.6640625" bestFit="1" customWidth="1"/>
    <col min="5" max="5" width="17.83203125" bestFit="1" customWidth="1"/>
    <col min="6" max="6" width="18.5" bestFit="1" customWidth="1"/>
    <col min="7" max="7" width="17.5" bestFit="1" customWidth="1"/>
    <col min="8" max="8" width="18" customWidth="1"/>
    <col min="9" max="9" width="2.33203125" customWidth="1"/>
    <col min="10" max="10" width="42" customWidth="1"/>
    <col min="11" max="16" width="17.1640625" customWidth="1"/>
  </cols>
  <sheetData>
    <row r="2" spans="1:16" ht="16" customHeight="1" x14ac:dyDescent="0.2">
      <c r="B2" s="136" t="s">
        <v>96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8"/>
    </row>
    <row r="3" spans="1:16" ht="16" customHeight="1" x14ac:dyDescent="0.2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1"/>
    </row>
    <row r="5" spans="1:16" ht="25" customHeight="1" x14ac:dyDescent="0.2">
      <c r="B5" s="106" t="s">
        <v>69</v>
      </c>
      <c r="C5" s="107"/>
      <c r="D5" s="108"/>
    </row>
    <row r="7" spans="1:16" ht="25" customHeight="1" x14ac:dyDescent="0.2">
      <c r="B7" s="68" t="s">
        <v>63</v>
      </c>
      <c r="C7" s="119" t="s">
        <v>64</v>
      </c>
      <c r="D7" s="119"/>
    </row>
    <row r="8" spans="1:16" ht="25" customHeight="1" x14ac:dyDescent="0.2">
      <c r="B8" s="69" t="s">
        <v>65</v>
      </c>
      <c r="C8" s="120" t="s">
        <v>87</v>
      </c>
      <c r="D8" s="120"/>
      <c r="E8" s="83"/>
    </row>
    <row r="9" spans="1:16" ht="25" customHeight="1" x14ac:dyDescent="0.2">
      <c r="B9" s="69" t="s">
        <v>66</v>
      </c>
      <c r="C9" s="120" t="s">
        <v>67</v>
      </c>
      <c r="D9" s="120"/>
      <c r="E9" s="83"/>
    </row>
    <row r="10" spans="1:16" ht="25" customHeight="1" x14ac:dyDescent="0.2">
      <c r="B10" s="69" t="s">
        <v>68</v>
      </c>
      <c r="C10" s="120" t="s">
        <v>88</v>
      </c>
      <c r="D10" s="120"/>
      <c r="E10" s="83"/>
    </row>
    <row r="12" spans="1:16" ht="25" customHeight="1" x14ac:dyDescent="0.2">
      <c r="B12" s="121" t="s">
        <v>78</v>
      </c>
      <c r="C12" s="122"/>
      <c r="D12" s="122"/>
      <c r="E12" s="122"/>
      <c r="F12" s="122"/>
      <c r="G12" s="122"/>
      <c r="H12" s="122"/>
      <c r="J12" s="121" t="s">
        <v>79</v>
      </c>
      <c r="K12" s="122"/>
      <c r="L12" s="122"/>
      <c r="M12" s="122"/>
      <c r="N12" s="122"/>
      <c r="O12" s="122"/>
      <c r="P12" s="122"/>
    </row>
    <row r="14" spans="1:16" ht="25" customHeight="1" x14ac:dyDescent="0.2">
      <c r="B14" s="106" t="s">
        <v>41</v>
      </c>
      <c r="C14" s="107"/>
      <c r="D14" s="107"/>
      <c r="E14" s="107"/>
      <c r="F14" s="107"/>
      <c r="G14" s="108"/>
      <c r="H14" s="63"/>
      <c r="J14" s="106" t="s">
        <v>41</v>
      </c>
      <c r="K14" s="107"/>
      <c r="L14" s="107"/>
      <c r="M14" s="107"/>
      <c r="N14" s="107"/>
      <c r="O14" s="108"/>
      <c r="P14" s="63"/>
    </row>
    <row r="15" spans="1:16" x14ac:dyDescent="0.2">
      <c r="A15" s="11"/>
      <c r="B15" s="10"/>
      <c r="C15" s="11"/>
      <c r="D15" s="11"/>
      <c r="E15" s="67"/>
      <c r="F15" s="11"/>
      <c r="G15" s="11"/>
      <c r="H15" s="11"/>
      <c r="J15" s="10"/>
      <c r="K15" s="11"/>
      <c r="L15" s="11"/>
      <c r="M15" s="67"/>
      <c r="N15" s="11"/>
      <c r="O15" s="11"/>
      <c r="P15" s="11"/>
    </row>
    <row r="16" spans="1:16" s="27" customFormat="1" ht="25" customHeight="1" x14ac:dyDescent="0.2">
      <c r="A16" s="36"/>
      <c r="B16" s="37"/>
      <c r="C16" s="38" t="s">
        <v>12</v>
      </c>
      <c r="D16" s="38" t="s">
        <v>13</v>
      </c>
      <c r="E16" s="38" t="s">
        <v>14</v>
      </c>
      <c r="F16" s="38" t="s">
        <v>15</v>
      </c>
      <c r="G16" s="38" t="s">
        <v>16</v>
      </c>
      <c r="H16" s="63"/>
      <c r="J16" s="37"/>
      <c r="K16" s="38" t="s">
        <v>12</v>
      </c>
      <c r="L16" s="38" t="s">
        <v>13</v>
      </c>
      <c r="M16" s="38" t="s">
        <v>14</v>
      </c>
      <c r="N16" s="38" t="s">
        <v>15</v>
      </c>
      <c r="O16" s="38" t="s">
        <v>16</v>
      </c>
      <c r="P16" s="63"/>
    </row>
    <row r="17" spans="1:16" s="27" customFormat="1" ht="25" customHeight="1" x14ac:dyDescent="0.2">
      <c r="A17" s="36"/>
      <c r="B17" s="39" t="s">
        <v>18</v>
      </c>
      <c r="C17" s="40">
        <f>'Flujo de caja proyectado'!C17+'Flujo de caja proyectado'!C17*5%</f>
        <v>96146854.743297949</v>
      </c>
      <c r="D17" s="40">
        <f>'Flujo de caja proyectado'!D17+'Flujo de caja proyectado'!D17*5%</f>
        <v>105761540.21762775</v>
      </c>
      <c r="E17" s="40">
        <f>'Flujo de caja proyectado'!E17+'Flujo de caja proyectado'!E17*5%</f>
        <v>116337694.23939052</v>
      </c>
      <c r="F17" s="40">
        <f>'Flujo de caja proyectado'!F17+'Flujo de caja proyectado'!F17*5%</f>
        <v>127971463.66332959</v>
      </c>
      <c r="G17" s="40">
        <f>'Flujo de caja proyectado'!G17+'Flujo de caja proyectado'!G17*5%</f>
        <v>140768610.02966255</v>
      </c>
      <c r="H17" s="30"/>
      <c r="J17" s="39" t="s">
        <v>18</v>
      </c>
      <c r="K17" s="40">
        <f>'Flujo de caja proyectado'!C17+'Flujo de caja proyectado'!C17*1%</f>
        <v>92484117.419743747</v>
      </c>
      <c r="L17" s="40">
        <f>'Flujo de caja proyectado'!D17+'Flujo de caja proyectado'!D17*1%</f>
        <v>101732529.16171812</v>
      </c>
      <c r="M17" s="40">
        <f>'Flujo de caja proyectado'!E17+'Flujo de caja proyectado'!E17*1%</f>
        <v>111905782.07788992</v>
      </c>
      <c r="N17" s="40">
        <f>'Flujo de caja proyectado'!F17+'Flujo de caja proyectado'!F17*1%</f>
        <v>123096360.28567894</v>
      </c>
      <c r="O17" s="40">
        <f>'Flujo de caja proyectado'!G17+'Flujo de caja proyectado'!G17*1%</f>
        <v>135405996.3142468</v>
      </c>
      <c r="P17" s="30"/>
    </row>
    <row r="19" spans="1:16" x14ac:dyDescent="0.2">
      <c r="A19" s="11"/>
      <c r="B19" s="5"/>
      <c r="C19" s="61"/>
      <c r="D19" s="62"/>
      <c r="E19" s="33"/>
      <c r="F19" s="33"/>
      <c r="G19" s="33"/>
      <c r="H19" s="5"/>
      <c r="J19" s="5"/>
      <c r="K19" s="61"/>
      <c r="L19" s="62"/>
      <c r="M19" s="33"/>
      <c r="N19" s="33"/>
      <c r="O19" s="33"/>
      <c r="P19" s="5"/>
    </row>
    <row r="20" spans="1:16" ht="25" customHeight="1" x14ac:dyDescent="0.2">
      <c r="A20" s="11"/>
      <c r="B20" s="103" t="s">
        <v>42</v>
      </c>
      <c r="C20" s="104"/>
      <c r="D20" s="104"/>
      <c r="E20" s="104"/>
      <c r="F20" s="104"/>
      <c r="G20" s="105"/>
      <c r="J20" s="103" t="s">
        <v>42</v>
      </c>
      <c r="K20" s="104"/>
      <c r="L20" s="104"/>
      <c r="M20" s="104"/>
      <c r="N20" s="104"/>
      <c r="O20" s="105"/>
    </row>
    <row r="21" spans="1:16" x14ac:dyDescent="0.2">
      <c r="A21" s="11"/>
      <c r="B21" s="4"/>
      <c r="C21" s="7"/>
      <c r="D21" s="34"/>
      <c r="E21" s="5"/>
      <c r="F21" s="5"/>
      <c r="G21" s="5"/>
      <c r="H21" s="5"/>
      <c r="J21" s="4"/>
      <c r="K21" s="7"/>
      <c r="L21" s="34"/>
      <c r="M21" s="5"/>
      <c r="N21" s="5"/>
      <c r="O21" s="5"/>
      <c r="P21" s="5"/>
    </row>
    <row r="22" spans="1:16" s="27" customFormat="1" ht="25" customHeight="1" x14ac:dyDescent="0.2">
      <c r="A22" s="36"/>
      <c r="B22" s="42"/>
      <c r="C22" s="43" t="s">
        <v>12</v>
      </c>
      <c r="D22" s="43" t="s">
        <v>13</v>
      </c>
      <c r="E22" s="43" t="s">
        <v>14</v>
      </c>
      <c r="F22" s="43" t="s">
        <v>15</v>
      </c>
      <c r="G22" s="43" t="s">
        <v>16</v>
      </c>
      <c r="H22" s="37"/>
      <c r="J22" s="42"/>
      <c r="K22" s="43" t="s">
        <v>12</v>
      </c>
      <c r="L22" s="43" t="s">
        <v>13</v>
      </c>
      <c r="M22" s="43" t="s">
        <v>14</v>
      </c>
      <c r="N22" s="43" t="s">
        <v>15</v>
      </c>
      <c r="O22" s="43" t="s">
        <v>16</v>
      </c>
      <c r="P22" s="37"/>
    </row>
    <row r="23" spans="1:16" s="27" customFormat="1" ht="25" customHeight="1" x14ac:dyDescent="0.2">
      <c r="A23" s="36"/>
      <c r="B23" s="44" t="s">
        <v>71</v>
      </c>
      <c r="C23" s="40">
        <f>'Flujo de caja proyectado'!C23</f>
        <v>12000000</v>
      </c>
      <c r="D23" s="40">
        <f>'Flujo de caja proyectado'!D23</f>
        <v>13200000</v>
      </c>
      <c r="E23" s="40">
        <f>'Flujo de caja proyectado'!E23</f>
        <v>14400000</v>
      </c>
      <c r="F23" s="40">
        <f>'Flujo de caja proyectado'!F23</f>
        <v>15600000</v>
      </c>
      <c r="G23" s="40">
        <f>'Flujo de caja proyectado'!G23</f>
        <v>16800000</v>
      </c>
      <c r="H23" s="37"/>
      <c r="J23" s="44" t="s">
        <v>71</v>
      </c>
      <c r="K23" s="40">
        <f>'Flujo de caja proyectado'!C23</f>
        <v>12000000</v>
      </c>
      <c r="L23" s="40">
        <f>'Flujo de caja proyectado'!D23</f>
        <v>13200000</v>
      </c>
      <c r="M23" s="40">
        <f>'Flujo de caja proyectado'!E23</f>
        <v>14400000</v>
      </c>
      <c r="N23" s="40">
        <f>'Flujo de caja proyectado'!F23</f>
        <v>15600000</v>
      </c>
      <c r="O23" s="40">
        <f>'Flujo de caja proyectado'!G23</f>
        <v>16800000</v>
      </c>
      <c r="P23" s="37"/>
    </row>
    <row r="24" spans="1:16" s="27" customFormat="1" ht="25" customHeight="1" x14ac:dyDescent="0.2">
      <c r="A24" s="36"/>
      <c r="B24" s="44" t="s">
        <v>72</v>
      </c>
      <c r="C24" s="40">
        <f>'Flujo de caja proyectado'!C24</f>
        <v>18000000</v>
      </c>
      <c r="D24" s="40">
        <f>'Flujo de caja proyectado'!D24</f>
        <v>19800000</v>
      </c>
      <c r="E24" s="40">
        <f>'Flujo de caja proyectado'!E24</f>
        <v>21600000</v>
      </c>
      <c r="F24" s="40">
        <f>'Flujo de caja proyectado'!F24</f>
        <v>23400000</v>
      </c>
      <c r="G24" s="40">
        <f>'Flujo de caja proyectado'!G24</f>
        <v>25200000</v>
      </c>
      <c r="H24" s="37"/>
      <c r="J24" s="44" t="s">
        <v>72</v>
      </c>
      <c r="K24" s="40">
        <f>'Flujo de caja proyectado'!C24</f>
        <v>18000000</v>
      </c>
      <c r="L24" s="40">
        <f>'Flujo de caja proyectado'!D24</f>
        <v>19800000</v>
      </c>
      <c r="M24" s="40">
        <f>'Flujo de caja proyectado'!E24</f>
        <v>21600000</v>
      </c>
      <c r="N24" s="40">
        <f>'Flujo de caja proyectado'!F24</f>
        <v>23400000</v>
      </c>
      <c r="O24" s="40">
        <f>'Flujo de caja proyectado'!G24</f>
        <v>25200000</v>
      </c>
      <c r="P24" s="37"/>
    </row>
    <row r="25" spans="1:16" s="27" customFormat="1" ht="25" customHeight="1" x14ac:dyDescent="0.2">
      <c r="A25" s="36"/>
      <c r="B25" s="44" t="s">
        <v>70</v>
      </c>
      <c r="C25" s="40">
        <f>'Flujo de caja proyectado'!C25</f>
        <v>8000000</v>
      </c>
      <c r="D25" s="40">
        <f>'Flujo de caja proyectado'!D25</f>
        <v>8800000</v>
      </c>
      <c r="E25" s="40">
        <f>'Flujo de caja proyectado'!E25</f>
        <v>9600000</v>
      </c>
      <c r="F25" s="40">
        <f>'Flujo de caja proyectado'!F25</f>
        <v>10400000</v>
      </c>
      <c r="G25" s="40">
        <f>'Flujo de caja proyectado'!G25</f>
        <v>11200000</v>
      </c>
      <c r="H25" s="37"/>
      <c r="J25" s="44" t="s">
        <v>70</v>
      </c>
      <c r="K25" s="40">
        <f>'Flujo de caja proyectado'!C25</f>
        <v>8000000</v>
      </c>
      <c r="L25" s="40">
        <f>'Flujo de caja proyectado'!D25</f>
        <v>8800000</v>
      </c>
      <c r="M25" s="40">
        <f>'Flujo de caja proyectado'!E25</f>
        <v>9600000</v>
      </c>
      <c r="N25" s="40">
        <f>'Flujo de caja proyectado'!F25</f>
        <v>10400000</v>
      </c>
      <c r="O25" s="40">
        <f>'Flujo de caja proyectado'!G25</f>
        <v>11200000</v>
      </c>
      <c r="P25" s="37"/>
    </row>
    <row r="26" spans="1:16" s="27" customFormat="1" ht="25" customHeight="1" x14ac:dyDescent="0.2">
      <c r="A26" s="36"/>
      <c r="B26" s="45" t="s">
        <v>17</v>
      </c>
      <c r="C26" s="46">
        <f>SUM(C23:C25)</f>
        <v>38000000</v>
      </c>
      <c r="D26" s="46">
        <f t="shared" ref="D26:F26" si="0">SUM(D23:D25)</f>
        <v>41800000</v>
      </c>
      <c r="E26" s="46">
        <f t="shared" si="0"/>
        <v>45600000</v>
      </c>
      <c r="F26" s="46">
        <f t="shared" si="0"/>
        <v>49400000</v>
      </c>
      <c r="G26" s="46">
        <f>SUM(G23:G25)</f>
        <v>53200000</v>
      </c>
      <c r="H26" s="37"/>
      <c r="J26" s="45" t="s">
        <v>17</v>
      </c>
      <c r="K26" s="46">
        <f>SUM(K23:K25)</f>
        <v>38000000</v>
      </c>
      <c r="L26" s="46">
        <f t="shared" ref="L26" si="1">SUM(L23:L25)</f>
        <v>41800000</v>
      </c>
      <c r="M26" s="46">
        <f t="shared" ref="M26" si="2">SUM(M23:M25)</f>
        <v>45600000</v>
      </c>
      <c r="N26" s="46">
        <f t="shared" ref="N26" si="3">SUM(N23:N25)</f>
        <v>49400000</v>
      </c>
      <c r="O26" s="46">
        <f>SUM(O23:O25)</f>
        <v>53200000</v>
      </c>
      <c r="P26" s="37"/>
    </row>
    <row r="27" spans="1:16" x14ac:dyDescent="0.2">
      <c r="A27" s="11"/>
      <c r="B27" s="3"/>
      <c r="C27" s="3"/>
      <c r="D27" s="3"/>
      <c r="E27" s="3"/>
      <c r="F27" s="3"/>
      <c r="G27" s="3"/>
      <c r="H27" s="3"/>
      <c r="J27" s="3"/>
      <c r="K27" s="3"/>
      <c r="L27" s="3"/>
      <c r="M27" s="3"/>
      <c r="N27" s="3"/>
      <c r="O27" s="3"/>
      <c r="P27" s="3"/>
    </row>
    <row r="28" spans="1:16" x14ac:dyDescent="0.2">
      <c r="A28" s="11"/>
      <c r="B28" s="3"/>
      <c r="C28" s="3"/>
      <c r="D28" s="3"/>
      <c r="E28" s="3"/>
      <c r="F28" s="3"/>
      <c r="G28" s="3"/>
      <c r="H28" s="3"/>
      <c r="J28" s="3"/>
      <c r="K28" s="3"/>
      <c r="L28" s="3"/>
      <c r="M28" s="3"/>
      <c r="N28" s="3"/>
      <c r="O28" s="3"/>
      <c r="P28" s="3"/>
    </row>
    <row r="29" spans="1:16" ht="25" customHeight="1" x14ac:dyDescent="0.2">
      <c r="A29" s="11"/>
      <c r="B29" s="101" t="s">
        <v>43</v>
      </c>
      <c r="C29" s="101"/>
      <c r="D29" s="101"/>
      <c r="E29" s="101"/>
      <c r="F29" s="101"/>
      <c r="G29" s="101"/>
      <c r="H29" s="101"/>
      <c r="J29" s="101" t="s">
        <v>43</v>
      </c>
      <c r="K29" s="101"/>
      <c r="L29" s="101"/>
      <c r="M29" s="101"/>
      <c r="N29" s="101"/>
      <c r="O29" s="101"/>
      <c r="P29" s="101"/>
    </row>
    <row r="30" spans="1:16" x14ac:dyDescent="0.2">
      <c r="A30" s="11"/>
      <c r="B30" s="2"/>
      <c r="C30" s="35">
        <v>0</v>
      </c>
      <c r="D30" s="35">
        <v>1</v>
      </c>
      <c r="E30" s="35">
        <v>2</v>
      </c>
      <c r="F30" s="35">
        <v>3</v>
      </c>
      <c r="G30" s="35">
        <v>4</v>
      </c>
      <c r="H30" s="35">
        <v>5</v>
      </c>
      <c r="J30" s="2"/>
      <c r="K30" s="35">
        <v>0</v>
      </c>
      <c r="L30" s="35">
        <v>1</v>
      </c>
      <c r="M30" s="35">
        <v>2</v>
      </c>
      <c r="N30" s="35">
        <v>3</v>
      </c>
      <c r="O30" s="35">
        <v>4</v>
      </c>
      <c r="P30" s="35">
        <v>5</v>
      </c>
    </row>
    <row r="31" spans="1:16" s="27" customFormat="1" ht="25" customHeight="1" x14ac:dyDescent="0.2">
      <c r="A31" s="36"/>
      <c r="B31" s="37"/>
      <c r="C31" s="47" t="s">
        <v>23</v>
      </c>
      <c r="D31" s="47" t="s">
        <v>12</v>
      </c>
      <c r="E31" s="47" t="s">
        <v>13</v>
      </c>
      <c r="F31" s="47" t="s">
        <v>14</v>
      </c>
      <c r="G31" s="47" t="s">
        <v>15</v>
      </c>
      <c r="H31" s="47" t="s">
        <v>16</v>
      </c>
      <c r="J31" s="37"/>
      <c r="K31" s="47" t="s">
        <v>23</v>
      </c>
      <c r="L31" s="47" t="s">
        <v>12</v>
      </c>
      <c r="M31" s="47" t="s">
        <v>13</v>
      </c>
      <c r="N31" s="47" t="s">
        <v>14</v>
      </c>
      <c r="O31" s="47" t="s">
        <v>15</v>
      </c>
      <c r="P31" s="47" t="s">
        <v>16</v>
      </c>
    </row>
    <row r="32" spans="1:16" s="27" customFormat="1" ht="25" customHeight="1" x14ac:dyDescent="0.2">
      <c r="A32" s="36"/>
      <c r="B32" s="48" t="s">
        <v>19</v>
      </c>
      <c r="C32" s="40">
        <v>0</v>
      </c>
      <c r="D32" s="40">
        <f>C17</f>
        <v>96146854.743297949</v>
      </c>
      <c r="E32" s="40">
        <f>D17</f>
        <v>105761540.21762775</v>
      </c>
      <c r="F32" s="40">
        <f>E17</f>
        <v>116337694.23939052</v>
      </c>
      <c r="G32" s="40">
        <f>F17</f>
        <v>127971463.66332959</v>
      </c>
      <c r="H32" s="40">
        <f>G17</f>
        <v>140768610.02966255</v>
      </c>
      <c r="J32" s="48" t="s">
        <v>19</v>
      </c>
      <c r="K32" s="40">
        <v>0</v>
      </c>
      <c r="L32" s="40">
        <f>K17</f>
        <v>92484117.419743747</v>
      </c>
      <c r="M32" s="40">
        <f>L17</f>
        <v>101732529.16171812</v>
      </c>
      <c r="N32" s="40">
        <f>M17</f>
        <v>111905782.07788992</v>
      </c>
      <c r="O32" s="40">
        <f>N17</f>
        <v>123096360.28567894</v>
      </c>
      <c r="P32" s="40">
        <f>O17</f>
        <v>135405996.3142468</v>
      </c>
    </row>
    <row r="33" spans="1:16" s="27" customFormat="1" ht="25" customHeight="1" x14ac:dyDescent="0.2">
      <c r="A33" s="36"/>
      <c r="B33" s="48" t="s">
        <v>20</v>
      </c>
      <c r="C33" s="49">
        <f>'Inversión inicial'!D16</f>
        <v>96000000</v>
      </c>
      <c r="D33" s="40">
        <f>C26</f>
        <v>38000000</v>
      </c>
      <c r="E33" s="40">
        <f>D26</f>
        <v>41800000</v>
      </c>
      <c r="F33" s="40">
        <f t="shared" ref="F33:G33" si="4">E26</f>
        <v>45600000</v>
      </c>
      <c r="G33" s="40">
        <f t="shared" si="4"/>
        <v>49400000</v>
      </c>
      <c r="H33" s="40">
        <f>G26</f>
        <v>53200000</v>
      </c>
      <c r="J33" s="48" t="s">
        <v>20</v>
      </c>
      <c r="K33" s="49">
        <f>'Inversión inicial'!D16</f>
        <v>96000000</v>
      </c>
      <c r="L33" s="40">
        <f>K26</f>
        <v>38000000</v>
      </c>
      <c r="M33" s="40">
        <f>L26</f>
        <v>41800000</v>
      </c>
      <c r="N33" s="40">
        <f t="shared" ref="N33:O33" si="5">M26</f>
        <v>45600000</v>
      </c>
      <c r="O33" s="40">
        <f t="shared" si="5"/>
        <v>49400000</v>
      </c>
      <c r="P33" s="40">
        <f>O26</f>
        <v>53200000</v>
      </c>
    </row>
    <row r="34" spans="1:16" s="27" customFormat="1" ht="25" customHeight="1" x14ac:dyDescent="0.2">
      <c r="A34" s="36"/>
      <c r="B34" s="48" t="s">
        <v>21</v>
      </c>
      <c r="C34" s="49">
        <f t="shared" ref="C34:H34" si="6">C32-C33</f>
        <v>-96000000</v>
      </c>
      <c r="D34" s="49">
        <f t="shared" si="6"/>
        <v>58146854.743297949</v>
      </c>
      <c r="E34" s="49">
        <f t="shared" si="6"/>
        <v>63961540.217627749</v>
      </c>
      <c r="F34" s="49">
        <f t="shared" si="6"/>
        <v>70737694.239390522</v>
      </c>
      <c r="G34" s="49">
        <f t="shared" si="6"/>
        <v>78571463.663329586</v>
      </c>
      <c r="H34" s="49">
        <f t="shared" si="6"/>
        <v>87568610.029662549</v>
      </c>
      <c r="J34" s="48" t="s">
        <v>21</v>
      </c>
      <c r="K34" s="49">
        <f t="shared" ref="K34:P34" si="7">K32-K33</f>
        <v>-96000000</v>
      </c>
      <c r="L34" s="49">
        <f t="shared" si="7"/>
        <v>54484117.419743747</v>
      </c>
      <c r="M34" s="49">
        <f t="shared" si="7"/>
        <v>59932529.161718115</v>
      </c>
      <c r="N34" s="49">
        <f t="shared" si="7"/>
        <v>66305782.077889919</v>
      </c>
      <c r="O34" s="49">
        <f t="shared" si="7"/>
        <v>73696360.285678938</v>
      </c>
      <c r="P34" s="49">
        <f t="shared" si="7"/>
        <v>82205996.314246804</v>
      </c>
    </row>
    <row r="35" spans="1:16" s="27" customFormat="1" ht="25" customHeight="1" x14ac:dyDescent="0.2">
      <c r="A35" s="36"/>
      <c r="B35" s="50" t="s">
        <v>22</v>
      </c>
      <c r="C35" s="51">
        <f>C34</f>
        <v>-96000000</v>
      </c>
      <c r="D35" s="51">
        <f>C35+D34</f>
        <v>-37853145.256702051</v>
      </c>
      <c r="E35" s="51">
        <f>D35+E34</f>
        <v>26108394.960925698</v>
      </c>
      <c r="F35" s="52">
        <f>E35+F34</f>
        <v>96846089.200316221</v>
      </c>
      <c r="G35" s="51">
        <f t="shared" ref="G35" si="8">F35+G34</f>
        <v>175417552.86364579</v>
      </c>
      <c r="H35" s="51">
        <f>G35+H34</f>
        <v>262986162.89330834</v>
      </c>
      <c r="J35" s="50" t="s">
        <v>22</v>
      </c>
      <c r="K35" s="51">
        <f>K34</f>
        <v>-96000000</v>
      </c>
      <c r="L35" s="51">
        <f>K35+L34</f>
        <v>-41515882.580256253</v>
      </c>
      <c r="M35" s="51">
        <f>L35+M34</f>
        <v>18416646.581461862</v>
      </c>
      <c r="N35" s="52">
        <f>M35+N34</f>
        <v>84722428.659351781</v>
      </c>
      <c r="O35" s="51">
        <f>N35+O34</f>
        <v>158418788.94503072</v>
      </c>
      <c r="P35" s="51">
        <f>O35+P34</f>
        <v>240624785.25927752</v>
      </c>
    </row>
    <row r="59" spans="2:16" x14ac:dyDescent="0.2">
      <c r="B59" s="8"/>
      <c r="C59" s="23"/>
      <c r="D59" s="22"/>
      <c r="E59" s="22"/>
      <c r="F59" s="22"/>
      <c r="G59" s="22"/>
      <c r="J59" s="8"/>
      <c r="K59" s="23"/>
      <c r="L59" s="22"/>
      <c r="M59" s="22"/>
      <c r="N59" s="22"/>
      <c r="O59" s="22"/>
    </row>
    <row r="60" spans="2:16" ht="25" customHeight="1" x14ac:dyDescent="0.2">
      <c r="B60" s="115" t="s">
        <v>54</v>
      </c>
      <c r="C60" s="115"/>
      <c r="D60" s="27"/>
      <c r="E60" s="106" t="s">
        <v>44</v>
      </c>
      <c r="F60" s="107"/>
      <c r="G60" s="108"/>
      <c r="J60" s="115" t="s">
        <v>54</v>
      </c>
      <c r="K60" s="115"/>
      <c r="L60" s="27"/>
      <c r="M60" s="106" t="s">
        <v>44</v>
      </c>
      <c r="N60" s="107"/>
      <c r="O60" s="108"/>
    </row>
    <row r="61" spans="2:16" x14ac:dyDescent="0.2">
      <c r="B61" s="10"/>
      <c r="C61" s="11"/>
      <c r="D61" s="11"/>
      <c r="E61" s="11"/>
      <c r="F61" s="11"/>
      <c r="G61" s="11"/>
      <c r="J61" s="10"/>
      <c r="K61" s="11"/>
      <c r="L61" s="11"/>
      <c r="M61" s="11"/>
      <c r="N61" s="11"/>
      <c r="O61" s="11"/>
    </row>
    <row r="62" spans="2:16" ht="25" customHeight="1" x14ac:dyDescent="0.2">
      <c r="B62" s="27"/>
      <c r="C62" s="27"/>
      <c r="D62" s="27"/>
      <c r="E62" s="53" t="s">
        <v>47</v>
      </c>
      <c r="F62" s="41" t="s">
        <v>45</v>
      </c>
      <c r="G62" s="54">
        <f>(F35-C33)/C33</f>
        <v>8.81342916996063E-3</v>
      </c>
      <c r="J62" s="27"/>
      <c r="K62" s="27"/>
      <c r="L62" s="27"/>
      <c r="M62" s="53" t="s">
        <v>47</v>
      </c>
      <c r="N62" s="41" t="s">
        <v>45</v>
      </c>
      <c r="O62" s="54">
        <f>(N35-K33)/K33</f>
        <v>-0.11747470146508561</v>
      </c>
    </row>
    <row r="63" spans="2:16" ht="25" customHeight="1" x14ac:dyDescent="0.2">
      <c r="D63" s="22"/>
      <c r="E63" s="53" t="s">
        <v>47</v>
      </c>
      <c r="F63" s="41" t="s">
        <v>46</v>
      </c>
      <c r="G63" s="54">
        <f>(H35-C33)/C33</f>
        <v>1.7394391968052951</v>
      </c>
      <c r="L63" s="22"/>
      <c r="M63" s="53" t="s">
        <v>47</v>
      </c>
      <c r="N63" s="41" t="s">
        <v>46</v>
      </c>
      <c r="O63" s="54">
        <f>(P35-K33)/K33</f>
        <v>1.5065081797841409</v>
      </c>
    </row>
    <row r="64" spans="2:16" ht="25" customHeight="1" x14ac:dyDescent="0.2">
      <c r="B64" s="41" t="s">
        <v>56</v>
      </c>
      <c r="C64" s="95">
        <f>1+(ABS(D35/E34))</f>
        <v>1.5918110340668399</v>
      </c>
      <c r="F64" s="92"/>
      <c r="G64" s="92"/>
      <c r="H64" s="33"/>
      <c r="J64" s="41" t="s">
        <v>56</v>
      </c>
      <c r="K64" s="95">
        <f>1+(ABS(L35/M34))</f>
        <v>1.6927103387916844</v>
      </c>
      <c r="N64" s="92"/>
      <c r="O64" s="92"/>
      <c r="P64" s="33"/>
    </row>
    <row r="67" spans="2:15" ht="25" customHeight="1" x14ac:dyDescent="0.2">
      <c r="B67" s="116" t="s">
        <v>48</v>
      </c>
      <c r="C67" s="117"/>
      <c r="D67" s="117"/>
      <c r="E67" s="117"/>
      <c r="F67" s="117"/>
      <c r="G67" s="118"/>
      <c r="J67" s="116" t="s">
        <v>48</v>
      </c>
      <c r="K67" s="117"/>
      <c r="L67" s="117"/>
      <c r="M67" s="117"/>
      <c r="N67" s="117"/>
      <c r="O67" s="118"/>
    </row>
    <row r="68" spans="2:15" x14ac:dyDescent="0.2">
      <c r="B68" s="4"/>
      <c r="C68" s="7"/>
      <c r="D68" s="34"/>
      <c r="E68" s="5"/>
      <c r="F68" s="5"/>
      <c r="G68" s="5"/>
      <c r="J68" s="4"/>
      <c r="K68" s="7"/>
      <c r="L68" s="34"/>
      <c r="M68" s="5"/>
      <c r="N68" s="5"/>
      <c r="O68" s="5"/>
    </row>
    <row r="69" spans="2:15" ht="25" customHeight="1" x14ac:dyDescent="0.2">
      <c r="B69" s="72" t="s">
        <v>51</v>
      </c>
      <c r="C69" s="55">
        <v>0.1</v>
      </c>
      <c r="D69" s="56"/>
      <c r="E69" s="30"/>
      <c r="F69" s="30"/>
      <c r="G69" s="30"/>
      <c r="J69" s="72" t="s">
        <v>51</v>
      </c>
      <c r="K69" s="55">
        <v>0.1</v>
      </c>
      <c r="L69" s="56"/>
      <c r="M69" s="30"/>
      <c r="N69" s="30"/>
      <c r="O69" s="30"/>
    </row>
    <row r="70" spans="2:15" x14ac:dyDescent="0.2">
      <c r="B70" s="4"/>
      <c r="C70" s="35">
        <v>1</v>
      </c>
      <c r="D70" s="35">
        <v>2</v>
      </c>
      <c r="E70" s="35">
        <v>3</v>
      </c>
      <c r="F70" s="35">
        <v>4</v>
      </c>
      <c r="G70" s="35">
        <v>5</v>
      </c>
      <c r="J70" s="4"/>
      <c r="K70" s="35">
        <v>1</v>
      </c>
      <c r="L70" s="35">
        <v>2</v>
      </c>
      <c r="M70" s="35">
        <v>3</v>
      </c>
      <c r="N70" s="35">
        <v>4</v>
      </c>
      <c r="O70" s="35">
        <v>5</v>
      </c>
    </row>
    <row r="71" spans="2:15" ht="25" customHeight="1" x14ac:dyDescent="0.2">
      <c r="B71" s="42"/>
      <c r="C71" s="70" t="s">
        <v>12</v>
      </c>
      <c r="D71" s="70" t="s">
        <v>13</v>
      </c>
      <c r="E71" s="70" t="s">
        <v>14</v>
      </c>
      <c r="F71" s="70" t="s">
        <v>15</v>
      </c>
      <c r="G71" s="70" t="s">
        <v>16</v>
      </c>
      <c r="J71" s="42"/>
      <c r="K71" s="70" t="s">
        <v>12</v>
      </c>
      <c r="L71" s="70" t="s">
        <v>13</v>
      </c>
      <c r="M71" s="70" t="s">
        <v>14</v>
      </c>
      <c r="N71" s="70" t="s">
        <v>15</v>
      </c>
      <c r="O71" s="70" t="s">
        <v>16</v>
      </c>
    </row>
    <row r="72" spans="2:15" ht="25" customHeight="1" x14ac:dyDescent="0.2">
      <c r="B72" s="71" t="s">
        <v>49</v>
      </c>
      <c r="C72" s="58">
        <f>D34</f>
        <v>58146854.743297949</v>
      </c>
      <c r="D72" s="58">
        <f t="shared" ref="D72:G72" si="9">E34</f>
        <v>63961540.217627749</v>
      </c>
      <c r="E72" s="58">
        <f t="shared" si="9"/>
        <v>70737694.239390522</v>
      </c>
      <c r="F72" s="58">
        <f t="shared" si="9"/>
        <v>78571463.663329586</v>
      </c>
      <c r="G72" s="58">
        <f t="shared" si="9"/>
        <v>87568610.029662549</v>
      </c>
      <c r="J72" s="71" t="s">
        <v>49</v>
      </c>
      <c r="K72" s="58">
        <f>L34</f>
        <v>54484117.419743747</v>
      </c>
      <c r="L72" s="58">
        <f t="shared" ref="L72:O72" si="10">M34</f>
        <v>59932529.161718115</v>
      </c>
      <c r="M72" s="58">
        <f t="shared" si="10"/>
        <v>66305782.077889919</v>
      </c>
      <c r="N72" s="58">
        <f t="shared" si="10"/>
        <v>73696360.285678938</v>
      </c>
      <c r="O72" s="58">
        <f t="shared" si="10"/>
        <v>82205996.314246804</v>
      </c>
    </row>
    <row r="73" spans="2:15" ht="25" customHeight="1" x14ac:dyDescent="0.2">
      <c r="B73" s="71" t="s">
        <v>53</v>
      </c>
      <c r="C73" s="57">
        <f>(1+$C$69)^C70</f>
        <v>1.1000000000000001</v>
      </c>
      <c r="D73" s="57">
        <f t="shared" ref="D73:G73" si="11">(1+$C$69)^D70</f>
        <v>1.2100000000000002</v>
      </c>
      <c r="E73" s="57">
        <f t="shared" si="11"/>
        <v>1.3310000000000004</v>
      </c>
      <c r="F73" s="57">
        <f t="shared" si="11"/>
        <v>1.4641000000000004</v>
      </c>
      <c r="G73" s="57">
        <f t="shared" si="11"/>
        <v>1.6105100000000006</v>
      </c>
      <c r="J73" s="71" t="s">
        <v>53</v>
      </c>
      <c r="K73" s="57">
        <f>(1+$K$69)^K70</f>
        <v>1.1000000000000001</v>
      </c>
      <c r="L73" s="57">
        <f t="shared" ref="L73:O73" si="12">(1+$K$69)^L70</f>
        <v>1.2100000000000002</v>
      </c>
      <c r="M73" s="57">
        <f t="shared" si="12"/>
        <v>1.3310000000000004</v>
      </c>
      <c r="N73" s="57">
        <f t="shared" si="12"/>
        <v>1.4641000000000004</v>
      </c>
      <c r="O73" s="57">
        <f t="shared" si="12"/>
        <v>1.6105100000000006</v>
      </c>
    </row>
    <row r="74" spans="2:15" ht="25" customHeight="1" x14ac:dyDescent="0.2">
      <c r="B74" s="71" t="s">
        <v>50</v>
      </c>
      <c r="C74" s="58">
        <f>C72/C73</f>
        <v>52860777.039361767</v>
      </c>
      <c r="D74" s="58">
        <f>D72/D73</f>
        <v>52860777.039361767</v>
      </c>
      <c r="E74" s="58">
        <f t="shared" ref="E74:F74" si="13">E72/E73</f>
        <v>53146276.663704358</v>
      </c>
      <c r="F74" s="58">
        <f t="shared" si="13"/>
        <v>53665366.889781818</v>
      </c>
      <c r="G74" s="58">
        <f>G72/G73</f>
        <v>54373217.19806926</v>
      </c>
      <c r="J74" s="71" t="s">
        <v>50</v>
      </c>
      <c r="K74" s="58">
        <f>K72/K73</f>
        <v>49531015.836130671</v>
      </c>
      <c r="L74" s="58">
        <f>L72/L73</f>
        <v>49531015.836130664</v>
      </c>
      <c r="M74" s="58">
        <f t="shared" ref="M74" si="14">M72/M73</f>
        <v>49816515.460473254</v>
      </c>
      <c r="N74" s="58">
        <f t="shared" ref="N74" si="15">N72/N73</f>
        <v>50335605.686550729</v>
      </c>
      <c r="O74" s="58">
        <f>O72/O73</f>
        <v>51043455.994838141</v>
      </c>
    </row>
    <row r="75" spans="2:15" x14ac:dyDescent="0.2">
      <c r="B75" s="9"/>
      <c r="C75" s="3"/>
      <c r="D75" s="3"/>
      <c r="E75" s="3"/>
      <c r="F75" s="3"/>
      <c r="G75" s="3"/>
      <c r="J75" s="9"/>
      <c r="K75" s="3"/>
      <c r="L75" s="3"/>
      <c r="M75" s="3"/>
      <c r="N75" s="3"/>
      <c r="O75" s="3"/>
    </row>
    <row r="76" spans="2:15" ht="25" customHeight="1" x14ac:dyDescent="0.2">
      <c r="B76" s="71" t="s">
        <v>52</v>
      </c>
      <c r="C76" s="58">
        <f>SUM(C74:G74)</f>
        <v>266906414.83027899</v>
      </c>
      <c r="D76" s="37"/>
      <c r="E76" s="37"/>
      <c r="F76" s="37"/>
      <c r="G76" s="37"/>
      <c r="J76" s="71" t="s">
        <v>52</v>
      </c>
      <c r="K76" s="58">
        <f>SUM(K74:O74)</f>
        <v>250257608.81412348</v>
      </c>
      <c r="L76" s="37"/>
      <c r="M76" s="37"/>
      <c r="N76" s="37"/>
      <c r="O76" s="37"/>
    </row>
    <row r="77" spans="2:15" x14ac:dyDescent="0.2">
      <c r="B77" s="9"/>
      <c r="C77" s="3"/>
      <c r="D77" s="3"/>
      <c r="E77" s="3"/>
      <c r="F77" s="3"/>
      <c r="G77" s="3"/>
      <c r="J77" s="9"/>
      <c r="K77" s="3"/>
      <c r="L77" s="3"/>
      <c r="M77" s="3"/>
      <c r="N77" s="3"/>
      <c r="O77" s="3"/>
    </row>
    <row r="78" spans="2:15" ht="25" customHeight="1" x14ac:dyDescent="0.2">
      <c r="B78" s="73" t="s">
        <v>57</v>
      </c>
      <c r="C78" s="74">
        <f>C76-'Inversión inicial'!D16</f>
        <v>170906414.83027899</v>
      </c>
      <c r="D78" s="37"/>
      <c r="E78" s="37"/>
      <c r="F78" s="37"/>
      <c r="G78" s="37"/>
      <c r="J78" s="73" t="s">
        <v>57</v>
      </c>
      <c r="K78" s="74">
        <f>K76-'Inversión inicial'!D16</f>
        <v>154257608.81412348</v>
      </c>
      <c r="L78" s="37"/>
      <c r="M78" s="37"/>
      <c r="N78" s="37"/>
      <c r="O78" s="37"/>
    </row>
    <row r="79" spans="2:15" x14ac:dyDescent="0.2">
      <c r="B79" s="12"/>
      <c r="J79" s="12"/>
    </row>
    <row r="80" spans="2:15" ht="25" customHeight="1" x14ac:dyDescent="0.2">
      <c r="B80" s="73" t="s">
        <v>58</v>
      </c>
      <c r="C80" s="74">
        <f>NPV(C69,C72:G72)-'Inversión inicial'!D16</f>
        <v>170906414.83027896</v>
      </c>
      <c r="J80" s="73" t="s">
        <v>58</v>
      </c>
      <c r="K80" s="74">
        <f>NPV(K69,K72:O72)-'Inversión inicial'!D16</f>
        <v>154257608.81412348</v>
      </c>
    </row>
    <row r="82" spans="2:15" ht="25" customHeight="1" x14ac:dyDescent="0.2">
      <c r="B82" s="111" t="s">
        <v>55</v>
      </c>
      <c r="C82" s="111"/>
      <c r="D82" s="111"/>
      <c r="J82" s="111" t="s">
        <v>55</v>
      </c>
      <c r="K82" s="111"/>
      <c r="L82" s="111"/>
    </row>
    <row r="84" spans="2:15" ht="25" customHeight="1" x14ac:dyDescent="0.2">
      <c r="B84" s="76" t="s">
        <v>11</v>
      </c>
      <c r="C84" s="53" t="s">
        <v>23</v>
      </c>
      <c r="D84" s="58">
        <f>-'Inversión inicial'!D16</f>
        <v>-96000000</v>
      </c>
      <c r="J84" s="76" t="s">
        <v>11</v>
      </c>
      <c r="K84" s="53" t="s">
        <v>23</v>
      </c>
      <c r="L84" s="58">
        <f>-'Inversión inicial'!D16</f>
        <v>-96000000</v>
      </c>
    </row>
    <row r="85" spans="2:15" ht="25" customHeight="1" x14ac:dyDescent="0.2">
      <c r="B85" s="110" t="s">
        <v>49</v>
      </c>
      <c r="C85" s="53" t="s">
        <v>12</v>
      </c>
      <c r="D85" s="58">
        <f>C72</f>
        <v>58146854.743297949</v>
      </c>
      <c r="J85" s="110" t="s">
        <v>49</v>
      </c>
      <c r="K85" s="53" t="s">
        <v>12</v>
      </c>
      <c r="L85" s="58">
        <f>K72</f>
        <v>54484117.419743747</v>
      </c>
    </row>
    <row r="86" spans="2:15" ht="25" customHeight="1" x14ac:dyDescent="0.2">
      <c r="B86" s="110"/>
      <c r="C86" s="53" t="s">
        <v>13</v>
      </c>
      <c r="D86" s="58">
        <f>D72</f>
        <v>63961540.217627749</v>
      </c>
      <c r="J86" s="110"/>
      <c r="K86" s="53" t="s">
        <v>13</v>
      </c>
      <c r="L86" s="58">
        <f>L72</f>
        <v>59932529.161718115</v>
      </c>
    </row>
    <row r="87" spans="2:15" ht="25" customHeight="1" x14ac:dyDescent="0.2">
      <c r="B87" s="110"/>
      <c r="C87" s="53" t="s">
        <v>14</v>
      </c>
      <c r="D87" s="58">
        <f>E72</f>
        <v>70737694.239390522</v>
      </c>
      <c r="J87" s="110"/>
      <c r="K87" s="53" t="s">
        <v>14</v>
      </c>
      <c r="L87" s="58">
        <f>M72</f>
        <v>66305782.077889919</v>
      </c>
    </row>
    <row r="88" spans="2:15" ht="25" customHeight="1" x14ac:dyDescent="0.2">
      <c r="B88" s="110"/>
      <c r="C88" s="53" t="s">
        <v>15</v>
      </c>
      <c r="D88" s="58">
        <f>F72</f>
        <v>78571463.663329586</v>
      </c>
      <c r="J88" s="110"/>
      <c r="K88" s="53" t="s">
        <v>15</v>
      </c>
      <c r="L88" s="58">
        <f>N72</f>
        <v>73696360.285678938</v>
      </c>
    </row>
    <row r="89" spans="2:15" ht="25" customHeight="1" x14ac:dyDescent="0.2">
      <c r="B89" s="110"/>
      <c r="C89" s="53" t="s">
        <v>16</v>
      </c>
      <c r="D89" s="58">
        <f>G72</f>
        <v>87568610.029662549</v>
      </c>
      <c r="J89" s="110"/>
      <c r="K89" s="53" t="s">
        <v>16</v>
      </c>
      <c r="L89" s="58">
        <f>O72</f>
        <v>82205996.314246804</v>
      </c>
    </row>
    <row r="91" spans="2:15" ht="25" customHeight="1" x14ac:dyDescent="0.2">
      <c r="C91" s="75" t="s">
        <v>38</v>
      </c>
      <c r="D91" s="82">
        <f>IRR(D84:D89)</f>
        <v>0.62117789127157863</v>
      </c>
      <c r="K91" s="75" t="s">
        <v>38</v>
      </c>
      <c r="L91" s="82">
        <f>IRR(L84:L89)</f>
        <v>0.5762867204690294</v>
      </c>
    </row>
    <row r="94" spans="2:15" ht="25" customHeight="1" x14ac:dyDescent="0.2">
      <c r="B94" s="112" t="s">
        <v>73</v>
      </c>
      <c r="C94" s="113"/>
      <c r="D94" s="113"/>
      <c r="E94" s="113"/>
      <c r="F94" s="113"/>
      <c r="G94" s="114"/>
      <c r="J94" s="112" t="s">
        <v>73</v>
      </c>
      <c r="K94" s="113"/>
      <c r="L94" s="113"/>
      <c r="M94" s="113"/>
      <c r="N94" s="113"/>
      <c r="O94" s="114"/>
    </row>
    <row r="96" spans="2:15" ht="25" customHeight="1" x14ac:dyDescent="0.2">
      <c r="B96" s="3"/>
      <c r="C96" s="77" t="s">
        <v>12</v>
      </c>
      <c r="D96" s="77" t="s">
        <v>13</v>
      </c>
      <c r="E96" s="77" t="s">
        <v>14</v>
      </c>
      <c r="F96" s="77" t="s">
        <v>15</v>
      </c>
      <c r="G96" s="77" t="s">
        <v>16</v>
      </c>
      <c r="J96" s="3"/>
      <c r="K96" s="77" t="s">
        <v>12</v>
      </c>
      <c r="L96" s="77" t="s">
        <v>13</v>
      </c>
      <c r="M96" s="77" t="s">
        <v>14</v>
      </c>
      <c r="N96" s="77" t="s">
        <v>15</v>
      </c>
      <c r="O96" s="77" t="s">
        <v>16</v>
      </c>
    </row>
    <row r="97" spans="2:15" ht="25" customHeight="1" x14ac:dyDescent="0.2">
      <c r="B97" s="78" t="s">
        <v>18</v>
      </c>
      <c r="C97" s="58">
        <f>C17</f>
        <v>96146854.743297949</v>
      </c>
      <c r="D97" s="58">
        <f t="shared" ref="D97:G97" si="16">D17</f>
        <v>105761540.21762775</v>
      </c>
      <c r="E97" s="58">
        <f t="shared" si="16"/>
        <v>116337694.23939052</v>
      </c>
      <c r="F97" s="58">
        <f t="shared" si="16"/>
        <v>127971463.66332959</v>
      </c>
      <c r="G97" s="58">
        <f t="shared" si="16"/>
        <v>140768610.02966255</v>
      </c>
      <c r="J97" s="78" t="s">
        <v>18</v>
      </c>
      <c r="K97" s="58">
        <f>K17</f>
        <v>92484117.419743747</v>
      </c>
      <c r="L97" s="58">
        <f t="shared" ref="L97:O97" si="17">L17</f>
        <v>101732529.16171812</v>
      </c>
      <c r="M97" s="58">
        <f t="shared" si="17"/>
        <v>111905782.07788992</v>
      </c>
      <c r="N97" s="58">
        <f t="shared" si="17"/>
        <v>123096360.28567894</v>
      </c>
      <c r="O97" s="58">
        <f t="shared" si="17"/>
        <v>135405996.3142468</v>
      </c>
    </row>
    <row r="98" spans="2:15" ht="25" customHeight="1" x14ac:dyDescent="0.2">
      <c r="B98" s="78" t="s">
        <v>74</v>
      </c>
      <c r="C98" s="58">
        <f>SUM(C23:C24)</f>
        <v>30000000</v>
      </c>
      <c r="D98" s="58">
        <f t="shared" ref="D98:G98" si="18">SUM(D23:D24)</f>
        <v>33000000</v>
      </c>
      <c r="E98" s="58">
        <f t="shared" si="18"/>
        <v>36000000</v>
      </c>
      <c r="F98" s="58">
        <f t="shared" si="18"/>
        <v>39000000</v>
      </c>
      <c r="G98" s="58">
        <f t="shared" si="18"/>
        <v>42000000</v>
      </c>
      <c r="J98" s="78" t="s">
        <v>74</v>
      </c>
      <c r="K98" s="58">
        <f>SUM(K23:K24)</f>
        <v>30000000</v>
      </c>
      <c r="L98" s="58">
        <f t="shared" ref="L98:O98" si="19">SUM(L23:L24)</f>
        <v>33000000</v>
      </c>
      <c r="M98" s="58">
        <f t="shared" si="19"/>
        <v>36000000</v>
      </c>
      <c r="N98" s="58">
        <f t="shared" si="19"/>
        <v>39000000</v>
      </c>
      <c r="O98" s="58">
        <f t="shared" si="19"/>
        <v>42000000</v>
      </c>
    </row>
    <row r="99" spans="2:15" ht="25" customHeight="1" x14ac:dyDescent="0.2">
      <c r="B99" s="78" t="s">
        <v>75</v>
      </c>
      <c r="C99" s="58">
        <f>C25</f>
        <v>8000000</v>
      </c>
      <c r="D99" s="58">
        <f t="shared" ref="D99:G99" si="20">D25</f>
        <v>8800000</v>
      </c>
      <c r="E99" s="58">
        <f t="shared" si="20"/>
        <v>9600000</v>
      </c>
      <c r="F99" s="58">
        <f t="shared" si="20"/>
        <v>10400000</v>
      </c>
      <c r="G99" s="58">
        <f t="shared" si="20"/>
        <v>11200000</v>
      </c>
      <c r="J99" s="78" t="s">
        <v>75</v>
      </c>
      <c r="K99" s="58">
        <f>K25</f>
        <v>8000000</v>
      </c>
      <c r="L99" s="58">
        <f t="shared" ref="L99:O99" si="21">L25</f>
        <v>8800000</v>
      </c>
      <c r="M99" s="58">
        <f t="shared" si="21"/>
        <v>9600000</v>
      </c>
      <c r="N99" s="58">
        <f t="shared" si="21"/>
        <v>10400000</v>
      </c>
      <c r="O99" s="58">
        <f t="shared" si="21"/>
        <v>11200000</v>
      </c>
    </row>
    <row r="100" spans="2:15" ht="25" customHeight="1" x14ac:dyDescent="0.2">
      <c r="B100" s="78" t="s">
        <v>76</v>
      </c>
      <c r="C100" s="79">
        <f>1-(C99/C97)</f>
        <v>0.91679395003238362</v>
      </c>
      <c r="D100" s="79">
        <f t="shared" ref="D100:G100" si="22">1-(D99/D97)</f>
        <v>0.91679395003238362</v>
      </c>
      <c r="E100" s="79">
        <f t="shared" si="22"/>
        <v>0.91748160333790119</v>
      </c>
      <c r="F100" s="79">
        <f t="shared" si="22"/>
        <v>0.91873188207520573</v>
      </c>
      <c r="G100" s="79">
        <f t="shared" si="22"/>
        <v>0.92043680762607549</v>
      </c>
      <c r="J100" s="78" t="s">
        <v>76</v>
      </c>
      <c r="K100" s="79">
        <f>1-(K99/K97)</f>
        <v>0.91349866092475529</v>
      </c>
      <c r="L100" s="79">
        <f t="shared" ref="L100" si="23">1-(L99/L97)</f>
        <v>0.91349866092475529</v>
      </c>
      <c r="M100" s="79">
        <f t="shared" ref="M100" si="24">1-(M99/M97)</f>
        <v>0.91421354802455068</v>
      </c>
      <c r="N100" s="79">
        <f t="shared" ref="N100" si="25">1-(N99/N97)</f>
        <v>0.91551334275145146</v>
      </c>
      <c r="O100" s="79">
        <f t="shared" ref="O100" si="26">1-(O99/O97)</f>
        <v>0.91728579010631606</v>
      </c>
    </row>
    <row r="101" spans="2:15" ht="25" customHeight="1" x14ac:dyDescent="0.2">
      <c r="B101" s="80" t="s">
        <v>77</v>
      </c>
      <c r="C101" s="81">
        <f>C98/C100</f>
        <v>32722729.026451711</v>
      </c>
      <c r="D101" s="81">
        <f t="shared" ref="D101:F101" si="27">D98/D100</f>
        <v>35995001.929096885</v>
      </c>
      <c r="E101" s="81">
        <f t="shared" si="27"/>
        <v>39237843.973141208</v>
      </c>
      <c r="F101" s="81">
        <f t="shared" si="27"/>
        <v>42449816.710298434</v>
      </c>
      <c r="G101" s="81">
        <f>G98/G100</f>
        <v>45630508.962721065</v>
      </c>
      <c r="J101" s="80" t="s">
        <v>77</v>
      </c>
      <c r="K101" s="81">
        <f>K98/K100</f>
        <v>32840770.636303205</v>
      </c>
      <c r="L101" s="81">
        <f t="shared" ref="L101" si="28">L98/L100</f>
        <v>36124847.699933521</v>
      </c>
      <c r="M101" s="81">
        <f t="shared" ref="M101" si="29">M98/M100</f>
        <v>39378108.186855748</v>
      </c>
      <c r="N101" s="81">
        <f t="shared" ref="N101" si="30">N98/N100</f>
        <v>42599051.459797166</v>
      </c>
      <c r="O101" s="81">
        <f>O98/O100</f>
        <v>45787256.766652934</v>
      </c>
    </row>
  </sheetData>
  <mergeCells count="26">
    <mergeCell ref="J67:O67"/>
    <mergeCell ref="J82:L82"/>
    <mergeCell ref="J85:J89"/>
    <mergeCell ref="J94:O94"/>
    <mergeCell ref="B2:P3"/>
    <mergeCell ref="J12:P12"/>
    <mergeCell ref="J14:O14"/>
    <mergeCell ref="J20:O20"/>
    <mergeCell ref="J29:P29"/>
    <mergeCell ref="J60:K60"/>
    <mergeCell ref="M60:O60"/>
    <mergeCell ref="B60:C60"/>
    <mergeCell ref="E60:G60"/>
    <mergeCell ref="B67:G67"/>
    <mergeCell ref="B85:B89"/>
    <mergeCell ref="B94:G94"/>
    <mergeCell ref="B82:D82"/>
    <mergeCell ref="B29:H29"/>
    <mergeCell ref="C7:D7"/>
    <mergeCell ref="C8:D8"/>
    <mergeCell ref="C9:D9"/>
    <mergeCell ref="C10:D10"/>
    <mergeCell ref="B5:D5"/>
    <mergeCell ref="B12:H12"/>
    <mergeCell ref="B20:G20"/>
    <mergeCell ref="B14:G14"/>
  </mergeCells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7990-E747-084F-8F16-687A20678BCC}">
  <dimension ref="A2:H28"/>
  <sheetViews>
    <sheetView showGridLines="0" zoomScale="140" zoomScaleNormal="140" workbookViewId="0">
      <selection activeCell="B2" sqref="B2:H3"/>
    </sheetView>
  </sheetViews>
  <sheetFormatPr baseColWidth="10" defaultRowHeight="16" x14ac:dyDescent="0.2"/>
  <cols>
    <col min="1" max="1" width="2.83203125" customWidth="1"/>
    <col min="2" max="2" width="34" customWidth="1"/>
    <col min="3" max="6" width="17.83203125" bestFit="1" customWidth="1"/>
    <col min="7" max="7" width="15.5" bestFit="1" customWidth="1"/>
    <col min="8" max="8" width="15.6640625" bestFit="1" customWidth="1"/>
    <col min="9" max="9" width="2.83203125" customWidth="1"/>
  </cols>
  <sheetData>
    <row r="2" spans="1:8" ht="31" customHeight="1" x14ac:dyDescent="0.2">
      <c r="B2" s="127" t="s">
        <v>96</v>
      </c>
      <c r="C2" s="127"/>
      <c r="D2" s="127"/>
      <c r="E2" s="127"/>
      <c r="F2" s="127"/>
      <c r="G2" s="127"/>
      <c r="H2" s="127"/>
    </row>
    <row r="3" spans="1:8" ht="16" customHeight="1" x14ac:dyDescent="0.2">
      <c r="B3" s="127"/>
      <c r="C3" s="127"/>
      <c r="D3" s="127"/>
      <c r="E3" s="127"/>
      <c r="F3" s="127"/>
      <c r="G3" s="127"/>
      <c r="H3" s="127"/>
    </row>
    <row r="5" spans="1:8" ht="25" customHeight="1" x14ac:dyDescent="0.2">
      <c r="B5" s="123" t="s">
        <v>89</v>
      </c>
      <c r="C5" s="124"/>
      <c r="D5" s="124"/>
      <c r="E5" s="124"/>
      <c r="F5" s="124"/>
      <c r="G5" s="125"/>
    </row>
    <row r="6" spans="1:8" x14ac:dyDescent="0.2">
      <c r="A6" s="11"/>
      <c r="B6" s="10"/>
      <c r="C6" s="11"/>
      <c r="D6" s="11"/>
      <c r="E6" s="11"/>
      <c r="F6" s="11"/>
      <c r="G6" s="11"/>
      <c r="H6" s="11"/>
    </row>
    <row r="7" spans="1:8" ht="25" customHeight="1" x14ac:dyDescent="0.2">
      <c r="C7" s="97" t="s">
        <v>12</v>
      </c>
      <c r="D7" s="97" t="s">
        <v>13</v>
      </c>
      <c r="E7" s="97" t="s">
        <v>14</v>
      </c>
      <c r="F7" s="97" t="s">
        <v>15</v>
      </c>
      <c r="G7" s="97" t="s">
        <v>16</v>
      </c>
    </row>
    <row r="8" spans="1:8" ht="25" customHeight="1" x14ac:dyDescent="0.2">
      <c r="B8" s="18" t="s">
        <v>24</v>
      </c>
      <c r="C8" s="15">
        <f>'Flujo de caja proyectado'!C17</f>
        <v>91568433.088855192</v>
      </c>
      <c r="D8" s="15">
        <f>'Flujo de caja proyectado'!D17</f>
        <v>100725276.39774071</v>
      </c>
      <c r="E8" s="15">
        <f>'Flujo de caja proyectado'!E17</f>
        <v>110797804.03751478</v>
      </c>
      <c r="F8" s="15">
        <f>'Flujo de caja proyectado'!F17</f>
        <v>121877584.44126627</v>
      </c>
      <c r="G8" s="15">
        <f>'Flujo de caja proyectado'!G17</f>
        <v>134065342.88539289</v>
      </c>
    </row>
    <row r="9" spans="1:8" ht="25" customHeight="1" x14ac:dyDescent="0.2">
      <c r="B9" s="18" t="s">
        <v>25</v>
      </c>
      <c r="C9" s="16">
        <f>'Flujo de caja proyectado'!C26</f>
        <v>38000000</v>
      </c>
      <c r="D9" s="16">
        <f>'Flujo de caja proyectado'!D26</f>
        <v>41800000</v>
      </c>
      <c r="E9" s="16">
        <f>'Flujo de caja proyectado'!E26</f>
        <v>45600000</v>
      </c>
      <c r="F9" s="16">
        <f>'Flujo de caja proyectado'!F26</f>
        <v>49400000</v>
      </c>
      <c r="G9" s="16">
        <f>'Flujo de caja proyectado'!G26</f>
        <v>53200000</v>
      </c>
    </row>
    <row r="10" spans="1:8" ht="25" customHeight="1" x14ac:dyDescent="0.2">
      <c r="B10" s="19" t="s">
        <v>26</v>
      </c>
      <c r="C10" s="14">
        <f>C8-C9</f>
        <v>53568433.088855192</v>
      </c>
      <c r="D10" s="14">
        <f>D8-D9</f>
        <v>58925276.397740707</v>
      </c>
      <c r="E10" s="14">
        <f>E8-E9</f>
        <v>65197804.037514776</v>
      </c>
      <c r="F10" s="14">
        <f>F8-F9</f>
        <v>72477584.441266268</v>
      </c>
      <c r="G10" s="14">
        <f>G8-G9</f>
        <v>80865342.885392889</v>
      </c>
    </row>
    <row r="11" spans="1:8" ht="25" customHeight="1" x14ac:dyDescent="0.2">
      <c r="B11" s="18" t="s">
        <v>27</v>
      </c>
      <c r="C11" s="15">
        <f>C8*10%</f>
        <v>9156843.3088855203</v>
      </c>
      <c r="D11" s="15">
        <f t="shared" ref="D11:G11" si="0">D8*10%</f>
        <v>10072527.639774071</v>
      </c>
      <c r="E11" s="15">
        <f t="shared" si="0"/>
        <v>11079780.403751478</v>
      </c>
      <c r="F11" s="15">
        <f t="shared" si="0"/>
        <v>12187758.444126628</v>
      </c>
      <c r="G11" s="15">
        <f t="shared" si="0"/>
        <v>13406534.28853929</v>
      </c>
      <c r="H11" s="11"/>
    </row>
    <row r="12" spans="1:8" ht="25" customHeight="1" x14ac:dyDescent="0.2">
      <c r="B12" s="19" t="s">
        <v>30</v>
      </c>
      <c r="C12" s="14">
        <f>C10-C11</f>
        <v>44411589.77996967</v>
      </c>
      <c r="D12" s="14">
        <f t="shared" ref="D12:G12" si="1">D10-D11</f>
        <v>48852748.757966638</v>
      </c>
      <c r="E12" s="14">
        <f t="shared" si="1"/>
        <v>54118023.633763298</v>
      </c>
      <c r="F12" s="14">
        <f t="shared" si="1"/>
        <v>60289825.99713964</v>
      </c>
      <c r="G12" s="14">
        <f t="shared" si="1"/>
        <v>67458808.596853599</v>
      </c>
    </row>
    <row r="13" spans="1:8" ht="25" customHeight="1" x14ac:dyDescent="0.2">
      <c r="B13" s="18" t="s">
        <v>31</v>
      </c>
      <c r="C13" s="15">
        <f>C8*0.5%</f>
        <v>457842.16544427595</v>
      </c>
      <c r="D13" s="15">
        <f t="shared" ref="D13:G13" si="2">D8*0.5%</f>
        <v>503626.38198870356</v>
      </c>
      <c r="E13" s="15">
        <f t="shared" si="2"/>
        <v>553989.02018757386</v>
      </c>
      <c r="F13" s="15">
        <f t="shared" si="2"/>
        <v>609387.92220633139</v>
      </c>
      <c r="G13" s="15">
        <f t="shared" si="2"/>
        <v>670326.7144269644</v>
      </c>
      <c r="H13" s="11"/>
    </row>
    <row r="14" spans="1:8" ht="25" customHeight="1" x14ac:dyDescent="0.2">
      <c r="B14" s="18" t="s">
        <v>32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8" ht="25" customHeight="1" x14ac:dyDescent="0.2">
      <c r="B15" s="19" t="s">
        <v>33</v>
      </c>
      <c r="C15" s="14">
        <f>C12+C13-C14</f>
        <v>44869431.945413947</v>
      </c>
      <c r="D15" s="14">
        <f t="shared" ref="D15:G15" si="3">D12+D13-D14</f>
        <v>49356375.139955342</v>
      </c>
      <c r="E15" s="14">
        <f t="shared" si="3"/>
        <v>54672012.65395087</v>
      </c>
      <c r="F15" s="14">
        <f t="shared" si="3"/>
        <v>60899213.919345975</v>
      </c>
      <c r="G15" s="14">
        <f t="shared" si="3"/>
        <v>68129135.311280563</v>
      </c>
    </row>
    <row r="16" spans="1:8" ht="25" customHeight="1" x14ac:dyDescent="0.2">
      <c r="B16" s="18" t="s">
        <v>34</v>
      </c>
      <c r="C16" s="16">
        <f>C15*35%</f>
        <v>15704301.18089488</v>
      </c>
      <c r="D16" s="16">
        <f t="shared" ref="D16:G16" si="4">D15*35%</f>
        <v>17274731.298984367</v>
      </c>
      <c r="E16" s="16">
        <f t="shared" si="4"/>
        <v>19135204.428882804</v>
      </c>
      <c r="F16" s="16">
        <f t="shared" si="4"/>
        <v>21314724.87177109</v>
      </c>
      <c r="G16" s="16">
        <f t="shared" si="4"/>
        <v>23845197.358948197</v>
      </c>
    </row>
    <row r="17" spans="2:7" ht="25" customHeight="1" x14ac:dyDescent="0.2">
      <c r="B17" s="19" t="s">
        <v>35</v>
      </c>
      <c r="C17" s="14">
        <f>C15-C16</f>
        <v>29165130.764519066</v>
      </c>
      <c r="D17" s="14">
        <f t="shared" ref="D17:G17" si="5">D15-D16</f>
        <v>32081643.840970974</v>
      </c>
      <c r="E17" s="14">
        <f t="shared" si="5"/>
        <v>35536808.225068063</v>
      </c>
      <c r="F17" s="14">
        <f t="shared" si="5"/>
        <v>39584489.047574885</v>
      </c>
      <c r="G17" s="14">
        <f t="shared" si="5"/>
        <v>44283937.952332363</v>
      </c>
    </row>
    <row r="18" spans="2:7" x14ac:dyDescent="0.2">
      <c r="B18" s="20"/>
      <c r="C18" s="17"/>
      <c r="D18" s="17"/>
      <c r="E18" s="17"/>
      <c r="F18" s="17"/>
    </row>
    <row r="19" spans="2:7" x14ac:dyDescent="0.2">
      <c r="B19" s="13" t="s">
        <v>36</v>
      </c>
      <c r="C19" s="15">
        <f>30000000/4</f>
        <v>7500000</v>
      </c>
      <c r="D19" s="15">
        <f t="shared" ref="D19:G19" si="6">30000000/4</f>
        <v>7500000</v>
      </c>
      <c r="E19" s="15">
        <f t="shared" si="6"/>
        <v>7500000</v>
      </c>
      <c r="F19" s="15">
        <f t="shared" si="6"/>
        <v>7500000</v>
      </c>
      <c r="G19" s="15">
        <f t="shared" si="6"/>
        <v>7500000</v>
      </c>
    </row>
    <row r="20" spans="2:7" x14ac:dyDescent="0.2">
      <c r="B20" s="21" t="s">
        <v>37</v>
      </c>
      <c r="C20" s="15">
        <f>'Inversión inicial'!$D$16/5</f>
        <v>19200000</v>
      </c>
      <c r="D20" s="15">
        <f>'Inversión inicial'!$D$16/5</f>
        <v>19200000</v>
      </c>
      <c r="E20" s="15">
        <f>'Inversión inicial'!$D$16/5</f>
        <v>19200000</v>
      </c>
      <c r="F20" s="15">
        <f>'Inversión inicial'!$D$16/5</f>
        <v>19200000</v>
      </c>
      <c r="G20" s="15">
        <f>'Inversión inicial'!$D$16/5</f>
        <v>19200000</v>
      </c>
    </row>
    <row r="23" spans="2:7" ht="25" customHeight="1" x14ac:dyDescent="0.2">
      <c r="B23" s="96" t="s">
        <v>90</v>
      </c>
      <c r="C23" s="96" t="s">
        <v>12</v>
      </c>
      <c r="D23" s="96" t="s">
        <v>13</v>
      </c>
      <c r="E23" s="96" t="s">
        <v>14</v>
      </c>
      <c r="F23" s="96" t="s">
        <v>15</v>
      </c>
      <c r="G23" s="96" t="s">
        <v>16</v>
      </c>
    </row>
    <row r="24" spans="2:7" ht="25" customHeight="1" x14ac:dyDescent="0.2">
      <c r="B24" s="18" t="s">
        <v>91</v>
      </c>
      <c r="C24" s="98">
        <f>C12+C19+C20</f>
        <v>71111589.779969662</v>
      </c>
      <c r="D24" s="98">
        <f t="shared" ref="D24:G24" si="7">D12+D19+D20</f>
        <v>75552748.757966638</v>
      </c>
      <c r="E24" s="98">
        <f t="shared" si="7"/>
        <v>80818023.633763298</v>
      </c>
      <c r="F24" s="98">
        <f t="shared" si="7"/>
        <v>86989825.997139633</v>
      </c>
      <c r="G24" s="98">
        <f t="shared" si="7"/>
        <v>94158808.596853599</v>
      </c>
    </row>
    <row r="25" spans="2:7" ht="25" customHeight="1" x14ac:dyDescent="0.2">
      <c r="B25" s="18" t="s">
        <v>92</v>
      </c>
      <c r="C25" s="99">
        <f>C24/C8</f>
        <v>0.77659502714177886</v>
      </c>
      <c r="D25" s="99">
        <f t="shared" ref="D25:G25" si="8">D24/D8</f>
        <v>0.7500872815640276</v>
      </c>
      <c r="E25" s="99">
        <f t="shared" si="8"/>
        <v>0.72941900190006748</v>
      </c>
      <c r="F25" s="99">
        <f t="shared" si="8"/>
        <v>0.71374753935216606</v>
      </c>
      <c r="G25" s="99">
        <f t="shared" si="8"/>
        <v>0.70233519394603128</v>
      </c>
    </row>
    <row r="26" spans="2:7" ht="25" customHeight="1" x14ac:dyDescent="0.2">
      <c r="B26" s="18" t="s">
        <v>95</v>
      </c>
      <c r="C26" s="99">
        <f>C10/C8</f>
        <v>0.5850098257865135</v>
      </c>
      <c r="D26" s="99">
        <f t="shared" ref="D26:G26" si="9">D10/D8</f>
        <v>0.5850098257865135</v>
      </c>
      <c r="E26" s="99">
        <f t="shared" si="9"/>
        <v>0.58843949664778195</v>
      </c>
      <c r="F26" s="99">
        <f t="shared" si="9"/>
        <v>0.59467526185008834</v>
      </c>
      <c r="G26" s="99">
        <f t="shared" si="9"/>
        <v>0.60317857803505148</v>
      </c>
    </row>
    <row r="27" spans="2:7" ht="25" customHeight="1" x14ac:dyDescent="0.2">
      <c r="B27" s="18" t="s">
        <v>94</v>
      </c>
      <c r="C27" s="99">
        <f>C12/C8</f>
        <v>0.48500982578651347</v>
      </c>
      <c r="D27" s="99">
        <f t="shared" ref="D27:G27" si="10">D12/D8</f>
        <v>0.48500982578651347</v>
      </c>
      <c r="E27" s="99">
        <f t="shared" si="10"/>
        <v>0.48843949664778191</v>
      </c>
      <c r="F27" s="99">
        <f t="shared" si="10"/>
        <v>0.49467526185008831</v>
      </c>
      <c r="G27" s="99">
        <f t="shared" si="10"/>
        <v>0.5031785780350515</v>
      </c>
    </row>
    <row r="28" spans="2:7" ht="25" customHeight="1" x14ac:dyDescent="0.2">
      <c r="B28" s="18" t="s">
        <v>93</v>
      </c>
      <c r="C28" s="99">
        <f>C17/C8</f>
        <v>0.31850638676123377</v>
      </c>
      <c r="D28" s="99">
        <f t="shared" ref="D28:G28" si="11">D17/D8</f>
        <v>0.31850638676123377</v>
      </c>
      <c r="E28" s="99">
        <f t="shared" si="11"/>
        <v>0.32073567282105819</v>
      </c>
      <c r="F28" s="99">
        <f t="shared" si="11"/>
        <v>0.32478892020255745</v>
      </c>
      <c r="G28" s="99">
        <f t="shared" si="11"/>
        <v>0.33031607572278343</v>
      </c>
    </row>
  </sheetData>
  <mergeCells count="2">
    <mergeCell ref="B2:H3"/>
    <mergeCell ref="B5:G5"/>
  </mergeCells>
  <pageMargins left="0.7" right="0.7" top="0.75" bottom="0.75" header="0.3" footer="0.3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Inversión inicial</vt:lpstr>
      <vt:lpstr>Flujo de caja proyectado</vt:lpstr>
      <vt:lpstr>Indicadores</vt:lpstr>
      <vt:lpstr>Análisis de sensibilidad</vt:lpstr>
      <vt:lpstr>Estado de 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Siachoque</dc:creator>
  <cp:lastModifiedBy>Carolina Siachoque</cp:lastModifiedBy>
  <dcterms:created xsi:type="dcterms:W3CDTF">2025-11-04T02:39:03Z</dcterms:created>
  <dcterms:modified xsi:type="dcterms:W3CDTF">2025-11-06T05:10:18Z</dcterms:modified>
</cp:coreProperties>
</file>