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MaestriaEAN\ProyectoGRADO\Capitulo_Financiero\"/>
    </mc:Choice>
  </mc:AlternateContent>
  <xr:revisionPtr revIDLastSave="0" documentId="13_ncr:1_{44F7F5EF-2997-4204-97C5-27EE7AB7A49F}" xr6:coauthVersionLast="47" xr6:coauthVersionMax="47" xr10:uidLastSave="{00000000-0000-0000-0000-000000000000}"/>
  <bookViews>
    <workbookView xWindow="-110" yWindow="-110" windowWidth="19420" windowHeight="10300" tabRatio="703" activeTab="6" xr2:uid="{00000000-000D-0000-FFFF-FFFF00000000}"/>
  </bookViews>
  <sheets>
    <sheet name="Menú" sheetId="7" r:id="rId1"/>
    <sheet name="1" sheetId="1" r:id="rId2"/>
    <sheet name="2" sheetId="4" r:id="rId3"/>
    <sheet name="3" sheetId="3" r:id="rId4"/>
    <sheet name="4" sheetId="5" r:id="rId5"/>
    <sheet name="5" sheetId="6" r:id="rId6"/>
    <sheet name="Indicadores" sheetId="8" r:id="rId7"/>
    <sheet name="Tasa credito" sheetId="9" r:id="rId8"/>
    <sheet name="Supuestos Financieos" sheetId="10" r:id="rId9"/>
    <sheet name="PPTO Recurso Humano" sheetId="11" r:id="rId10"/>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11" l="1"/>
  <c r="O7" i="11"/>
  <c r="O5" i="11"/>
  <c r="E6" i="11"/>
  <c r="F6" i="11" s="1"/>
  <c r="H6" i="11" s="1"/>
  <c r="E5" i="11"/>
  <c r="F5" i="11" s="1"/>
  <c r="H5" i="11" s="1"/>
  <c r="H7" i="11" s="1"/>
  <c r="E10" i="11"/>
  <c r="F10" i="11" s="1"/>
  <c r="H10" i="11" s="1"/>
  <c r="E9" i="11"/>
  <c r="F9" i="11" s="1"/>
  <c r="H9" i="11" s="1"/>
  <c r="O8" i="11" l="1"/>
  <c r="H11" i="11"/>
  <c r="H12" i="11" s="1"/>
  <c r="C5" i="4" l="1"/>
  <c r="D8" i="8" l="1"/>
  <c r="C28" i="4" l="1"/>
  <c r="C29" i="4"/>
  <c r="C30" i="4" s="1"/>
  <c r="C31" i="4" s="1"/>
  <c r="E21" i="9"/>
  <c r="G2" i="8" l="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C12" i="4"/>
  <c r="D10" i="5" l="1"/>
  <c r="D11" i="3"/>
  <c r="C33" i="6"/>
  <c r="C4" i="3"/>
  <c r="B24" i="5"/>
  <c r="C25" i="5"/>
  <c r="C49" i="5" s="1"/>
  <c r="D12" i="5"/>
  <c r="D9" i="5"/>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E9" i="5" l="1"/>
  <c r="E10" i="5"/>
  <c r="C5" i="5"/>
  <c r="C20" i="5" s="1"/>
  <c r="D7" i="6" s="1"/>
  <c r="E9" i="3"/>
  <c r="H2" i="1"/>
  <c r="I2" i="1" s="1"/>
  <c r="B28" i="4"/>
  <c r="C34" i="6"/>
  <c r="C35" i="6" s="1"/>
  <c r="F33" i="6"/>
  <c r="W12" i="1"/>
  <c r="W11" i="1"/>
  <c r="W10" i="1"/>
  <c r="W7" i="1"/>
  <c r="W6" i="1"/>
  <c r="W5" i="1"/>
  <c r="W3" i="1"/>
  <c r="B26" i="5"/>
  <c r="B48" i="5" s="1"/>
  <c r="B50" i="5" s="1"/>
  <c r="C24" i="5"/>
  <c r="E12" i="5"/>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F9" i="5" l="1"/>
  <c r="F12" i="5"/>
  <c r="F25" i="5" s="1"/>
  <c r="F10" i="5"/>
  <c r="D5" i="5"/>
  <c r="D20" i="5" s="1"/>
  <c r="E7" i="6" s="1"/>
  <c r="E10" i="3"/>
  <c r="C43"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G9" i="5" l="1"/>
  <c r="G12" i="5"/>
  <c r="G10" i="5"/>
  <c r="D43" i="5"/>
  <c r="E5" i="5"/>
  <c r="E20" i="5" s="1"/>
  <c r="F7" i="6" s="1"/>
  <c r="E11" i="3"/>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G25" i="5" l="1"/>
  <c r="G49" i="5" s="1"/>
  <c r="E43" i="5"/>
  <c r="F5" i="5"/>
  <c r="F20" i="5" s="1"/>
  <c r="G7" i="6" s="1"/>
  <c r="E12" i="3"/>
  <c r="G24" i="5"/>
  <c r="F26" i="5"/>
  <c r="D16" i="3"/>
  <c r="N16" i="1"/>
  <c r="O2" i="1"/>
  <c r="O16" i="1" s="1"/>
  <c r="C13" i="5"/>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C34" i="1"/>
  <c r="D7" i="5"/>
  <c r="D8" i="5" s="1"/>
  <c r="D34" i="1"/>
  <c r="E7" i="5"/>
  <c r="E8" i="5" s="1"/>
  <c r="F31" i="1"/>
  <c r="E13" i="3" s="1"/>
  <c r="G26" i="5" l="1"/>
  <c r="G48" i="5" s="1"/>
  <c r="G50" i="5" s="1"/>
  <c r="C55" i="5"/>
  <c r="C56" i="5" s="1"/>
  <c r="C57" i="5" s="1"/>
  <c r="E49" i="6"/>
  <c r="E29" i="6" s="1"/>
  <c r="D10" i="8" s="1"/>
  <c r="F43" i="5"/>
  <c r="J8" i="3"/>
  <c r="B31" i="5" s="1"/>
  <c r="B32" i="5" s="1"/>
  <c r="F33" i="1"/>
  <c r="G7" i="5" s="1"/>
  <c r="F32" i="1"/>
  <c r="G6" i="5" s="1"/>
  <c r="E32" i="1"/>
  <c r="F6" i="5" s="1"/>
  <c r="F8" i="5" s="1"/>
  <c r="F13" i="5" s="1"/>
  <c r="D13" i="5"/>
  <c r="E13" i="5"/>
  <c r="E34" i="6"/>
  <c r="F34" i="6" s="1"/>
  <c r="D34" i="6"/>
  <c r="F25" i="6"/>
  <c r="B34" i="6" s="1"/>
  <c r="B35" i="6" s="1"/>
  <c r="F48" i="5"/>
  <c r="F50" i="5" s="1"/>
  <c r="G5" i="5"/>
  <c r="G20" i="5" s="1"/>
  <c r="H7" i="6" s="1"/>
  <c r="E55" i="5" l="1"/>
  <c r="E56" i="5" s="1"/>
  <c r="E57" i="5" s="1"/>
  <c r="D55" i="5"/>
  <c r="D56" i="5" s="1"/>
  <c r="D57" i="5" s="1"/>
  <c r="B38" i="5"/>
  <c r="B22" i="5" s="1"/>
  <c r="B44" i="5" s="1"/>
  <c r="B46" i="5" s="1"/>
  <c r="B52" i="5" s="1"/>
  <c r="F34" i="1"/>
  <c r="E34" i="1"/>
  <c r="G8" i="5"/>
  <c r="G13" i="5" s="1"/>
  <c r="I9" i="3"/>
  <c r="F9" i="3"/>
  <c r="G9" i="3" s="1"/>
  <c r="C14" i="5" s="1"/>
  <c r="F55" i="5"/>
  <c r="F56" i="5" s="1"/>
  <c r="F57" i="5" s="1"/>
  <c r="I16" i="6"/>
  <c r="I17" i="6"/>
  <c r="I22" i="6"/>
  <c r="I20" i="6"/>
  <c r="I21" i="6"/>
  <c r="I23" i="6"/>
  <c r="I24" i="6"/>
  <c r="I15" i="6"/>
  <c r="I19" i="6"/>
  <c r="I18" i="6"/>
  <c r="G43" i="5"/>
  <c r="C15" i="5" l="1"/>
  <c r="G55" i="5"/>
  <c r="G56" i="5" s="1"/>
  <c r="G57" i="5" s="1"/>
  <c r="B27" i="5"/>
  <c r="B39" i="5" s="1"/>
  <c r="H9" i="3"/>
  <c r="J9" i="3" s="1"/>
  <c r="I10" i="3" s="1"/>
  <c r="E35" i="6"/>
  <c r="F35" i="6" s="1"/>
  <c r="D35" i="6"/>
  <c r="C16" i="5" l="1"/>
  <c r="H52" i="6"/>
  <c r="H53" i="6"/>
  <c r="F10" i="3"/>
  <c r="G10" i="3" s="1"/>
  <c r="D14" i="5" s="1"/>
  <c r="C31" i="5"/>
  <c r="C29" i="5" l="1"/>
  <c r="C17" i="5"/>
  <c r="D15" i="5"/>
  <c r="H10" i="3"/>
  <c r="J10" i="3" s="1"/>
  <c r="D31" i="5" s="1"/>
  <c r="C30" i="5" l="1"/>
  <c r="C32" i="5" s="1"/>
  <c r="C45" i="5"/>
  <c r="D16" i="5"/>
  <c r="C35" i="5"/>
  <c r="C36" i="5" s="1"/>
  <c r="I11" i="3"/>
  <c r="F11" i="3"/>
  <c r="G11" i="3" s="1"/>
  <c r="E14" i="5" s="1"/>
  <c r="E15" i="5" l="1"/>
  <c r="C38" i="5"/>
  <c r="C22" i="5" s="1"/>
  <c r="D29" i="5"/>
  <c r="D17" i="5"/>
  <c r="H11" i="3"/>
  <c r="J11" i="3" s="1"/>
  <c r="I12" i="3" s="1"/>
  <c r="D45" i="5" l="1"/>
  <c r="D30" i="5"/>
  <c r="D32" i="5" s="1"/>
  <c r="D35" i="5"/>
  <c r="D36" i="5" s="1"/>
  <c r="E16" i="5"/>
  <c r="C27" i="5"/>
  <c r="C39" i="5" s="1"/>
  <c r="C44" i="5"/>
  <c r="C46" i="5" s="1"/>
  <c r="C52" i="5" s="1"/>
  <c r="C58" i="5" s="1"/>
  <c r="C59" i="5" s="1"/>
  <c r="D8" i="6" s="1"/>
  <c r="F12" i="3"/>
  <c r="G12" i="3" s="1"/>
  <c r="F14" i="5" s="1"/>
  <c r="E31" i="5"/>
  <c r="F15" i="5" l="1"/>
  <c r="E29" i="5"/>
  <c r="E17" i="5"/>
  <c r="D38" i="5"/>
  <c r="D22" i="5" s="1"/>
  <c r="H12" i="3"/>
  <c r="J12" i="3" s="1"/>
  <c r="F13" i="3" s="1"/>
  <c r="G13" i="3" s="1"/>
  <c r="G14" i="5" s="1"/>
  <c r="E35" i="5" l="1"/>
  <c r="E36" i="5" s="1"/>
  <c r="E30" i="5"/>
  <c r="E32" i="5" s="1"/>
  <c r="E45" i="5"/>
  <c r="G15" i="5"/>
  <c r="F16" i="5"/>
  <c r="D27" i="5"/>
  <c r="D39" i="5" s="1"/>
  <c r="D44" i="5"/>
  <c r="D46" i="5" s="1"/>
  <c r="D52" i="5" s="1"/>
  <c r="D58" i="5" s="1"/>
  <c r="D59" i="5" s="1"/>
  <c r="E8" i="6" s="1"/>
  <c r="F31" i="5"/>
  <c r="I13" i="3"/>
  <c r="H13" i="3" s="1"/>
  <c r="J13" i="3" s="1"/>
  <c r="G31" i="5" s="1"/>
  <c r="E38" i="5" l="1"/>
  <c r="E22" i="5" s="1"/>
  <c r="G16" i="5"/>
  <c r="F17" i="5"/>
  <c r="F29" i="5"/>
  <c r="E27" i="5" l="1"/>
  <c r="E39" i="5" s="1"/>
  <c r="E44" i="5"/>
  <c r="E46" i="5" s="1"/>
  <c r="E52" i="5" s="1"/>
  <c r="E58" i="5" s="1"/>
  <c r="E59" i="5" s="1"/>
  <c r="F8" i="6" s="1"/>
  <c r="F45" i="5"/>
  <c r="F30" i="5"/>
  <c r="F32" i="5" s="1"/>
  <c r="F35" i="5"/>
  <c r="F36" i="5" s="1"/>
  <c r="G17" i="5"/>
  <c r="G29" i="5"/>
  <c r="G35" i="5" l="1"/>
  <c r="G36" i="5" s="1"/>
  <c r="G30" i="5"/>
  <c r="G32" i="5" s="1"/>
  <c r="G45" i="5"/>
  <c r="F38" i="5"/>
  <c r="F22" i="5" s="1"/>
  <c r="G38" i="5" l="1"/>
  <c r="G22" i="5" s="1"/>
  <c r="G27" i="5" s="1"/>
  <c r="G39" i="5" s="1"/>
  <c r="F44" i="5"/>
  <c r="F46" i="5" s="1"/>
  <c r="F52" i="5" s="1"/>
  <c r="F58" i="5" s="1"/>
  <c r="F59" i="5" s="1"/>
  <c r="G8" i="6" s="1"/>
  <c r="G9" i="6" s="1"/>
  <c r="F27" i="5"/>
  <c r="F39" i="5" s="1"/>
  <c r="C9" i="6"/>
  <c r="E9" i="6"/>
  <c r="D9" i="6"/>
  <c r="F9" i="6"/>
  <c r="G44" i="5" l="1"/>
  <c r="G46" i="5" s="1"/>
  <c r="G52" i="5" s="1"/>
  <c r="G58" i="5" s="1"/>
  <c r="G59" i="5" s="1"/>
  <c r="H8" i="6" s="1"/>
  <c r="D11" i="6" s="1"/>
  <c r="D7" i="8" s="1"/>
  <c r="H9" i="6" l="1"/>
  <c r="H11" i="6" s="1"/>
  <c r="D11" i="8" s="1"/>
  <c r="D10" i="6"/>
  <c r="D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182FE96A-7C72-40F9-B26B-538E32EDC7B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8A05C334-64F9-441D-B8AA-496BCFD4F14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10E677AE-9B1B-4731-9168-18B97496BE9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A9212FFC-E916-4628-B002-F34F3974B13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71653168-46A7-4685-972F-71BAC2BEDBA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E396A009-6817-439E-B7E1-CFD07E67533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3E25D866-71DE-44AD-BC91-EAE913D9C97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D2D674BB-0F8D-4064-8E66-FC626F57FB7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41635A23-753E-4EA0-8B57-CB61FBF069C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F00CBB88-99D0-4D96-8141-D8F8C787CCB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6B158870-5C82-4C98-9BFE-A0CFED7E953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E7221FA4-DD8D-4FCF-A36E-294EF7659FB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EC1A83B2-004B-44E8-A976-DE323622994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F1130682-0AE6-4247-83DC-8B8792C5BC4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4DC8BD08-A146-4841-A49E-788EE777110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F9154444-7995-4406-AE07-038774FBF3A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G8" authorId="0" shapeId="0" xr:uid="{C6ECEEE6-6ADE-4843-AFA0-4CF767BB3A3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687E2A2C-5A03-4023-82DD-9B0F7EEA6A0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F33399CD-D01D-47CE-ACA8-D179C0CBB1F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53A63E3A-3690-44C8-B20E-3A71057A376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9" authorId="0" shapeId="0" xr:uid="{8F5E4986-D874-4C95-A4BF-A33D273D450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9" authorId="0" shapeId="0" xr:uid="{EA3F376D-4065-4B48-9B2A-FE7C8808874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9" authorId="0" shapeId="0" xr:uid="{CF0EC38D-7D90-4C1A-A400-A25B1F590D3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9" authorId="0" shapeId="0" xr:uid="{D5FE8F49-E7C0-4647-AB0F-2E1F9FCB6F2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0" authorId="0" shapeId="0" xr:uid="{551BB763-D782-4174-B123-69F5CCA44BF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0" authorId="0" shapeId="0" xr:uid="{976A8294-1899-429D-8C4D-898028BED1D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0" authorId="0" shapeId="0" xr:uid="{A08EEE9B-78E4-4D85-9F9A-1EF64710B0E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0" authorId="0" shapeId="0" xr:uid="{666DF0C2-778C-4CA1-94F2-483E43560E1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11" authorId="0" shapeId="0" xr:uid="{091DDA65-7877-499F-9163-1FABC726697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1" authorId="0" shapeId="0" xr:uid="{4CCC747D-34AB-4F52-BABA-667297CB4E4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1" authorId="0" shapeId="0" xr:uid="{D1141B5B-ACF9-4900-9FAD-83EC9D65F6D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1" authorId="0" shapeId="0" xr:uid="{C6C11DFA-3834-435E-B466-28D5CD26476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<sst xmlns="http://schemas.openxmlformats.org/spreadsheetml/2006/main" count="285" uniqueCount="269">
  <si>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</si>
  <si>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</si>
  <si>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</si>
  <si>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</si>
  <si>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</si>
  <si>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</si>
  <si>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</si>
  <si>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</si>
  <si>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</si>
  <si>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</si>
  <si>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</si>
  <si>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</si>
  <si>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</si>
  <si>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</si>
  <si>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</si>
  <si>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</si>
  <si>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</si>
  <si>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</si>
  <si>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</si>
  <si>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</si>
  <si>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</si>
  <si>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</si>
  <si>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</si>
  <si>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</si>
  <si>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</si>
  <si>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</si>
  <si>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</si>
  <si>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</si>
  <si>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</si>
  <si>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</si>
  <si>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</si>
  <si>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</si>
  <si>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</si>
  <si>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</si>
  <si>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</si>
  <si>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</si>
  <si>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</si>
  <si>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</si>
  <si>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</si>
  <si>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</si>
  <si>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</si>
  <si>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</si>
  <si>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</si>
  <si>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</si>
  <si>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</si>
  <si>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</si>
  <si>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</si>
  <si>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</si>
  <si>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</si>
  <si>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</si>
  <si>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</si>
  <si>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</si>
  <si>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</si>
  <si>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</si>
  <si>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</si>
  <si>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</si>
  <si>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</si>
  <si>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</si>
  <si>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</si>
  <si>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</si>
  <si>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</si>
  <si>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</si>
  <si>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</si>
  <si>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</si>
  <si>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</si>
  <si>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</si>
  <si>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</si>
  <si>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</si>
  <si>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</si>
  <si>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</si>
  <si>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</si>
  <si>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</si>
  <si>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</si>
  <si>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</si>
  <si>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</si>
  <si>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</si>
  <si>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</si>
  <si>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</si>
  <si>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</si>
  <si>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</si>
  <si>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</si>
  <si>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</si>
  <si>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</si>
  <si>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</si>
  <si>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</si>
  <si>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</si>
  <si>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</si>
  <si>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</si>
  <si>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</si>
  <si>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</si>
  <si>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</si>
  <si>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</si>
  <si>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</si>
  <si>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</si>
  <si>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</si>
  <si>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</si>
  <si>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</si>
  <si>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</si>
  <si>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</si>
  <si>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</si>
  <si>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</si>
  <si>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</si>
  <si>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</si>
  <si>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</si>
  <si>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</si>
  <si>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</si>
  <si>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</si>
  <si>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</si>
  <si>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</si>
  <si>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</si>
  <si>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</si>
  <si>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</si>
  <si>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</si>
  <si>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</si>
  <si>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</si>
  <si>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</si>
  <si>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</si>
  <si>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</si>
  <si>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</si>
  <si>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</si>
  <si>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</si>
  <si>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</si>
  <si>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</si>
  <si>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</si>
  <si>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</si>
  <si>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</si>
  <si>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</si>
  <si>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</si>
  <si>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</si>
  <si>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</si>
  <si>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</si>
  <si>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</si>
  <si>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</si>
  <si>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</si>
  <si>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</si>
  <si>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</si>
  <si>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</si>
  <si>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</si>
  <si>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</si>
  <si>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</si>
  <si>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</si>
  <si>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</si>
  <si>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</si>
  <si>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</si>
  <si>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</si>
  <si>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</si>
  <si>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</si>
  <si>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</si>
  <si>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</si>
  <si>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</si>
  <si>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</si>
  <si>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</si>
  <si>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</si>
  <si>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</si>
  <si>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</si>
  <si>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</si>
  <si>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</si>
  <si>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</si>
  <si>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</si>
  <si>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Plan 2</t>
  </si>
  <si>
    <t>Plan 1</t>
  </si>
  <si>
    <t>Plan 7</t>
  </si>
  <si>
    <t>Plan 8</t>
  </si>
  <si>
    <t>Plan 9</t>
  </si>
  <si>
    <t>Plan 3</t>
  </si>
  <si>
    <t>Plan 4</t>
  </si>
  <si>
    <t>Plan 5</t>
  </si>
  <si>
    <t>Plan 6</t>
  </si>
  <si>
    <t>CDT</t>
  </si>
  <si>
    <t>INFLACION</t>
  </si>
  <si>
    <t>MARGEN SECTOR</t>
  </si>
  <si>
    <t>Polizas de seguro extracontractual</t>
  </si>
  <si>
    <t>Capacitaciones</t>
  </si>
  <si>
    <t>Tasa Credito Verde mayor a 20 millones</t>
  </si>
  <si>
    <t>IBR+6,40</t>
  </si>
  <si>
    <t>IBR (EA)</t>
  </si>
  <si>
    <t>Tasa de ocupación promedio</t>
  </si>
  <si>
    <t>Basada en datos históricos de empresas similares y considerando la estacionalidad del turismo en la región.</t>
  </si>
  <si>
    <t>Costo variable por servicio</t>
  </si>
  <si>
    <t>Calculado en base a un análisis detallado de los costos directos asociados a cada servicio (guías, transporte, materiales).</t>
  </si>
  <si>
    <t>Costos fijos mensuales</t>
  </si>
  <si>
    <t>Incluyen alquiler, salarios, servicios públicos, marketing y otros gastos generales.</t>
  </si>
  <si>
    <t>Incremento anual de los costos fijos</t>
  </si>
  <si>
    <t>Considerando la inflación y el crecimiento de la empresa.</t>
  </si>
  <si>
    <t>Tasa de descuento</t>
  </si>
  <si>
    <t>Tasa de impuestos sobre la renta</t>
  </si>
  <si>
    <t>De acuerdo con la legislación fiscal vigente en el país.</t>
  </si>
  <si>
    <t>Inflación anual</t>
  </si>
  <si>
    <t>Capacidad</t>
  </si>
  <si>
    <t>Comisiones Ventas</t>
  </si>
  <si>
    <t>Mantenimientos equipos Reemplazo de herramientas</t>
  </si>
  <si>
    <t>Insumos de Conservación</t>
  </si>
  <si>
    <t xml:space="preserve">Crecimiento en ventas </t>
  </si>
  <si>
    <t>8% primer año y 10% los subsiguientes</t>
  </si>
  <si>
    <t>55% Planes ecologicos
45% Planes de aventura</t>
  </si>
  <si>
    <t>Basado en la investigacion de mercados</t>
  </si>
  <si>
    <t>SUPUESTOS DE PREFERENCIA</t>
  </si>
  <si>
    <t>Basado en la investigacion de mercados. (mensual 4,3%; bimestral3,2%; trimestral 17,2%)</t>
  </si>
  <si>
    <t>Trabaja al 80% de su capacidad teniendo en cuenta que la propuesta encaminada hacia la sostenibilidad incursona en la zona</t>
  </si>
  <si>
    <t>Basado en la investigacion de mercados.Aquellos que no frecuentam seguido el servicio o no acuden a servicios de turismo por experiencias .( No hacen turismo 6,2&amp;; acuden cada semestre 20,4%; acuden 1 vez al año 54,8%)</t>
  </si>
  <si>
    <t>$180.000 y $300.000</t>
  </si>
  <si>
    <t>Tasas del Banco Agrario para credito verde PYME</t>
  </si>
  <si>
    <t>Basada en las proyecciones del Banco Central y metas de gobierno</t>
  </si>
  <si>
    <t>5 años</t>
  </si>
  <si>
    <t>OPERATIVOS</t>
  </si>
  <si>
    <t>6% de las ventas anuales</t>
  </si>
  <si>
    <t>Estableciendo cumplimiento de metas entre el punto de equilibrio y las proyecciones que permiten lograr la tasa esperada y el retorno de inversion</t>
  </si>
  <si>
    <t>Preferencias de Uso (consumidor)</t>
  </si>
  <si>
    <t>Cllientes asiduos al ecoturismo (mensual, bimensual trimestral)</t>
  </si>
  <si>
    <t>Mercado potencial (por desarrollar)</t>
  </si>
  <si>
    <t>Comisiones por ventas (personal planta)</t>
  </si>
  <si>
    <t>Incremento de presupuesto de marketing mix</t>
  </si>
  <si>
    <t>Teniendo en cuenta que el servicio es requerido principalmente los fines de semana</t>
  </si>
  <si>
    <t>Jornada laboral</t>
  </si>
  <si>
    <t>Tiempo parcial flexible de viernes a lunes (8am a 5:00pm)
Turnos de medio tiempo para administrativos de lunes a sabado</t>
  </si>
  <si>
    <t>SUPUESTO</t>
  </si>
  <si>
    <t>ITEM</t>
  </si>
  <si>
    <t>JUSTIFICACION</t>
  </si>
  <si>
    <t>Calculado en base a la estructura de costos estimada y los servicios ofrecidos</t>
  </si>
  <si>
    <t>Teniendo en cuenta estrategia y objetivos de mercados. Esto impulsado por una mayor conciencia ambiental y una creciente demanda de experiencias turísticas auténticas y sostenibles</t>
  </si>
  <si>
    <t>Teniendo en cuenta que el producto es diferenciado, y que existe un alto porcentaje de competencia informal en la zona. Igualmente su propuesta de valor y su estrategia de marketing enfocada, podrá captar una mayor cuota de mercado</t>
  </si>
  <si>
    <t>Calculada considerando el costo de capital de la empresa, la tasa libre de riesgo y una prima por riesgo ajustada al sector y al perfil de riesgo de ECOCAT</t>
  </si>
  <si>
    <t>Costo promedio por o por plan turistico</t>
  </si>
  <si>
    <t>Precio promedio por servicio de pasadia</t>
  </si>
  <si>
    <t>Basado en la investigacion de mercados y el resultado de encuesta de preferencias</t>
  </si>
  <si>
    <t>FINANCIAMIENTO</t>
  </si>
  <si>
    <t>COSTOS</t>
  </si>
  <si>
    <t>Tasa de interes del préstamo</t>
  </si>
  <si>
    <t>Plazo del prestao</t>
  </si>
  <si>
    <t>Costo variable por servicio$120Calculado en base a un análisis detallado de los costos directos asociados a cada servicio (guías, transporte, materiales).</t>
  </si>
  <si>
    <t>-</t>
  </si>
  <si>
    <t>Indicador</t>
  </si>
  <si>
    <t xml:space="preserve">Valor </t>
  </si>
  <si>
    <t>Valor Presente Neto (VPN)</t>
  </si>
  <si>
    <t>TIR</t>
  </si>
  <si>
    <t xml:space="preserve">Tasa de descuento </t>
  </si>
  <si>
    <t>Punto de equilibrio</t>
  </si>
  <si>
    <t>unidades</t>
  </si>
  <si>
    <t>Valor de unidades en punto equilibrio</t>
  </si>
  <si>
    <t>Periodo de recuperacion de la inversión</t>
  </si>
  <si>
    <t>años</t>
  </si>
  <si>
    <t>PENDIENTES DE AJUSTAR</t>
  </si>
  <si>
    <t>Operativos</t>
  </si>
  <si>
    <t>Factor Prestacional</t>
  </si>
  <si>
    <t>MES</t>
  </si>
  <si>
    <t>cantidad</t>
  </si>
  <si>
    <t>Total</t>
  </si>
  <si>
    <t>Guias</t>
  </si>
  <si>
    <t>Administrativo</t>
  </si>
  <si>
    <t>Asesorias en seguridad industrial</t>
  </si>
  <si>
    <t>Profesional contable</t>
  </si>
  <si>
    <t>Comisiones ventas</t>
  </si>
  <si>
    <t>Meses</t>
  </si>
  <si>
    <t>Valor año</t>
  </si>
  <si>
    <t>Cargo</t>
  </si>
  <si>
    <t>Gerente</t>
  </si>
  <si>
    <t>TOTAL NOMINA</t>
  </si>
  <si>
    <t>Subtotal</t>
  </si>
  <si>
    <t xml:space="preserve">Auxiliar de guias </t>
  </si>
  <si>
    <t>Auxiliar de gerencia y ventas</t>
  </si>
  <si>
    <t>Cant.</t>
  </si>
  <si>
    <t xml:space="preserve">Profesional </t>
  </si>
  <si>
    <t>Asesoria mes</t>
  </si>
  <si>
    <t>Personal por Nómina</t>
  </si>
  <si>
    <t>Experto ambiental *</t>
  </si>
  <si>
    <t>*Experto ambiental acompaña planes especializados, los cuales se pagaran aparte en el valor del plan</t>
  </si>
  <si>
    <t>Sueldo*</t>
  </si>
  <si>
    <t>* Personal laborando a tiempo parcial y algunos por turnos</t>
  </si>
  <si>
    <t>Servicios por Outsourcing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</si>
</sst>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 #,##0;[Red]\-&quot;$&quot;\ #,##0"/>
    <numFmt numFmtId="8" formatCode="&quot;$&quot;\ #,##0.00;[Red]\-&quot;$&quot;\ #,##0.00"/>
    <numFmt numFmtId="41" formatCode="_-* #,##0_-;\-* #,##0_-;_-* &quot;-&quot;_-;_-@_-"/>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1" formatCode="0.000%"/>
    <numFmt numFmtId="182" formatCode="#,##0.00_ ;[Red]\-#,##0.00\ "/>
  </numFmts>
  <fonts count="6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8"/>
      <name val="Calibri"/>
      <family val="2"/>
      <scheme val="minor"/>
    </font>
    <font>
      <sz val="10"/>
      <color theme="9" tint="-0.249977111117893"/>
      <name val="Arial"/>
      <family val="2"/>
    </font>
    <font>
      <sz val="11"/>
      <color theme="9" tint="-0.249977111117893"/>
      <name val="Calibri"/>
      <family val="2"/>
      <scheme val="minor"/>
    </font>
    <font>
      <b/>
      <sz val="10"/>
      <color theme="1"/>
      <name val="Arial"/>
      <family val="2"/>
    </font>
    <font>
      <sz val="10"/>
      <color rgb="FFFF0000"/>
      <name val="Arial"/>
      <family val="2"/>
    </font>
    <font>
      <b/>
      <i/>
      <sz val="11"/>
      <color rgb="FF000000"/>
      <name val="Calibri"/>
      <family val="2"/>
      <scheme val="minor"/>
    </font>
    <font>
      <b/>
      <u/>
      <sz val="11"/>
      <color theme="1"/>
      <name val="Calibri"/>
      <family val="2"/>
      <scheme val="minor"/>
    </font>
    <font>
      <i/>
      <sz val="11"/>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14999847407452621"/>
        <bgColor indexed="64"/>
      </patternFill>
    </fill>
  </fills>
  <borders count="42">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right style="thin">
        <color indexed="64"/>
      </right>
      <top/>
      <bottom style="double">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309">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6" fillId="0" borderId="0" xfId="0" applyFont="1" applyProtection="1">
      <protection hidden="1"/>
    </xf>
    <xf numFmtId="171" fontId="0" fillId="0" borderId="0" xfId="0" applyNumberFormat="1" applyProtection="1">
      <protection hidden="1"/>
    </xf>
    <xf numFmtId="0" fontId="9" fillId="0" borderId="0" xfId="0"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9" fontId="0" fillId="0" borderId="0" xfId="2" applyFont="1"/>
    <xf numFmtId="9" fontId="0" fillId="0" borderId="0" xfId="0" applyNumberFormat="1"/>
    <xf numFmtId="181" fontId="0" fillId="0" borderId="0" xfId="2" applyNumberFormat="1" applyFont="1"/>
    <xf numFmtId="181" fontId="0" fillId="0" borderId="0" xfId="0" applyNumberFormat="1"/>
    <xf numFmtId="181" fontId="0" fillId="0" borderId="17" xfId="0" applyNumberFormat="1" applyBorder="1"/>
    <xf numFmtId="0" fontId="0" fillId="0" borderId="0" xfId="0" applyAlignment="1">
      <alignment horizontal="center"/>
    </xf>
    <xf numFmtId="0" fontId="56" fillId="0" borderId="0" xfId="0" applyFont="1"/>
    <xf numFmtId="0" fontId="55" fillId="0" borderId="0" xfId="0" applyFont="1" applyAlignment="1">
      <alignment vertical="center"/>
    </xf>
    <xf numFmtId="0" fontId="0" fillId="7" borderId="0" xfId="0" applyFill="1"/>
    <xf numFmtId="0" fontId="55" fillId="0" borderId="20" xfId="0" applyFont="1" applyBorder="1" applyAlignment="1">
      <alignment vertical="center"/>
    </xf>
    <xf numFmtId="0" fontId="27" fillId="0" borderId="20" xfId="0" applyFont="1" applyBorder="1" applyAlignment="1">
      <alignment vertical="center"/>
    </xf>
    <xf numFmtId="0" fontId="58" fillId="0" borderId="20" xfId="0" applyFont="1" applyBorder="1" applyAlignment="1">
      <alignment vertical="center"/>
    </xf>
    <xf numFmtId="9" fontId="27" fillId="0" borderId="19" xfId="0" applyNumberFormat="1" applyFont="1" applyBorder="1" applyAlignment="1">
      <alignment horizontal="center" vertical="center" wrapText="1"/>
    </xf>
    <xf numFmtId="10" fontId="0" fillId="0" borderId="19" xfId="0" applyNumberFormat="1" applyBorder="1" applyAlignment="1">
      <alignment horizontal="center" vertical="center"/>
    </xf>
    <xf numFmtId="0" fontId="27" fillId="0" borderId="22" xfId="0" applyFont="1" applyBorder="1" applyAlignment="1">
      <alignment horizontal="left" vertical="center" wrapText="1"/>
    </xf>
    <xf numFmtId="0" fontId="27" fillId="0" borderId="23" xfId="0" applyFont="1" applyBorder="1" applyAlignment="1">
      <alignment horizontal="center" wrapText="1"/>
    </xf>
    <xf numFmtId="0" fontId="27" fillId="0" borderId="22" xfId="0" applyFont="1" applyBorder="1" applyAlignment="1">
      <alignment vertical="center" wrapText="1"/>
    </xf>
    <xf numFmtId="0" fontId="27" fillId="0" borderId="26" xfId="0" applyFont="1" applyBorder="1" applyAlignment="1">
      <alignment vertical="center" wrapText="1"/>
    </xf>
    <xf numFmtId="0" fontId="0" fillId="0" borderId="0" xfId="0" applyAlignment="1">
      <alignment vertical="center"/>
    </xf>
    <xf numFmtId="0" fontId="58" fillId="0" borderId="18" xfId="0" applyFont="1" applyBorder="1" applyAlignment="1">
      <alignment vertical="center" wrapText="1"/>
    </xf>
    <xf numFmtId="10" fontId="27" fillId="0" borderId="19" xfId="2" applyNumberFormat="1" applyFont="1" applyBorder="1" applyAlignment="1">
      <alignment horizontal="center" vertical="center" wrapText="1"/>
    </xf>
    <xf numFmtId="6" fontId="20" fillId="8" borderId="19" xfId="0" applyNumberFormat="1" applyFont="1" applyFill="1" applyBorder="1" applyAlignment="1">
      <alignment horizontal="center" vertical="center" wrapText="1"/>
    </xf>
    <xf numFmtId="9" fontId="27" fillId="0" borderId="27" xfId="0" applyNumberFormat="1" applyFont="1" applyBorder="1" applyAlignment="1">
      <alignment horizontal="center" vertical="center" wrapText="1"/>
    </xf>
    <xf numFmtId="0" fontId="0" fillId="0" borderId="0" xfId="0" applyAlignment="1">
      <alignment horizontal="center" vertical="center"/>
    </xf>
    <xf numFmtId="6" fontId="58" fillId="0" borderId="18" xfId="0" applyNumberFormat="1" applyFont="1" applyBorder="1" applyAlignment="1">
      <alignment horizontal="center" vertical="center" wrapText="1"/>
    </xf>
    <xf numFmtId="8" fontId="58" fillId="0" borderId="18" xfId="0" applyNumberFormat="1" applyFont="1" applyBorder="1" applyAlignment="1">
      <alignment horizontal="center" vertical="center" wrapText="1"/>
    </xf>
    <xf numFmtId="0" fontId="24" fillId="9" borderId="29" xfId="0" applyFont="1" applyFill="1" applyBorder="1" applyAlignment="1">
      <alignment horizontal="center" vertical="center" wrapText="1"/>
    </xf>
    <xf numFmtId="0" fontId="24" fillId="9" borderId="15" xfId="0" applyFont="1" applyFill="1" applyBorder="1" applyAlignment="1">
      <alignment horizontal="center" vertical="center" wrapText="1"/>
    </xf>
    <xf numFmtId="0" fontId="24" fillId="9" borderId="16" xfId="0" applyFont="1" applyFill="1" applyBorder="1" applyAlignment="1">
      <alignment horizontal="center" wrapText="1"/>
    </xf>
    <xf numFmtId="0" fontId="27" fillId="0" borderId="23" xfId="0" applyFont="1" applyBorder="1" applyAlignment="1">
      <alignment horizontal="center"/>
    </xf>
    <xf numFmtId="0" fontId="20" fillId="8" borderId="23" xfId="0" applyFont="1" applyFill="1" applyBorder="1" applyAlignment="1">
      <alignment horizontal="center" wrapText="1"/>
    </xf>
    <xf numFmtId="0" fontId="20" fillId="8" borderId="28" xfId="0" applyFont="1" applyFill="1" applyBorder="1" applyAlignment="1">
      <alignment horizontal="center" wrapText="1"/>
    </xf>
    <xf numFmtId="0" fontId="27" fillId="0" borderId="18" xfId="0" applyFont="1" applyBorder="1" applyAlignment="1">
      <alignment horizontal="center"/>
    </xf>
    <xf numFmtId="0" fontId="0" fillId="0" borderId="0" xfId="0" applyAlignment="1">
      <alignment horizontal="center" wrapText="1"/>
    </xf>
    <xf numFmtId="9" fontId="0" fillId="0" borderId="0" xfId="0" applyNumberFormat="1" applyAlignment="1">
      <alignment horizontal="center" vertical="center"/>
    </xf>
    <xf numFmtId="0" fontId="11" fillId="9" borderId="11" xfId="0" applyFont="1" applyFill="1" applyBorder="1" applyProtection="1">
      <protection hidden="1"/>
    </xf>
    <xf numFmtId="0" fontId="9" fillId="9" borderId="3" xfId="0" applyFont="1" applyFill="1" applyBorder="1" applyAlignment="1" applyProtection="1">
      <alignment horizontal="center"/>
      <protection hidden="1"/>
    </xf>
    <xf numFmtId="0" fontId="9" fillId="9" borderId="12" xfId="0" applyFont="1" applyFill="1" applyBorder="1" applyAlignment="1" applyProtection="1">
      <alignment horizontal="center"/>
      <protection hidden="1"/>
    </xf>
    <xf numFmtId="0" fontId="17" fillId="0" borderId="13" xfId="0" applyFont="1" applyBorder="1" applyProtection="1">
      <protection hidden="1"/>
    </xf>
    <xf numFmtId="168" fontId="6" fillId="0" borderId="0" xfId="1" applyNumberFormat="1" applyFont="1" applyBorder="1" applyProtection="1">
      <protection hidden="1"/>
    </xf>
    <xf numFmtId="168" fontId="6" fillId="0" borderId="0" xfId="0" applyNumberFormat="1" applyFont="1" applyProtection="1">
      <protection hidden="1"/>
    </xf>
    <xf numFmtId="168" fontId="6" fillId="0" borderId="14" xfId="0" applyNumberFormat="1" applyFont="1" applyBorder="1" applyProtection="1">
      <protection hidden="1"/>
    </xf>
    <xf numFmtId="168" fontId="6" fillId="0" borderId="14" xfId="1" applyNumberFormat="1" applyFont="1" applyBorder="1" applyProtection="1">
      <protection hidden="1"/>
    </xf>
    <xf numFmtId="0" fontId="16" fillId="0" borderId="11" xfId="0" applyFont="1" applyBorder="1" applyProtection="1">
      <protection hidden="1"/>
    </xf>
    <xf numFmtId="168" fontId="49" fillId="10" borderId="2" xfId="1" applyNumberFormat="1" applyFont="1" applyFill="1" applyBorder="1" applyProtection="1">
      <protection hidden="1"/>
    </xf>
    <xf numFmtId="168" fontId="49" fillId="10" borderId="30" xfId="1" applyNumberFormat="1" applyFont="1" applyFill="1" applyBorder="1" applyProtection="1">
      <protection hidden="1"/>
    </xf>
    <xf numFmtId="0" fontId="5" fillId="0" borderId="9" xfId="0" applyFont="1" applyBorder="1" applyAlignment="1" applyProtection="1">
      <alignment vertical="center"/>
      <protection hidden="1"/>
    </xf>
    <xf numFmtId="0" fontId="45" fillId="0" borderId="9" xfId="0" applyFont="1" applyBorder="1" applyAlignment="1" applyProtection="1">
      <alignment wrapText="1"/>
      <protection hidden="1"/>
    </xf>
    <xf numFmtId="0" fontId="5" fillId="0" borderId="10" xfId="0" applyFont="1" applyBorder="1" applyAlignment="1" applyProtection="1">
      <alignment vertical="center" wrapText="1"/>
      <protection hidden="1"/>
    </xf>
    <xf numFmtId="0" fontId="7" fillId="0" borderId="13" xfId="0" applyFont="1" applyBorder="1" applyAlignment="1" applyProtection="1">
      <alignment horizontal="center"/>
      <protection hidden="1"/>
    </xf>
    <xf numFmtId="0" fontId="6" fillId="0" borderId="0" xfId="0" applyFont="1" applyAlignment="1" applyProtection="1">
      <alignment horizontal="center"/>
      <protection hidden="1"/>
    </xf>
    <xf numFmtId="166" fontId="29" fillId="4" borderId="0" xfId="1" applyFont="1" applyFill="1" applyBorder="1" applyProtection="1">
      <protection locked="0"/>
    </xf>
    <xf numFmtId="169" fontId="6" fillId="0" borderId="14" xfId="1" applyNumberFormat="1" applyFont="1" applyBorder="1" applyProtection="1">
      <protection hidden="1"/>
    </xf>
    <xf numFmtId="0" fontId="0" fillId="0" borderId="3" xfId="0" applyBorder="1" applyProtection="1">
      <protection hidden="1"/>
    </xf>
    <xf numFmtId="169" fontId="7" fillId="5" borderId="12" xfId="0" applyNumberFormat="1" applyFont="1" applyFill="1" applyBorder="1" applyProtection="1">
      <protection hidden="1"/>
    </xf>
    <xf numFmtId="166" fontId="29" fillId="4" borderId="0" xfId="1" applyFont="1" applyFill="1" applyAlignment="1" applyProtection="1">
      <alignment horizontal="center" vertical="center"/>
      <protection locked="0"/>
    </xf>
    <xf numFmtId="0" fontId="2" fillId="5" borderId="31" xfId="0" applyFont="1" applyFill="1" applyBorder="1" applyAlignment="1">
      <alignment horizontal="center"/>
    </xf>
    <xf numFmtId="0" fontId="0" fillId="0" borderId="32" xfId="0" applyBorder="1"/>
    <xf numFmtId="0" fontId="0" fillId="5" borderId="32" xfId="0" applyFill="1" applyBorder="1"/>
    <xf numFmtId="41" fontId="0" fillId="5" borderId="0" xfId="0" applyNumberFormat="1" applyFill="1" applyAlignment="1">
      <alignment horizontal="left" vertical="top"/>
    </xf>
    <xf numFmtId="0" fontId="0" fillId="5" borderId="0" xfId="0" applyFill="1"/>
    <xf numFmtId="0" fontId="0" fillId="5" borderId="36" xfId="0" applyFill="1" applyBorder="1"/>
    <xf numFmtId="2" fontId="0" fillId="5" borderId="7" xfId="0" applyNumberFormat="1" applyFill="1" applyBorder="1" applyAlignment="1">
      <alignment horizontal="right"/>
    </xf>
    <xf numFmtId="0" fontId="0" fillId="5" borderId="7" xfId="0" applyFill="1" applyBorder="1"/>
    <xf numFmtId="0" fontId="57" fillId="0" borderId="0" xfId="0" applyFont="1" applyAlignment="1">
      <alignment horizontal="left" wrapText="1"/>
    </xf>
    <xf numFmtId="0" fontId="27" fillId="0" borderId="0" xfId="0" applyFont="1" applyAlignment="1">
      <alignment vertical="center" wrapText="1"/>
    </xf>
    <xf numFmtId="9" fontId="27" fillId="0" borderId="0" xfId="0" applyNumberFormat="1" applyFont="1" applyAlignment="1">
      <alignment horizontal="center" vertical="center" wrapText="1"/>
    </xf>
    <xf numFmtId="0" fontId="20" fillId="8" borderId="0" xfId="0" applyFont="1" applyFill="1" applyAlignment="1">
      <alignment horizontal="center" wrapText="1"/>
    </xf>
    <xf numFmtId="0" fontId="0" fillId="7" borderId="0" xfId="0" applyFill="1" applyAlignment="1">
      <alignment vertical="center"/>
    </xf>
    <xf numFmtId="0" fontId="0" fillId="0" borderId="0" xfId="0" applyAlignment="1" applyProtection="1">
      <alignment horizontal="center"/>
      <protection hidden="1"/>
    </xf>
    <xf numFmtId="0" fontId="37" fillId="7" borderId="0" xfId="5" applyFont="1" applyFill="1" applyAlignment="1">
      <alignment horizontal="center"/>
    </xf>
    <xf numFmtId="0" fontId="4" fillId="9" borderId="8" xfId="0" applyFont="1" applyFill="1" applyBorder="1" applyAlignment="1" applyProtection="1">
      <alignment horizontal="center"/>
      <protection hidden="1"/>
    </xf>
    <xf numFmtId="0" fontId="4" fillId="9" borderId="9" xfId="0" applyFont="1" applyFill="1" applyBorder="1" applyAlignment="1" applyProtection="1">
      <alignment horizontal="center"/>
      <protection hidden="1"/>
    </xf>
    <xf numFmtId="0" fontId="4" fillId="9" borderId="10" xfId="0" applyFont="1" applyFill="1" applyBorder="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2" fillId="5" borderId="1" xfId="0" applyFont="1" applyFill="1" applyBorder="1" applyAlignment="1">
      <alignment horizontal="center"/>
    </xf>
    <xf numFmtId="8" fontId="0" fillId="0" borderId="33" xfId="0" applyNumberFormat="1" applyBorder="1" applyAlignment="1">
      <alignment horizontal="center"/>
    </xf>
    <xf numFmtId="8" fontId="0" fillId="0" borderId="34" xfId="0" applyNumberFormat="1" applyBorder="1" applyAlignment="1">
      <alignment horizontal="center"/>
    </xf>
    <xf numFmtId="10" fontId="0" fillId="5" borderId="35" xfId="0" applyNumberFormat="1" applyFill="1" applyBorder="1" applyAlignment="1">
      <alignment horizontal="center"/>
    </xf>
    <xf numFmtId="10" fontId="0" fillId="5" borderId="0" xfId="0" applyNumberFormat="1" applyFill="1" applyAlignment="1">
      <alignment horizontal="center"/>
    </xf>
    <xf numFmtId="8" fontId="0" fillId="0" borderId="35" xfId="0" applyNumberFormat="1" applyBorder="1" applyAlignment="1">
      <alignment horizontal="center"/>
    </xf>
    <xf numFmtId="8" fontId="0" fillId="0" borderId="0" xfId="0" applyNumberFormat="1" applyAlignment="1">
      <alignment horizontal="center"/>
    </xf>
    <xf numFmtId="9" fontId="0" fillId="0" borderId="35" xfId="0" applyNumberFormat="1" applyBorder="1" applyAlignment="1">
      <alignment horizontal="center"/>
    </xf>
    <xf numFmtId="9" fontId="0" fillId="0" borderId="0" xfId="0" applyNumberFormat="1" applyAlignment="1">
      <alignment horizontal="center"/>
    </xf>
    <xf numFmtId="0" fontId="57" fillId="0" borderId="24" xfId="0" applyFont="1" applyBorder="1" applyAlignment="1">
      <alignment horizontal="left" wrapText="1"/>
    </xf>
    <xf numFmtId="0" fontId="57" fillId="0" borderId="21" xfId="0" applyFont="1" applyBorder="1" applyAlignment="1">
      <alignment horizontal="left" wrapText="1"/>
    </xf>
    <xf numFmtId="0" fontId="57" fillId="0" borderId="25" xfId="0" applyFont="1" applyBorder="1" applyAlignment="1">
      <alignment horizontal="left" wrapText="1"/>
    </xf>
    <xf numFmtId="0" fontId="27" fillId="0" borderId="23" xfId="0" applyFont="1" applyBorder="1" applyAlignment="1">
      <alignment horizontal="center" wrapText="1"/>
    </xf>
    <xf numFmtId="0" fontId="59" fillId="0" borderId="0" xfId="0" applyFont="1" applyAlignment="1">
      <alignment horizontal="center" vertical="center" readingOrder="1"/>
    </xf>
    <xf numFmtId="0" fontId="2" fillId="0" borderId="0" xfId="0" applyFont="1"/>
    <xf numFmtId="6" fontId="0" fillId="0" borderId="0" xfId="0" applyNumberFormat="1"/>
    <xf numFmtId="0" fontId="0" fillId="0" borderId="0" xfId="0" applyBorder="1"/>
    <xf numFmtId="6" fontId="0" fillId="0" borderId="0" xfId="0" applyNumberFormat="1" applyBorder="1" applyAlignment="1">
      <alignment horizontal="center"/>
    </xf>
    <xf numFmtId="182" fontId="0" fillId="0" borderId="0" xfId="0" applyNumberFormat="1" applyBorder="1" applyAlignment="1">
      <alignment horizontal="center"/>
    </xf>
    <xf numFmtId="0" fontId="2" fillId="0" borderId="0" xfId="0" applyFont="1" applyBorder="1"/>
    <xf numFmtId="0" fontId="0" fillId="0" borderId="0" xfId="0" applyBorder="1" applyAlignment="1">
      <alignment horizontal="center"/>
    </xf>
    <xf numFmtId="6" fontId="0" fillId="0" borderId="14" xfId="0" applyNumberFormat="1" applyBorder="1"/>
    <xf numFmtId="0" fontId="0" fillId="0" borderId="13" xfId="0" applyBorder="1"/>
    <xf numFmtId="6" fontId="0" fillId="0" borderId="0" xfId="0" applyNumberFormat="1" applyBorder="1"/>
    <xf numFmtId="6" fontId="2" fillId="0" borderId="14" xfId="0" applyNumberFormat="1" applyFont="1" applyBorder="1"/>
    <xf numFmtId="0" fontId="0" fillId="0" borderId="11" xfId="0" applyBorder="1"/>
    <xf numFmtId="6" fontId="0" fillId="0" borderId="3" xfId="0" applyNumberFormat="1" applyBorder="1"/>
    <xf numFmtId="0" fontId="0" fillId="0" borderId="3" xfId="0" applyBorder="1" applyAlignment="1">
      <alignment horizontal="center"/>
    </xf>
    <xf numFmtId="6" fontId="2" fillId="0" borderId="3" xfId="0" applyNumberFormat="1" applyFont="1" applyBorder="1"/>
    <xf numFmtId="6" fontId="2" fillId="0" borderId="3" xfId="0" applyNumberFormat="1" applyFont="1" applyBorder="1" applyAlignment="1">
      <alignment horizontal="center"/>
    </xf>
    <xf numFmtId="6" fontId="2" fillId="0" borderId="12" xfId="0" applyNumberFormat="1" applyFont="1" applyBorder="1" applyAlignment="1">
      <alignment horizontal="center"/>
    </xf>
    <xf numFmtId="0" fontId="60" fillId="11" borderId="4" xfId="0" applyFont="1" applyFill="1" applyBorder="1" applyAlignment="1">
      <alignment horizontal="center" vertical="center" wrapText="1"/>
    </xf>
    <xf numFmtId="0" fontId="60" fillId="11" borderId="5" xfId="0" applyFont="1" applyFill="1" applyBorder="1" applyAlignment="1">
      <alignment horizontal="center" vertical="center" wrapText="1"/>
    </xf>
    <xf numFmtId="6" fontId="60" fillId="11" borderId="6" xfId="0" applyNumberFormat="1" applyFont="1" applyFill="1" applyBorder="1" applyAlignment="1">
      <alignment horizontal="center" vertical="center" wrapText="1"/>
    </xf>
    <xf numFmtId="0" fontId="59" fillId="11" borderId="13" xfId="0" applyFont="1" applyFill="1" applyBorder="1" applyAlignment="1">
      <alignment horizontal="center" vertical="center" readingOrder="1"/>
    </xf>
    <xf numFmtId="6" fontId="0" fillId="11" borderId="0" xfId="0" applyNumberFormat="1" applyFill="1" applyBorder="1" applyAlignment="1">
      <alignment horizontal="center"/>
    </xf>
    <xf numFmtId="182" fontId="0" fillId="11" borderId="0" xfId="0" applyNumberFormat="1" applyFill="1" applyBorder="1" applyAlignment="1">
      <alignment horizontal="center"/>
    </xf>
    <xf numFmtId="0" fontId="0" fillId="11" borderId="0" xfId="0" applyFill="1" applyBorder="1"/>
    <xf numFmtId="0" fontId="0" fillId="11" borderId="0" xfId="0" applyFill="1" applyBorder="1" applyAlignment="1">
      <alignment horizontal="center"/>
    </xf>
    <xf numFmtId="6" fontId="0" fillId="11" borderId="14" xfId="0" applyNumberFormat="1" applyFill="1" applyBorder="1"/>
    <xf numFmtId="0" fontId="59" fillId="11" borderId="13" xfId="0" applyFont="1" applyFill="1" applyBorder="1" applyAlignment="1">
      <alignment horizontal="center" vertical="center" wrapText="1" readingOrder="1"/>
    </xf>
    <xf numFmtId="0" fontId="2" fillId="11" borderId="0" xfId="0" applyFont="1" applyFill="1" applyBorder="1" applyAlignment="1">
      <alignment horizontal="center" vertical="center" wrapText="1"/>
    </xf>
    <xf numFmtId="6" fontId="2" fillId="11" borderId="14" xfId="0" applyNumberFormat="1" applyFont="1" applyFill="1" applyBorder="1" applyAlignment="1">
      <alignment horizontal="center" vertical="center" wrapText="1"/>
    </xf>
    <xf numFmtId="0" fontId="0" fillId="0" borderId="13" xfId="0" applyBorder="1" applyAlignment="1">
      <alignment wrapText="1"/>
    </xf>
    <xf numFmtId="6" fontId="2" fillId="0" borderId="0" xfId="0" applyNumberFormat="1" applyFont="1" applyBorder="1" applyAlignment="1">
      <alignment horizontal="center"/>
    </xf>
    <xf numFmtId="6" fontId="2" fillId="0" borderId="0" xfId="0" applyNumberFormat="1" applyFont="1" applyBorder="1"/>
    <xf numFmtId="0" fontId="59" fillId="0" borderId="0" xfId="0" applyFont="1" applyBorder="1" applyAlignment="1">
      <alignment vertical="center" readingOrder="1"/>
    </xf>
    <xf numFmtId="0" fontId="2" fillId="11" borderId="38" xfId="0" applyFont="1" applyFill="1" applyBorder="1" applyAlignment="1">
      <alignment horizontal="center"/>
    </xf>
    <xf numFmtId="0" fontId="2" fillId="11" borderId="40" xfId="0" applyFont="1" applyFill="1" applyBorder="1" applyAlignment="1">
      <alignment horizontal="center"/>
    </xf>
    <xf numFmtId="6" fontId="2" fillId="11" borderId="5" xfId="0" applyNumberFormat="1" applyFont="1" applyFill="1" applyBorder="1" applyAlignment="1">
      <alignment horizontal="center"/>
    </xf>
    <xf numFmtId="182" fontId="2" fillId="11" borderId="5" xfId="0" applyNumberFormat="1" applyFont="1" applyFill="1" applyBorder="1" applyAlignment="1">
      <alignment horizontal="center"/>
    </xf>
    <xf numFmtId="0" fontId="2" fillId="11" borderId="6" xfId="0" applyFont="1" applyFill="1" applyBorder="1" applyAlignment="1">
      <alignment horizontal="center"/>
    </xf>
    <xf numFmtId="0" fontId="0" fillId="11" borderId="11" xfId="0" applyFill="1" applyBorder="1"/>
    <xf numFmtId="0" fontId="0" fillId="11" borderId="3" xfId="0" applyFill="1" applyBorder="1"/>
    <xf numFmtId="0" fontId="2" fillId="11" borderId="3" xfId="0" applyFont="1" applyFill="1" applyBorder="1"/>
    <xf numFmtId="0" fontId="0" fillId="11" borderId="3" xfId="0" applyFill="1" applyBorder="1" applyAlignment="1">
      <alignment horizontal="center"/>
    </xf>
    <xf numFmtId="6" fontId="2" fillId="11" borderId="12" xfId="0" applyNumberFormat="1" applyFont="1" applyFill="1" applyBorder="1"/>
    <xf numFmtId="6" fontId="0" fillId="11" borderId="0" xfId="0" applyNumberFormat="1" applyFill="1" applyBorder="1" applyAlignment="1">
      <alignment horizontal="center" vertical="center"/>
    </xf>
    <xf numFmtId="0" fontId="0" fillId="11" borderId="0" xfId="0" applyFill="1" applyBorder="1" applyAlignment="1">
      <alignment horizontal="center" vertical="center"/>
    </xf>
    <xf numFmtId="6" fontId="0" fillId="11" borderId="14" xfId="0" applyNumberFormat="1" applyFill="1" applyBorder="1" applyAlignment="1">
      <alignment vertical="center"/>
    </xf>
    <xf numFmtId="0" fontId="0" fillId="0" borderId="37" xfId="0" applyBorder="1" applyAlignment="1">
      <alignment horizontal="center" vertical="center"/>
    </xf>
    <xf numFmtId="6" fontId="0" fillId="0" borderId="41" xfId="0" applyNumberFormat="1" applyBorder="1" applyAlignment="1">
      <alignment horizontal="center" vertical="center"/>
    </xf>
    <xf numFmtId="6" fontId="0" fillId="0" borderId="0" xfId="0" applyNumberFormat="1" applyBorder="1" applyAlignment="1">
      <alignment horizontal="center" vertical="center"/>
    </xf>
    <xf numFmtId="0" fontId="59" fillId="0" borderId="0" xfId="0" applyFont="1" applyBorder="1" applyAlignment="1">
      <alignment horizontal="left" readingOrder="1"/>
    </xf>
    <xf numFmtId="6" fontId="0" fillId="0" borderId="14" xfId="0" applyNumberFormat="1" applyFont="1" applyBorder="1"/>
    <xf numFmtId="0" fontId="61" fillId="0" borderId="13" xfId="0" applyFont="1" applyBorder="1"/>
    <xf numFmtId="0" fontId="61" fillId="0" borderId="13" xfId="0" applyFont="1" applyBorder="1" applyAlignment="1">
      <alignment wrapText="1"/>
    </xf>
    <xf numFmtId="0" fontId="61" fillId="0" borderId="0" xfId="0" applyFont="1" applyFill="1" applyBorder="1"/>
    <xf numFmtId="0" fontId="61" fillId="0" borderId="13" xfId="0" applyFont="1" applyBorder="1" applyAlignment="1">
      <alignment horizontal="center"/>
    </xf>
    <xf numFmtId="0" fontId="61" fillId="0" borderId="0" xfId="0" applyFont="1" applyBorder="1"/>
    <xf numFmtId="0" fontId="61" fillId="11" borderId="13" xfId="0" applyFont="1" applyFill="1" applyBorder="1" applyAlignment="1">
      <alignment horizontal="center" vertical="center"/>
    </xf>
    <xf numFmtId="0" fontId="61" fillId="11" borderId="0" xfId="0" applyFont="1" applyFill="1" applyBorder="1" applyAlignment="1">
      <alignment horizontal="left" vertical="center" wrapText="1"/>
    </xf>
    <xf numFmtId="0" fontId="61" fillId="0" borderId="39" xfId="0" applyFont="1" applyBorder="1" applyAlignment="1">
      <alignment horizontal="center" vertical="center"/>
    </xf>
    <xf numFmtId="0" fontId="61" fillId="8" borderId="37" xfId="0" applyFont="1" applyFill="1" applyBorder="1" applyAlignment="1">
      <alignment vertical="center" wrapText="1"/>
    </xf>
    <xf numFmtId="0" fontId="29" fillId="4" borderId="0" xfId="0" applyFont="1" applyFill="1" applyAlignment="1" applyProtection="1">
      <alignment horizontal="center"/>
      <protection locked="0"/>
    </xf>
    <xf numFmtId="0" fontId="5" fillId="0" borderId="9" xfId="0" applyFont="1" applyBorder="1" applyAlignment="1" applyProtection="1">
      <alignment horizontal="center" wrapText="1"/>
      <protection hidden="1"/>
    </xf>
    <xf numFmtId="49" fontId="6" fillId="0" borderId="0" xfId="0" applyNumberFormat="1" applyFont="1" applyAlignment="1" applyProtection="1">
      <alignment horizontal="center"/>
      <protection hidden="1"/>
    </xf>
    <xf numFmtId="0" fontId="0" fillId="0" borderId="3" xfId="0" applyBorder="1" applyAlignment="1" applyProtection="1">
      <alignment horizontal="center"/>
      <protection hidden="1"/>
    </xf>
    <xf numFmtId="168" fontId="6" fillId="0" borderId="0" xfId="1" applyNumberFormat="1" applyFont="1" applyBorder="1" applyAlignment="1" applyProtection="1">
      <alignment horizontal="center"/>
      <protection hidden="1"/>
    </xf>
    <xf numFmtId="168" fontId="49" fillId="10" borderId="2" xfId="1" applyNumberFormat="1" applyFont="1" applyFill="1" applyBorder="1" applyAlignment="1" applyProtection="1">
      <alignment horizontal="center"/>
      <protection hidden="1"/>
    </xf>
    <xf numFmtId="0" fontId="5" fillId="0" borderId="0" xfId="0" applyFont="1" applyAlignment="1" applyProtection="1">
      <alignment horizontal="center" vertical="center" wrapText="1"/>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1062.2548224149818</c:v>
                </c:pt>
                <c:pt idx="2">
                  <c:v>2124.5096448299637</c:v>
                </c:pt>
              </c:numCache>
            </c:numRef>
          </c:cat>
          <c:val>
            <c:numRef>
              <c:f>'5'!$C$33:$C$35</c:f>
              <c:numCache>
                <c:formatCode>_("$"\ * #,##0.00_);_("$"\ * \(#,##0.00\);_("$"\ * "-"??_);_(@_)</c:formatCode>
                <c:ptCount val="3"/>
                <c:pt idx="0">
                  <c:v>159636306</c:v>
                </c:pt>
                <c:pt idx="1">
                  <c:v>159636306</c:v>
                </c:pt>
                <c:pt idx="2">
                  <c:v>159636306</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1062.2548224149818</c:v>
                </c:pt>
                <c:pt idx="2">
                  <c:v>2124.5096448299637</c:v>
                </c:pt>
              </c:numCache>
            </c:numRef>
          </c:cat>
          <c:val>
            <c:numRef>
              <c:f>'5'!$D$33:$D$35</c:f>
              <c:numCache>
                <c:formatCode>_("$"\ * #,##0.00_);_("$"\ * \(#,##0.00\);_("$"\ * "-"??_);_(@_)</c:formatCode>
                <c:ptCount val="3"/>
                <c:pt idx="0" formatCode="General">
                  <c:v>0</c:v>
                </c:pt>
                <c:pt idx="1">
                  <c:v>295574126.26133966</c:v>
                </c:pt>
                <c:pt idx="2">
                  <c:v>591148252.52267933</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1062.2548224149818</c:v>
                </c:pt>
                <c:pt idx="2">
                  <c:v>2124.5096448299637</c:v>
                </c:pt>
              </c:numCache>
            </c:numRef>
          </c:cat>
          <c:val>
            <c:numRef>
              <c:f>'5'!$F$33:$F$35</c:f>
              <c:numCache>
                <c:formatCode>_("$"\ * #,##0.00_);_("$"\ * \(#,##0.00\);_("$"\ * "-"??_);_(@_)</c:formatCode>
                <c:ptCount val="3"/>
                <c:pt idx="0">
                  <c:v>159636306</c:v>
                </c:pt>
                <c:pt idx="1">
                  <c:v>295574126.26133966</c:v>
                </c:pt>
                <c:pt idx="2">
                  <c:v>431511946.52267939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10308</xdr:rowOff>
    </xdr:from>
    <xdr:to>
      <xdr:col>8</xdr:col>
      <xdr:colOff>697189</xdr:colOff>
      <xdr:row>17</xdr:row>
      <xdr:rowOff>26212</xdr:rowOff>
    </xdr:to>
    <xdr:pic>
      <xdr:nvPicPr>
        <xdr:cNvPr id="2" name="Imagen 1">
          <a:extLst>
            <a:ext uri="{FF2B5EF4-FFF2-40B4-BE49-F238E27FC236}">
              <a16:creationId xmlns:a16="http://schemas.microsoft.com/office/drawing/2014/main" id="{AD7E47B7-9C72-328E-D73F-DA2B3A3C67C8}"/>
            </a:ext>
          </a:extLst>
        </xdr:cNvPr>
        <xdr:cNvPicPr>
          <a:picLocks noChangeAspect="1"/>
        </xdr:cNvPicPr>
      </xdr:nvPicPr>
      <xdr:blipFill>
        <a:blip xmlns:r="http://schemas.openxmlformats.org/officeDocument/2006/relationships" r:embed="rId1"/>
        <a:stretch>
          <a:fillRect/>
        </a:stretch>
      </xdr:blipFill>
      <xdr:spPr>
        <a:xfrm>
          <a:off x="0" y="194458"/>
          <a:ext cx="6790014" cy="2959129"/>
        </a:xfrm>
        <a:prstGeom prst="rect">
          <a:avLst/>
        </a:prstGeom>
      </xdr:spPr>
    </xdr:pic>
    <xdr:clientData/>
  </xdr:twoCellAnchor>
  <xdr:twoCellAnchor editAs="oneCell">
    <xdr:from>
      <xdr:col>0</xdr:col>
      <xdr:colOff>61452</xdr:colOff>
      <xdr:row>23</xdr:row>
      <xdr:rowOff>1</xdr:rowOff>
    </xdr:from>
    <xdr:to>
      <xdr:col>16</xdr:col>
      <xdr:colOff>371884</xdr:colOff>
      <xdr:row>53</xdr:row>
      <xdr:rowOff>68113</xdr:rowOff>
    </xdr:to>
    <xdr:pic>
      <xdr:nvPicPr>
        <xdr:cNvPr id="3" name="Imagen 2">
          <a:extLst>
            <a:ext uri="{FF2B5EF4-FFF2-40B4-BE49-F238E27FC236}">
              <a16:creationId xmlns:a16="http://schemas.microsoft.com/office/drawing/2014/main" id="{ECAE4DFA-5257-8DA6-043D-BCF7395E551E}"/>
            </a:ext>
          </a:extLst>
        </xdr:cNvPr>
        <xdr:cNvPicPr>
          <a:picLocks noChangeAspect="1"/>
        </xdr:cNvPicPr>
      </xdr:nvPicPr>
      <xdr:blipFill>
        <a:blip xmlns:r="http://schemas.openxmlformats.org/officeDocument/2006/relationships" r:embed="rId2"/>
        <a:stretch>
          <a:fillRect/>
        </a:stretch>
      </xdr:blipFill>
      <xdr:spPr>
        <a:xfrm>
          <a:off x="61452" y="4240162"/>
          <a:ext cx="12433709" cy="5595582"/>
        </a:xfrm>
        <a:prstGeom prst="rect">
          <a:avLst/>
        </a:prstGeom>
      </xdr:spPr>
    </xdr:pic>
    <xdr:clientData/>
  </xdr:twoCellAnchor>
  <xdr:twoCellAnchor editAs="oneCell">
    <xdr:from>
      <xdr:col>0</xdr:col>
      <xdr:colOff>0</xdr:colOff>
      <xdr:row>54</xdr:row>
      <xdr:rowOff>61452</xdr:rowOff>
    </xdr:from>
    <xdr:to>
      <xdr:col>16</xdr:col>
      <xdr:colOff>450753</xdr:colOff>
      <xdr:row>71</xdr:row>
      <xdr:rowOff>28318</xdr:rowOff>
    </xdr:to>
    <xdr:pic>
      <xdr:nvPicPr>
        <xdr:cNvPr id="4" name="Imagen 3">
          <a:extLst>
            <a:ext uri="{FF2B5EF4-FFF2-40B4-BE49-F238E27FC236}">
              <a16:creationId xmlns:a16="http://schemas.microsoft.com/office/drawing/2014/main" id="{7DAB7A11-94F9-304A-5269-C5647B33E2F9}"/>
            </a:ext>
          </a:extLst>
        </xdr:cNvPr>
        <xdr:cNvPicPr>
          <a:picLocks noChangeAspect="1"/>
        </xdr:cNvPicPr>
      </xdr:nvPicPr>
      <xdr:blipFill>
        <a:blip xmlns:r="http://schemas.openxmlformats.org/officeDocument/2006/relationships" r:embed="rId3"/>
        <a:stretch>
          <a:fillRect/>
        </a:stretch>
      </xdr:blipFill>
      <xdr:spPr>
        <a:xfrm>
          <a:off x="0" y="10016613"/>
          <a:ext cx="12580380" cy="3104074"/>
        </a:xfrm>
        <a:prstGeom prst="rect">
          <a:avLst/>
        </a:prstGeom>
      </xdr:spPr>
    </xdr:pic>
    <xdr:clientData/>
  </xdr:twoCellAnchor>
  <xdr:twoCellAnchor editAs="oneCell">
    <xdr:from>
      <xdr:col>0</xdr:col>
      <xdr:colOff>0</xdr:colOff>
      <xdr:row>70</xdr:row>
      <xdr:rowOff>102420</xdr:rowOff>
    </xdr:from>
    <xdr:to>
      <xdr:col>16</xdr:col>
      <xdr:colOff>345130</xdr:colOff>
      <xdr:row>87</xdr:row>
      <xdr:rowOff>7640</xdr:rowOff>
    </xdr:to>
    <xdr:pic>
      <xdr:nvPicPr>
        <xdr:cNvPr id="5" name="Imagen 4">
          <a:extLst>
            <a:ext uri="{FF2B5EF4-FFF2-40B4-BE49-F238E27FC236}">
              <a16:creationId xmlns:a16="http://schemas.microsoft.com/office/drawing/2014/main" id="{342FBB17-8950-2B6C-0B48-C9E2E568B5B7}"/>
            </a:ext>
          </a:extLst>
        </xdr:cNvPr>
        <xdr:cNvPicPr>
          <a:picLocks noChangeAspect="1"/>
        </xdr:cNvPicPr>
      </xdr:nvPicPr>
      <xdr:blipFill>
        <a:blip xmlns:r="http://schemas.openxmlformats.org/officeDocument/2006/relationships" r:embed="rId4"/>
        <a:stretch>
          <a:fillRect/>
        </a:stretch>
      </xdr:blipFill>
      <xdr:spPr>
        <a:xfrm>
          <a:off x="0" y="13007259"/>
          <a:ext cx="12471582" cy="3036077"/>
        </a:xfrm>
        <a:prstGeom prst="rect">
          <a:avLst/>
        </a:prstGeom>
      </xdr:spPr>
    </xdr:pic>
    <xdr:clientData/>
  </xdr:twoCellAnchor>
  <xdr:twoCellAnchor editAs="oneCell">
    <xdr:from>
      <xdr:col>0</xdr:col>
      <xdr:colOff>122904</xdr:colOff>
      <xdr:row>89</xdr:row>
      <xdr:rowOff>20483</xdr:rowOff>
    </xdr:from>
    <xdr:to>
      <xdr:col>16</xdr:col>
      <xdr:colOff>485259</xdr:colOff>
      <xdr:row>105</xdr:row>
      <xdr:rowOff>93135</xdr:rowOff>
    </xdr:to>
    <xdr:pic>
      <xdr:nvPicPr>
        <xdr:cNvPr id="6" name="Imagen 5">
          <a:extLst>
            <a:ext uri="{FF2B5EF4-FFF2-40B4-BE49-F238E27FC236}">
              <a16:creationId xmlns:a16="http://schemas.microsoft.com/office/drawing/2014/main" id="{19BA7CFC-1207-CA19-4404-3B5AB8F27D42}"/>
            </a:ext>
          </a:extLst>
        </xdr:cNvPr>
        <xdr:cNvPicPr>
          <a:picLocks noChangeAspect="1"/>
        </xdr:cNvPicPr>
      </xdr:nvPicPr>
      <xdr:blipFill>
        <a:blip xmlns:r="http://schemas.openxmlformats.org/officeDocument/2006/relationships" r:embed="rId5"/>
        <a:stretch>
          <a:fillRect/>
        </a:stretch>
      </xdr:blipFill>
      <xdr:spPr>
        <a:xfrm>
          <a:off x="122904" y="16428064"/>
          <a:ext cx="12491982" cy="3022329"/>
        </a:xfrm>
        <a:prstGeom prst="rect">
          <a:avLst/>
        </a:prstGeom>
      </xdr:spPr>
    </xdr:pic>
    <xdr:clientData/>
  </xdr:twoCellAnchor>
  <xdr:twoCellAnchor editAs="oneCell">
    <xdr:from>
      <xdr:col>0</xdr:col>
      <xdr:colOff>0</xdr:colOff>
      <xdr:row>105</xdr:row>
      <xdr:rowOff>81935</xdr:rowOff>
    </xdr:from>
    <xdr:to>
      <xdr:col>16</xdr:col>
      <xdr:colOff>600349</xdr:colOff>
      <xdr:row>121</xdr:row>
      <xdr:rowOff>113789</xdr:rowOff>
    </xdr:to>
    <xdr:pic>
      <xdr:nvPicPr>
        <xdr:cNvPr id="7" name="Imagen 6">
          <a:extLst>
            <a:ext uri="{FF2B5EF4-FFF2-40B4-BE49-F238E27FC236}">
              <a16:creationId xmlns:a16="http://schemas.microsoft.com/office/drawing/2014/main" id="{96A73981-4052-29AA-8EB4-FB04BFE8C505}"/>
            </a:ext>
          </a:extLst>
        </xdr:cNvPr>
        <xdr:cNvPicPr>
          <a:picLocks noChangeAspect="1"/>
        </xdr:cNvPicPr>
      </xdr:nvPicPr>
      <xdr:blipFill>
        <a:blip xmlns:r="http://schemas.openxmlformats.org/officeDocument/2006/relationships" r:embed="rId6"/>
        <a:stretch>
          <a:fillRect/>
        </a:stretch>
      </xdr:blipFill>
      <xdr:spPr>
        <a:xfrm>
          <a:off x="0" y="19439193"/>
          <a:ext cx="12729976" cy="29815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G23" sqref="G23:H23"/>
    </sheetView>
  </sheetViews>
  <sheetFormatPr baseColWidth="10" defaultRowHeight="14.5"/>
  <sheetData>
    <row r="23" spans="7:8" ht="20">
      <c r="G23" s="201" t="s">
        <v>135</v>
      </c>
      <c r="H23" s="201"/>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E11E3-363A-4421-9BC5-F3EADFCF4118}">
  <dimension ref="A2:O22"/>
  <sheetViews>
    <sheetView showGridLines="0" topLeftCell="B1" workbookViewId="0">
      <selection activeCell="H13" sqref="H13"/>
    </sheetView>
  </sheetViews>
  <sheetFormatPr baseColWidth="10" defaultRowHeight="14.5"/>
  <cols>
    <col min="2" max="2" width="26.1796875" customWidth="1"/>
    <col min="6" max="6" width="11.36328125" bestFit="1" customWidth="1"/>
    <col min="7" max="7" width="11.36328125" style="136" bestFit="1" customWidth="1"/>
    <col min="8" max="8" width="11.36328125" bestFit="1" customWidth="1"/>
    <col min="11" max="11" width="26.7265625" customWidth="1"/>
    <col min="12" max="12" width="12.6328125" customWidth="1"/>
    <col min="13" max="13" width="6.54296875" customWidth="1"/>
    <col min="14" max="14" width="8.54296875" customWidth="1"/>
    <col min="15" max="15" width="12.7265625" customWidth="1"/>
  </cols>
  <sheetData>
    <row r="2" spans="1:15" ht="40" customHeight="1" thickBot="1">
      <c r="A2" s="241"/>
      <c r="B2" s="274" t="s">
        <v>263</v>
      </c>
      <c r="D2" s="136"/>
      <c r="E2" s="136"/>
    </row>
    <row r="3" spans="1:15" ht="15.5" customHeight="1" thickBot="1">
      <c r="A3" s="242"/>
      <c r="B3" s="259" t="s">
        <v>254</v>
      </c>
      <c r="C3" s="260" t="s">
        <v>266</v>
      </c>
      <c r="D3" s="260" t="s">
        <v>243</v>
      </c>
      <c r="E3" s="260" t="s">
        <v>244</v>
      </c>
      <c r="F3" s="260" t="s">
        <v>10</v>
      </c>
      <c r="G3" s="260" t="s">
        <v>245</v>
      </c>
      <c r="H3" s="261" t="s">
        <v>246</v>
      </c>
      <c r="J3" s="291" t="s">
        <v>268</v>
      </c>
      <c r="K3" s="244"/>
    </row>
    <row r="4" spans="1:15" ht="15" thickBot="1">
      <c r="A4" s="244"/>
      <c r="B4" s="262" t="s">
        <v>248</v>
      </c>
      <c r="C4" s="263"/>
      <c r="D4" s="264"/>
      <c r="E4" s="263"/>
      <c r="F4" s="265"/>
      <c r="G4" s="266"/>
      <c r="H4" s="267"/>
      <c r="J4" s="275" t="s">
        <v>260</v>
      </c>
      <c r="K4" s="276" t="s">
        <v>261</v>
      </c>
      <c r="L4" s="277" t="s">
        <v>262</v>
      </c>
      <c r="M4" s="278" t="s">
        <v>252</v>
      </c>
      <c r="N4" s="277" t="s">
        <v>245</v>
      </c>
      <c r="O4" s="279" t="s">
        <v>253</v>
      </c>
    </row>
    <row r="5" spans="1:15">
      <c r="A5" s="244"/>
      <c r="B5" s="293" t="s">
        <v>255</v>
      </c>
      <c r="C5" s="245">
        <v>1100000</v>
      </c>
      <c r="D5" s="246">
        <v>1.54</v>
      </c>
      <c r="E5" s="245">
        <f>C5*D5</f>
        <v>1694000</v>
      </c>
      <c r="F5" s="251">
        <f>E5*12</f>
        <v>20328000</v>
      </c>
      <c r="G5" s="248">
        <v>1</v>
      </c>
      <c r="H5" s="292">
        <f>F5*G5</f>
        <v>20328000</v>
      </c>
      <c r="J5" s="296">
        <v>1</v>
      </c>
      <c r="K5" s="297" t="s">
        <v>250</v>
      </c>
      <c r="L5" s="245">
        <v>400000</v>
      </c>
      <c r="M5" s="248">
        <v>12</v>
      </c>
      <c r="N5" s="248">
        <v>1</v>
      </c>
      <c r="O5" s="249">
        <f>L5*M5</f>
        <v>4800000</v>
      </c>
    </row>
    <row r="6" spans="1:15">
      <c r="A6" s="244"/>
      <c r="B6" s="294" t="s">
        <v>259</v>
      </c>
      <c r="C6" s="245">
        <v>600000</v>
      </c>
      <c r="D6" s="246">
        <v>1.54</v>
      </c>
      <c r="E6" s="245">
        <f>C6*D6</f>
        <v>924000</v>
      </c>
      <c r="F6" s="251">
        <f>E6*12</f>
        <v>11088000</v>
      </c>
      <c r="G6" s="248">
        <v>1</v>
      </c>
      <c r="H6" s="292">
        <f>F6*G6</f>
        <v>11088000</v>
      </c>
      <c r="J6" s="298">
        <v>1</v>
      </c>
      <c r="K6" s="299" t="s">
        <v>264</v>
      </c>
      <c r="L6" s="285">
        <v>900000</v>
      </c>
      <c r="M6" s="286">
        <v>12</v>
      </c>
      <c r="N6" s="286">
        <v>1</v>
      </c>
      <c r="O6" s="287">
        <f t="shared" ref="O6:O7" si="0">L6*M6</f>
        <v>10800000</v>
      </c>
    </row>
    <row r="7" spans="1:15" ht="33" customHeight="1">
      <c r="A7" s="244"/>
      <c r="B7" s="271"/>
      <c r="C7" s="245"/>
      <c r="D7" s="246"/>
      <c r="E7" s="245"/>
      <c r="F7" s="251" t="s">
        <v>257</v>
      </c>
      <c r="G7" s="248"/>
      <c r="H7" s="252">
        <f>SUM(H5:H6)</f>
        <v>31416000</v>
      </c>
      <c r="J7" s="300">
        <v>1</v>
      </c>
      <c r="K7" s="301" t="s">
        <v>249</v>
      </c>
      <c r="L7" s="290">
        <v>400000</v>
      </c>
      <c r="M7" s="288">
        <v>12</v>
      </c>
      <c r="N7" s="288">
        <v>1</v>
      </c>
      <c r="O7" s="289">
        <f t="shared" si="0"/>
        <v>4800000</v>
      </c>
    </row>
    <row r="8" spans="1:15" ht="15" thickBot="1">
      <c r="A8" s="247"/>
      <c r="B8" s="268" t="s">
        <v>242</v>
      </c>
      <c r="C8" s="269"/>
      <c r="D8" s="269"/>
      <c r="E8" s="269"/>
      <c r="F8" s="269"/>
      <c r="G8" s="269"/>
      <c r="H8" s="270"/>
      <c r="J8" s="280"/>
      <c r="K8" s="281"/>
      <c r="L8" s="281"/>
      <c r="M8" s="282" t="s">
        <v>246</v>
      </c>
      <c r="N8" s="283"/>
      <c r="O8" s="284">
        <f>SUM(O5:O7)</f>
        <v>20400000</v>
      </c>
    </row>
    <row r="9" spans="1:15">
      <c r="A9" s="244"/>
      <c r="B9" s="293" t="s">
        <v>247</v>
      </c>
      <c r="C9" s="245">
        <v>600000</v>
      </c>
      <c r="D9" s="246">
        <v>1.54</v>
      </c>
      <c r="E9" s="245">
        <f>C9*D9</f>
        <v>924000</v>
      </c>
      <c r="F9" s="251">
        <f>E9*12</f>
        <v>11088000</v>
      </c>
      <c r="G9" s="248">
        <v>3</v>
      </c>
      <c r="H9" s="249">
        <f>F9*G9</f>
        <v>33264000</v>
      </c>
      <c r="J9" t="s">
        <v>265</v>
      </c>
    </row>
    <row r="10" spans="1:15">
      <c r="A10" s="244"/>
      <c r="B10" s="294" t="s">
        <v>258</v>
      </c>
      <c r="C10" s="245">
        <v>300000</v>
      </c>
      <c r="D10" s="246">
        <v>1.54</v>
      </c>
      <c r="E10" s="245">
        <f>C10*D10</f>
        <v>462000</v>
      </c>
      <c r="F10" s="251">
        <f>E10*12</f>
        <v>5544000</v>
      </c>
      <c r="G10" s="248">
        <v>2</v>
      </c>
      <c r="H10" s="249">
        <f>F10*G10</f>
        <v>11088000</v>
      </c>
    </row>
    <row r="11" spans="1:15">
      <c r="A11" s="244"/>
      <c r="B11" s="250"/>
      <c r="C11" s="245"/>
      <c r="D11" s="246"/>
      <c r="E11" s="245"/>
      <c r="F11" s="251" t="s">
        <v>257</v>
      </c>
      <c r="G11" s="248"/>
      <c r="H11" s="252">
        <f>SUM(H9:H10)</f>
        <v>44352000</v>
      </c>
    </row>
    <row r="12" spans="1:15" ht="15" thickBot="1">
      <c r="B12" s="253"/>
      <c r="C12" s="254"/>
      <c r="D12" s="255"/>
      <c r="E12" s="255"/>
      <c r="F12" s="256" t="s">
        <v>256</v>
      </c>
      <c r="G12" s="257"/>
      <c r="H12" s="258">
        <f>H11+H7</f>
        <v>75768000</v>
      </c>
    </row>
    <row r="13" spans="1:15">
      <c r="B13" s="295" t="s">
        <v>267</v>
      </c>
      <c r="C13" s="251"/>
      <c r="D13" s="248"/>
      <c r="E13" s="248"/>
      <c r="F13" s="273"/>
      <c r="G13" s="272"/>
      <c r="H13" s="272"/>
    </row>
    <row r="14" spans="1:15">
      <c r="B14" s="244"/>
      <c r="C14" s="251"/>
      <c r="D14" s="248"/>
      <c r="E14" s="248"/>
      <c r="F14" s="273"/>
      <c r="G14" s="272"/>
      <c r="H14" s="272"/>
    </row>
    <row r="16" spans="1:15">
      <c r="H16" s="243"/>
    </row>
    <row r="22" spans="1:1">
      <c r="A22" t="s">
        <v>251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4"/>
  <sheetViews>
    <sheetView showGridLines="0" zoomScale="73" zoomScaleNormal="80" workbookViewId="0">
      <selection activeCell="B21" sqref="B21"/>
    </sheetView>
  </sheetViews>
  <sheetFormatPr baseColWidth="10" defaultColWidth="11.453125" defaultRowHeight="14.5"/>
  <cols>
    <col min="1" max="1" width="22.54296875" style="8" customWidth="1"/>
    <col min="2" max="2" width="29.26953125" style="200" customWidth="1"/>
    <col min="3" max="3" width="27.453125" style="8" customWidth="1"/>
    <col min="4" max="6" width="26" style="8" bestFit="1" customWidth="1"/>
    <col min="7" max="10" width="9.453125" style="8" bestFit="1" customWidth="1"/>
    <col min="11" max="11" width="4.26953125" style="8" customWidth="1"/>
    <col min="12" max="15" width="11.453125" style="8" hidden="1" customWidth="1"/>
    <col min="16" max="19" width="12" style="8" hidden="1" customWidth="1"/>
    <col min="20" max="24" width="15.54296875" style="8" hidden="1" customWidth="1"/>
    <col min="25" max="25" width="22.1796875" style="8" bestFit="1" customWidth="1"/>
    <col min="26" max="27" width="9.453125" style="8" bestFit="1" customWidth="1"/>
    <col min="28" max="28" width="11.453125" style="8" bestFit="1" customWidth="1"/>
    <col min="29" max="29" width="9.453125" style="8" bestFit="1" customWidth="1"/>
    <col min="30" max="16384" width="11.453125" style="8"/>
  </cols>
  <sheetData>
    <row r="1" spans="1:29" ht="30.75" customHeight="1">
      <c r="A1" s="205" t="s">
        <v>5</v>
      </c>
      <c r="B1" s="205"/>
      <c r="C1" s="205"/>
      <c r="D1" s="205"/>
      <c r="E1" s="205"/>
      <c r="G1" s="206" t="s">
        <v>12</v>
      </c>
      <c r="H1" s="206"/>
      <c r="I1" s="206"/>
      <c r="J1" s="206"/>
      <c r="P1" s="8" t="s">
        <v>16</v>
      </c>
      <c r="Y1" s="14" t="s">
        <v>9</v>
      </c>
      <c r="Z1" s="40">
        <v>2025</v>
      </c>
      <c r="AA1" s="15"/>
    </row>
    <row r="2" spans="1:29" ht="32.25" customHeight="1" thickBot="1">
      <c r="B2" s="308" t="s">
        <v>4</v>
      </c>
      <c r="C2" s="16" t="s">
        <v>0</v>
      </c>
      <c r="D2" s="16" t="s">
        <v>7</v>
      </c>
      <c r="E2" s="308" t="s">
        <v>1</v>
      </c>
      <c r="F2" s="17" t="s">
        <v>27</v>
      </c>
      <c r="G2" s="18">
        <f>'1'!Z1+1</f>
        <v>2026</v>
      </c>
      <c r="H2" s="18">
        <f>G2+1</f>
        <v>2027</v>
      </c>
      <c r="I2" s="18">
        <f t="shared" ref="I2:J2" si="0">H2+1</f>
        <v>2028</v>
      </c>
      <c r="J2" s="18">
        <f t="shared" si="0"/>
        <v>2029</v>
      </c>
      <c r="L2" s="8">
        <f>G2</f>
        <v>2026</v>
      </c>
      <c r="M2" s="8">
        <f>H2</f>
        <v>2027</v>
      </c>
      <c r="N2" s="8">
        <f>M2+1</f>
        <v>2028</v>
      </c>
      <c r="O2" s="8">
        <f>N2+1</f>
        <v>2029</v>
      </c>
      <c r="P2" s="8" t="s">
        <v>13</v>
      </c>
      <c r="Q2" s="8" t="s">
        <v>11</v>
      </c>
      <c r="R2" s="8" t="s">
        <v>23</v>
      </c>
      <c r="S2" s="8" t="s">
        <v>24</v>
      </c>
      <c r="T2" s="8" t="s">
        <v>17</v>
      </c>
      <c r="U2" s="8" t="s">
        <v>18</v>
      </c>
      <c r="V2" s="8" t="s">
        <v>25</v>
      </c>
      <c r="W2" s="8" t="s">
        <v>26</v>
      </c>
      <c r="Y2" s="15"/>
      <c r="Z2" s="15"/>
      <c r="AA2" s="15"/>
    </row>
    <row r="3" spans="1:29" ht="23.5" thickBot="1">
      <c r="A3" s="19">
        <v>1</v>
      </c>
      <c r="B3" s="302" t="s">
        <v>160</v>
      </c>
      <c r="C3" s="46">
        <v>379</v>
      </c>
      <c r="D3" s="13">
        <v>129600</v>
      </c>
      <c r="E3" s="20">
        <f>C3*D3</f>
        <v>49118400</v>
      </c>
      <c r="F3" s="21">
        <f>IF($E$13=0,0,E3/$E$13)</f>
        <v>0.10524477599723853</v>
      </c>
      <c r="G3" s="110">
        <v>0.08</v>
      </c>
      <c r="H3" s="110">
        <v>0.1</v>
      </c>
      <c r="I3" s="110">
        <v>0.1</v>
      </c>
      <c r="J3" s="110">
        <v>0.1</v>
      </c>
      <c r="K3" s="22"/>
      <c r="L3" s="8">
        <f t="shared" ref="L3:L12" si="1">C3*(1+G3)</f>
        <v>409.32000000000005</v>
      </c>
      <c r="M3" s="8">
        <f>L3*(1+H3)</f>
        <v>450.25200000000007</v>
      </c>
      <c r="N3" s="8">
        <f t="shared" ref="N3:O3" si="2">M3*(1+I3)</f>
        <v>495.27720000000011</v>
      </c>
      <c r="O3" s="8">
        <f t="shared" si="2"/>
        <v>544.80492000000015</v>
      </c>
      <c r="P3" s="23">
        <f>D3*(1+'1'!$Z$4)</f>
        <v>138672</v>
      </c>
      <c r="Q3" s="23">
        <f>P3*(1+'1'!$AA$4)</f>
        <v>148379.04</v>
      </c>
      <c r="R3" s="23">
        <f>Q3*(1+'1'!$AB$4)</f>
        <v>158765.57280000002</v>
      </c>
      <c r="S3" s="23">
        <f>R3*(1+'1'!$AC$4)</f>
        <v>166703.85144000003</v>
      </c>
      <c r="T3" s="24">
        <f>L3*P3</f>
        <v>56761223.040000007</v>
      </c>
      <c r="U3" s="24">
        <f>M3*Q3</f>
        <v>66807959.518080011</v>
      </c>
      <c r="V3" s="24">
        <f>N3*R3</f>
        <v>78632968.352780193</v>
      </c>
      <c r="W3" s="24">
        <f>O3*S3</f>
        <v>90821078.447461128</v>
      </c>
      <c r="X3" s="24"/>
      <c r="Y3" s="25" t="s">
        <v>10</v>
      </c>
      <c r="Z3" s="26">
        <f>G2</f>
        <v>2026</v>
      </c>
      <c r="AA3" s="26">
        <f>Z3+1</f>
        <v>2027</v>
      </c>
      <c r="AB3" s="26">
        <f t="shared" ref="AB3:AC3" si="3">AA3+1</f>
        <v>2028</v>
      </c>
      <c r="AC3" s="27">
        <f t="shared" si="3"/>
        <v>2029</v>
      </c>
    </row>
    <row r="4" spans="1:29" ht="23">
      <c r="A4" s="19">
        <f>A3+1</f>
        <v>2</v>
      </c>
      <c r="B4" s="302" t="s">
        <v>159</v>
      </c>
      <c r="C4" s="46">
        <v>663</v>
      </c>
      <c r="D4" s="13">
        <v>153900</v>
      </c>
      <c r="E4" s="20">
        <f t="shared" ref="E4:E12" si="4">C4*D4</f>
        <v>102035700</v>
      </c>
      <c r="F4" s="21">
        <f t="shared" ref="F4:F12" si="5">IF($E$13=0,0,E4/$E$13)</f>
        <v>0.21862936069215264</v>
      </c>
      <c r="G4" s="110">
        <v>0.08</v>
      </c>
      <c r="H4" s="110">
        <v>0.1</v>
      </c>
      <c r="I4" s="110">
        <v>0.1</v>
      </c>
      <c r="J4" s="110">
        <v>0.1</v>
      </c>
      <c r="K4" s="22"/>
      <c r="L4" s="8">
        <f t="shared" si="1"/>
        <v>716.04000000000008</v>
      </c>
      <c r="M4" s="8">
        <f t="shared" ref="M4:M12" si="6">L4*(1+H4)</f>
        <v>787.64400000000012</v>
      </c>
      <c r="N4" s="8">
        <f t="shared" ref="N4:N12" si="7">M4*(1+I4)</f>
        <v>866.40840000000026</v>
      </c>
      <c r="O4" s="8">
        <f t="shared" ref="O4:O12" si="8">N4*(1+J4)</f>
        <v>953.0492400000004</v>
      </c>
      <c r="P4" s="23">
        <f>D4*(1+'1'!$Z$4)</f>
        <v>164673</v>
      </c>
      <c r="Q4" s="23">
        <f>P4*(1+'1'!$AA$4)</f>
        <v>176200.11000000002</v>
      </c>
      <c r="R4" s="23">
        <f>Q4*(1+'1'!$AB$4)</f>
        <v>188534.11770000003</v>
      </c>
      <c r="S4" s="23">
        <f>R4*(1+'1'!$AC$4)</f>
        <v>197960.82358500003</v>
      </c>
      <c r="T4" s="24">
        <f t="shared" ref="T4:T12" si="9">L4*P4</f>
        <v>117912454.92000002</v>
      </c>
      <c r="U4" s="24">
        <f t="shared" ref="U4:U12" si="10">M4*Q4</f>
        <v>138782959.44084004</v>
      </c>
      <c r="V4" s="24">
        <f t="shared" ref="V4:V12" si="11">N4*R4</f>
        <v>163347543.26186875</v>
      </c>
      <c r="W4" s="24">
        <f t="shared" ref="W4:W12" si="12">O4*S4</f>
        <v>188666412.46745843</v>
      </c>
      <c r="X4" s="24"/>
      <c r="Y4" s="111" t="s">
        <v>14</v>
      </c>
      <c r="Z4" s="41">
        <v>7.0000000000000007E-2</v>
      </c>
      <c r="AA4" s="41">
        <v>7.0000000000000007E-2</v>
      </c>
      <c r="AB4" s="41">
        <v>7.0000000000000007E-2</v>
      </c>
      <c r="AC4" s="42">
        <v>0.05</v>
      </c>
    </row>
    <row r="5" spans="1:29" ht="23.5" thickBot="1">
      <c r="A5" s="19">
        <f t="shared" ref="A5:A12" si="13">A4+1</f>
        <v>3</v>
      </c>
      <c r="B5" s="302" t="s">
        <v>164</v>
      </c>
      <c r="C5" s="46">
        <v>568</v>
      </c>
      <c r="D5" s="13">
        <v>153900</v>
      </c>
      <c r="E5" s="20">
        <f t="shared" si="4"/>
        <v>87415200</v>
      </c>
      <c r="F5" s="21">
        <f t="shared" si="5"/>
        <v>0.18730237839086381</v>
      </c>
      <c r="G5" s="110">
        <v>0.08</v>
      </c>
      <c r="H5" s="110">
        <v>0.1</v>
      </c>
      <c r="I5" s="110">
        <v>0.1</v>
      </c>
      <c r="J5" s="110">
        <v>0.1</v>
      </c>
      <c r="K5" s="22"/>
      <c r="L5" s="8">
        <f t="shared" si="1"/>
        <v>613.44000000000005</v>
      </c>
      <c r="M5" s="8">
        <f t="shared" si="6"/>
        <v>674.78400000000011</v>
      </c>
      <c r="N5" s="8">
        <f t="shared" si="7"/>
        <v>742.26240000000018</v>
      </c>
      <c r="O5" s="8">
        <f t="shared" si="8"/>
        <v>816.48864000000026</v>
      </c>
      <c r="P5" s="23">
        <f>D5*(1+'1'!$Z$4)</f>
        <v>164673</v>
      </c>
      <c r="Q5" s="23">
        <f>P5*(1+'1'!$AA$4)</f>
        <v>176200.11000000002</v>
      </c>
      <c r="R5" s="23">
        <f>Q5*(1+'1'!$AB$4)</f>
        <v>188534.11770000003</v>
      </c>
      <c r="S5" s="23">
        <f>R5*(1+'1'!$AC$4)</f>
        <v>197960.82358500003</v>
      </c>
      <c r="T5" s="24">
        <f t="shared" si="9"/>
        <v>101017005.12</v>
      </c>
      <c r="U5" s="24">
        <f t="shared" si="10"/>
        <v>118897015.02624004</v>
      </c>
      <c r="V5" s="24">
        <f t="shared" si="11"/>
        <v>139941786.68588454</v>
      </c>
      <c r="W5" s="24">
        <f t="shared" si="12"/>
        <v>161632763.62219664</v>
      </c>
      <c r="X5" s="24"/>
      <c r="Y5" s="112" t="s">
        <v>15</v>
      </c>
      <c r="Z5" s="43">
        <v>0.05</v>
      </c>
      <c r="AA5" s="43">
        <v>0.05</v>
      </c>
      <c r="AB5" s="43">
        <v>0.05</v>
      </c>
      <c r="AC5" s="44">
        <v>0.04</v>
      </c>
    </row>
    <row r="6" spans="1:29" ht="15" thickBot="1">
      <c r="A6" s="19">
        <f t="shared" si="13"/>
        <v>4</v>
      </c>
      <c r="B6" s="302" t="s">
        <v>165</v>
      </c>
      <c r="C6" s="46">
        <v>284</v>
      </c>
      <c r="D6" s="13">
        <v>210600</v>
      </c>
      <c r="E6" s="20">
        <f t="shared" si="4"/>
        <v>59810400</v>
      </c>
      <c r="F6" s="21">
        <f t="shared" si="5"/>
        <v>0.12815425889901208</v>
      </c>
      <c r="G6" s="110">
        <v>0.08</v>
      </c>
      <c r="H6" s="110">
        <v>0.1</v>
      </c>
      <c r="I6" s="110">
        <v>0.1</v>
      </c>
      <c r="J6" s="110">
        <v>0.1</v>
      </c>
      <c r="K6" s="22"/>
      <c r="L6" s="8">
        <f t="shared" si="1"/>
        <v>306.72000000000003</v>
      </c>
      <c r="M6" s="8">
        <f t="shared" si="6"/>
        <v>337.39200000000005</v>
      </c>
      <c r="N6" s="8">
        <f t="shared" si="7"/>
        <v>371.13120000000009</v>
      </c>
      <c r="O6" s="8">
        <f t="shared" si="8"/>
        <v>408.24432000000013</v>
      </c>
      <c r="P6" s="23">
        <f>D6*(1+'1'!$Z$4)</f>
        <v>225342</v>
      </c>
      <c r="Q6" s="23">
        <f>P6*(1+'1'!$AA$4)</f>
        <v>241115.94</v>
      </c>
      <c r="R6" s="23">
        <f>Q6*(1+'1'!$AB$4)</f>
        <v>257994.05580000003</v>
      </c>
      <c r="S6" s="23">
        <f>R6*(1+'1'!$AC$4)</f>
        <v>270893.75859000004</v>
      </c>
      <c r="T6" s="24">
        <f t="shared" si="9"/>
        <v>69116898.24000001</v>
      </c>
      <c r="U6" s="24">
        <f t="shared" si="10"/>
        <v>81350589.228480011</v>
      </c>
      <c r="V6" s="24">
        <f t="shared" si="11"/>
        <v>95749643.521920994</v>
      </c>
      <c r="W6" s="24">
        <f t="shared" si="12"/>
        <v>110590838.26781876</v>
      </c>
      <c r="X6" s="24"/>
    </row>
    <row r="7" spans="1:29" ht="23.5" thickBot="1">
      <c r="A7" s="19">
        <f t="shared" si="13"/>
        <v>5</v>
      </c>
      <c r="B7" s="302" t="s">
        <v>166</v>
      </c>
      <c r="C7" s="46">
        <v>134</v>
      </c>
      <c r="D7" s="13">
        <v>324000</v>
      </c>
      <c r="E7" s="20">
        <f t="shared" si="4"/>
        <v>43416000</v>
      </c>
      <c r="F7" s="21">
        <f t="shared" si="5"/>
        <v>9.3026385116292618E-2</v>
      </c>
      <c r="G7" s="110">
        <v>0.08</v>
      </c>
      <c r="H7" s="110">
        <v>0.1</v>
      </c>
      <c r="I7" s="110">
        <v>0.1</v>
      </c>
      <c r="J7" s="110">
        <v>0.1</v>
      </c>
      <c r="K7" s="22"/>
      <c r="L7" s="8">
        <f t="shared" si="1"/>
        <v>144.72</v>
      </c>
      <c r="M7" s="8">
        <f t="shared" si="6"/>
        <v>159.19200000000001</v>
      </c>
      <c r="N7" s="8">
        <f t="shared" si="7"/>
        <v>175.11120000000003</v>
      </c>
      <c r="O7" s="8">
        <f t="shared" si="8"/>
        <v>192.62232000000003</v>
      </c>
      <c r="P7" s="23">
        <f>D7*(1+'1'!$Z$4)</f>
        <v>346680</v>
      </c>
      <c r="Q7" s="23">
        <f>P7*(1+'1'!$AA$4)</f>
        <v>370947.60000000003</v>
      </c>
      <c r="R7" s="23">
        <f>Q7*(1+'1'!$AB$4)</f>
        <v>396913.93200000009</v>
      </c>
      <c r="S7" s="23">
        <f>R7*(1+'1'!$AC$4)</f>
        <v>416759.62860000011</v>
      </c>
      <c r="T7" s="24">
        <f t="shared" si="9"/>
        <v>50171529.600000001</v>
      </c>
      <c r="U7" s="24">
        <f t="shared" si="10"/>
        <v>59051890.339200005</v>
      </c>
      <c r="V7" s="24">
        <f t="shared" si="11"/>
        <v>69504074.929238424</v>
      </c>
      <c r="W7" s="24">
        <f t="shared" si="12"/>
        <v>80277206.543270379</v>
      </c>
      <c r="X7" s="24"/>
      <c r="Y7" s="28" t="s">
        <v>91</v>
      </c>
      <c r="Z7" s="29"/>
      <c r="AA7" s="29"/>
      <c r="AB7" s="45">
        <v>0.34</v>
      </c>
      <c r="AC7" s="30"/>
    </row>
    <row r="8" spans="1:29">
      <c r="A8" s="19">
        <f t="shared" si="13"/>
        <v>6</v>
      </c>
      <c r="B8" s="302" t="s">
        <v>167</v>
      </c>
      <c r="C8" s="46">
        <v>115</v>
      </c>
      <c r="D8" s="13">
        <v>388800</v>
      </c>
      <c r="E8" s="20">
        <f t="shared" si="4"/>
        <v>44712000</v>
      </c>
      <c r="F8" s="21">
        <f t="shared" si="5"/>
        <v>9.5803292134689425E-2</v>
      </c>
      <c r="G8" s="110">
        <v>0.08</v>
      </c>
      <c r="H8" s="110">
        <v>0.1</v>
      </c>
      <c r="I8" s="110">
        <v>0.1</v>
      </c>
      <c r="J8" s="110">
        <v>0.1</v>
      </c>
      <c r="K8" s="22"/>
      <c r="L8" s="8">
        <f t="shared" si="1"/>
        <v>124.2</v>
      </c>
      <c r="M8" s="8">
        <f t="shared" si="6"/>
        <v>136.62</v>
      </c>
      <c r="N8" s="8">
        <f t="shared" si="7"/>
        <v>150.28200000000001</v>
      </c>
      <c r="O8" s="8">
        <f t="shared" si="8"/>
        <v>165.31020000000004</v>
      </c>
      <c r="P8" s="23">
        <f>D8*(1+'1'!$Z$4)</f>
        <v>416016</v>
      </c>
      <c r="Q8" s="23">
        <f>P8*(1+'1'!$AA$4)</f>
        <v>445137.12000000005</v>
      </c>
      <c r="R8" s="23">
        <f>Q8*(1+'1'!$AB$4)</f>
        <v>476296.71840000007</v>
      </c>
      <c r="S8" s="23">
        <f>R8*(1+'1'!$AC$4)</f>
        <v>500111.55432000011</v>
      </c>
      <c r="T8" s="24">
        <f t="shared" si="9"/>
        <v>51669187.200000003</v>
      </c>
      <c r="U8" s="24">
        <f t="shared" si="10"/>
        <v>60814633.334400006</v>
      </c>
      <c r="V8" s="24">
        <f t="shared" si="11"/>
        <v>71578823.43458882</v>
      </c>
      <c r="W8" s="24">
        <f t="shared" si="12"/>
        <v>82673541.066950098</v>
      </c>
      <c r="X8" s="24"/>
    </row>
    <row r="9" spans="1:29">
      <c r="A9" s="19">
        <f t="shared" si="13"/>
        <v>7</v>
      </c>
      <c r="B9" s="302" t="s">
        <v>161</v>
      </c>
      <c r="C9" s="46">
        <v>77</v>
      </c>
      <c r="D9" s="13">
        <v>486000</v>
      </c>
      <c r="E9" s="20">
        <f t="shared" si="4"/>
        <v>37422000</v>
      </c>
      <c r="F9" s="21">
        <f t="shared" si="5"/>
        <v>8.0183190156207451E-2</v>
      </c>
      <c r="G9" s="110">
        <v>0.08</v>
      </c>
      <c r="H9" s="110">
        <v>0.1</v>
      </c>
      <c r="I9" s="110">
        <v>0.1</v>
      </c>
      <c r="J9" s="110">
        <v>0.1</v>
      </c>
      <c r="K9" s="22"/>
      <c r="L9" s="8">
        <f t="shared" si="1"/>
        <v>83.160000000000011</v>
      </c>
      <c r="M9" s="8">
        <f t="shared" si="6"/>
        <v>91.476000000000013</v>
      </c>
      <c r="N9" s="8">
        <f t="shared" si="7"/>
        <v>100.62360000000002</v>
      </c>
      <c r="O9" s="8">
        <f t="shared" si="8"/>
        <v>110.68596000000004</v>
      </c>
      <c r="P9" s="23">
        <f>D9*(1+'1'!$Z$4)</f>
        <v>520020.00000000006</v>
      </c>
      <c r="Q9" s="23">
        <f>P9*(1+'1'!$AA$4)</f>
        <v>556421.40000000014</v>
      </c>
      <c r="R9" s="23">
        <f>Q9*(1+'1'!$AB$4)</f>
        <v>595370.89800000016</v>
      </c>
      <c r="S9" s="23">
        <f>R9*(1+'1'!$AC$4)</f>
        <v>625139.44290000014</v>
      </c>
      <c r="T9" s="24">
        <f t="shared" si="9"/>
        <v>43244863.20000001</v>
      </c>
      <c r="U9" s="24">
        <f t="shared" si="10"/>
        <v>50899203.986400023</v>
      </c>
      <c r="V9" s="24">
        <f t="shared" si="11"/>
        <v>59908363.091992833</v>
      </c>
      <c r="W9" s="24">
        <f t="shared" si="12"/>
        <v>69194159.371251717</v>
      </c>
      <c r="X9" s="24"/>
    </row>
    <row r="10" spans="1:29">
      <c r="A10" s="19">
        <f t="shared" si="13"/>
        <v>8</v>
      </c>
      <c r="B10" s="302" t="s">
        <v>162</v>
      </c>
      <c r="C10" s="46">
        <v>19</v>
      </c>
      <c r="D10" s="13">
        <v>761000</v>
      </c>
      <c r="E10" s="20">
        <f t="shared" si="4"/>
        <v>14459000</v>
      </c>
      <c r="F10" s="21">
        <f t="shared" si="5"/>
        <v>3.0980940261573501E-2</v>
      </c>
      <c r="G10" s="110">
        <v>0.08</v>
      </c>
      <c r="H10" s="110">
        <v>0.1</v>
      </c>
      <c r="I10" s="110">
        <v>0.1</v>
      </c>
      <c r="J10" s="110">
        <v>0.1</v>
      </c>
      <c r="K10" s="22"/>
      <c r="L10" s="8">
        <f t="shared" si="1"/>
        <v>20.520000000000003</v>
      </c>
      <c r="M10" s="8">
        <f t="shared" si="6"/>
        <v>22.572000000000006</v>
      </c>
      <c r="N10" s="8">
        <f t="shared" si="7"/>
        <v>24.829200000000007</v>
      </c>
      <c r="O10" s="8">
        <f t="shared" si="8"/>
        <v>27.312120000000011</v>
      </c>
      <c r="P10" s="23">
        <f>D10*(1+'1'!$Z$4)</f>
        <v>814270</v>
      </c>
      <c r="Q10" s="23">
        <f>P10*(1+'1'!$AA$4)</f>
        <v>871268.9</v>
      </c>
      <c r="R10" s="23">
        <f>Q10*(1+'1'!$AB$4)</f>
        <v>932257.72300000011</v>
      </c>
      <c r="S10" s="23">
        <f>R10*(1+'1'!$AC$4)</f>
        <v>978870.60915000015</v>
      </c>
      <c r="T10" s="24">
        <f t="shared" si="9"/>
        <v>16708820.400000002</v>
      </c>
      <c r="U10" s="24">
        <f t="shared" si="10"/>
        <v>19666281.610800005</v>
      </c>
      <c r="V10" s="24">
        <f t="shared" si="11"/>
        <v>23147213.45591161</v>
      </c>
      <c r="W10" s="24">
        <f t="shared" si="12"/>
        <v>26735031.541577913</v>
      </c>
      <c r="X10" s="24"/>
    </row>
    <row r="11" spans="1:29">
      <c r="A11" s="19">
        <f t="shared" si="13"/>
        <v>9</v>
      </c>
      <c r="B11" s="302" t="s">
        <v>163</v>
      </c>
      <c r="C11" s="46">
        <v>38</v>
      </c>
      <c r="D11" s="13">
        <v>745200</v>
      </c>
      <c r="E11" s="20">
        <f t="shared" si="4"/>
        <v>28317600</v>
      </c>
      <c r="F11" s="21">
        <f t="shared" si="5"/>
        <v>6.0675418351969962E-2</v>
      </c>
      <c r="G11" s="110">
        <v>0.08</v>
      </c>
      <c r="H11" s="110">
        <v>0.1</v>
      </c>
      <c r="I11" s="110">
        <v>0.1</v>
      </c>
      <c r="J11" s="110">
        <v>0.1</v>
      </c>
      <c r="K11" s="22"/>
      <c r="L11" s="8">
        <f t="shared" si="1"/>
        <v>41.040000000000006</v>
      </c>
      <c r="M11" s="8">
        <f t="shared" si="6"/>
        <v>45.144000000000013</v>
      </c>
      <c r="N11" s="8">
        <f t="shared" si="7"/>
        <v>49.658400000000015</v>
      </c>
      <c r="O11" s="8">
        <f t="shared" si="8"/>
        <v>54.624240000000022</v>
      </c>
      <c r="P11" s="23">
        <f>D11*(1+'1'!$Z$4)</f>
        <v>797364</v>
      </c>
      <c r="Q11" s="23">
        <f>P11*(1+'1'!$AA$4)</f>
        <v>853179.4800000001</v>
      </c>
      <c r="R11" s="23">
        <f>Q11*(1+'1'!$AB$4)</f>
        <v>912902.04360000021</v>
      </c>
      <c r="S11" s="23">
        <f>R11*(1+'1'!$AC$4)</f>
        <v>958547.14578000025</v>
      </c>
      <c r="T11" s="24">
        <f t="shared" si="9"/>
        <v>32723818.560000006</v>
      </c>
      <c r="U11" s="24">
        <f t="shared" si="10"/>
        <v>38515934.445120014</v>
      </c>
      <c r="V11" s="24">
        <f t="shared" si="11"/>
        <v>45333254.841906264</v>
      </c>
      <c r="W11" s="24">
        <f t="shared" si="12"/>
        <v>52359909.342401743</v>
      </c>
      <c r="X11" s="24"/>
    </row>
    <row r="12" spans="1:29">
      <c r="A12" s="19">
        <f t="shared" si="13"/>
        <v>10</v>
      </c>
      <c r="B12" s="302"/>
      <c r="C12" s="46">
        <v>0</v>
      </c>
      <c r="D12" s="13">
        <v>0</v>
      </c>
      <c r="E12" s="20">
        <f t="shared" si="4"/>
        <v>0</v>
      </c>
      <c r="F12" s="21">
        <f t="shared" si="5"/>
        <v>0</v>
      </c>
      <c r="G12" s="39">
        <v>0</v>
      </c>
      <c r="H12" s="39">
        <v>0</v>
      </c>
      <c r="I12" s="110">
        <v>0</v>
      </c>
      <c r="J12" s="39">
        <v>0</v>
      </c>
      <c r="K12" s="22"/>
      <c r="L12" s="8">
        <f t="shared" si="1"/>
        <v>0</v>
      </c>
      <c r="M12" s="8">
        <f t="shared" si="6"/>
        <v>0</v>
      </c>
      <c r="N12" s="8">
        <f t="shared" si="7"/>
        <v>0</v>
      </c>
      <c r="O12" s="8">
        <f t="shared" si="8"/>
        <v>0</v>
      </c>
      <c r="P12" s="23">
        <f>D12*(1+'1'!$Z$4)</f>
        <v>0</v>
      </c>
      <c r="Q12" s="23">
        <f>P12*(1+'1'!$AA$4)</f>
        <v>0</v>
      </c>
      <c r="R12" s="23">
        <f>Q12*(1+'1'!$AB$4)</f>
        <v>0</v>
      </c>
      <c r="S12" s="23">
        <f>R12*(1+'1'!$AC$4)</f>
        <v>0</v>
      </c>
      <c r="T12" s="24">
        <f t="shared" si="9"/>
        <v>0</v>
      </c>
      <c r="U12" s="24">
        <f t="shared" si="10"/>
        <v>0</v>
      </c>
      <c r="V12" s="24">
        <f t="shared" si="11"/>
        <v>0</v>
      </c>
      <c r="W12" s="24">
        <f t="shared" si="12"/>
        <v>0</v>
      </c>
      <c r="X12" s="24"/>
    </row>
    <row r="13" spans="1:29">
      <c r="D13" s="8" t="s">
        <v>8</v>
      </c>
      <c r="E13" s="31">
        <f>SUM(E3:E12)</f>
        <v>466706300</v>
      </c>
      <c r="F13" s="32">
        <f>SUM(F3:F12)</f>
        <v>1</v>
      </c>
      <c r="T13" s="33">
        <f>SUM(T3:T12)</f>
        <v>539325800.28000009</v>
      </c>
      <c r="U13" s="33">
        <f>SUM(U3:U12)</f>
        <v>634786466.92956018</v>
      </c>
      <c r="V13" s="33">
        <f>SUM(V3:V12)</f>
        <v>747143671.57609248</v>
      </c>
      <c r="W13" s="33">
        <f>SUM(W3:W12)</f>
        <v>862950940.67038679</v>
      </c>
      <c r="X13" s="24"/>
    </row>
    <row r="15" spans="1:29" ht="23.25" customHeight="1" thickBot="1">
      <c r="A15" s="205" t="s">
        <v>6</v>
      </c>
      <c r="B15" s="205"/>
      <c r="C15" s="205"/>
      <c r="D15" s="205"/>
      <c r="E15" s="205"/>
      <c r="G15" s="34"/>
    </row>
    <row r="16" spans="1:29" ht="25.5" customHeight="1">
      <c r="A16" s="113"/>
      <c r="B16" s="303" t="s">
        <v>3</v>
      </c>
      <c r="C16" s="177" t="s">
        <v>0</v>
      </c>
      <c r="D16" s="178" t="s">
        <v>137</v>
      </c>
      <c r="E16" s="179" t="s">
        <v>2</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180">
        <f>A3</f>
        <v>1</v>
      </c>
      <c r="B17" s="181" t="str">
        <f>B3</f>
        <v>Plan 1</v>
      </c>
      <c r="C17" s="181">
        <f>C3</f>
        <v>379</v>
      </c>
      <c r="D17" s="182">
        <v>48000</v>
      </c>
      <c r="E17" s="183">
        <f>C17*D17</f>
        <v>18192000</v>
      </c>
      <c r="F17" s="21">
        <f>IF($E$27=0,0,E17/$E$27)</f>
        <v>9.7867224002001249E-2</v>
      </c>
      <c r="L17" s="8">
        <f t="shared" ref="L17:L26" si="15">C17*(1+G3)</f>
        <v>409.32000000000005</v>
      </c>
      <c r="M17" s="8">
        <f>L17*(1+H3)</f>
        <v>450.25200000000007</v>
      </c>
      <c r="N17" s="8">
        <f t="shared" ref="N17:O17" si="16">M17*(1+I3)</f>
        <v>495.27720000000011</v>
      </c>
      <c r="O17" s="8">
        <f t="shared" si="16"/>
        <v>544.80492000000015</v>
      </c>
      <c r="P17" s="36">
        <f>D17*(1+'1'!$Z$5)</f>
        <v>50400</v>
      </c>
      <c r="Q17" s="23">
        <f>P17*(1+'1'!$AA$5)</f>
        <v>52920</v>
      </c>
      <c r="R17" s="23">
        <f>Q17*(1+'1'!$AB$5)</f>
        <v>55566</v>
      </c>
      <c r="S17" s="23">
        <f>R17*(1+'1'!$AC$5)</f>
        <v>57788.639999999999</v>
      </c>
      <c r="T17" s="36">
        <f t="shared" ref="T17:U19" si="17">L17*P17</f>
        <v>20629728.000000004</v>
      </c>
      <c r="U17" s="24">
        <f t="shared" si="17"/>
        <v>23827335.840000004</v>
      </c>
      <c r="V17" s="24">
        <f t="shared" ref="V17:W17" si="18">N17*R17</f>
        <v>27520572.895200007</v>
      </c>
      <c r="W17" s="24">
        <f t="shared" si="18"/>
        <v>31483535.392108809</v>
      </c>
      <c r="X17" s="24"/>
    </row>
    <row r="18" spans="1:24">
      <c r="A18" s="180">
        <f t="shared" ref="A18:B25" si="19">A4</f>
        <v>2</v>
      </c>
      <c r="B18" s="304" t="str">
        <f t="shared" si="19"/>
        <v>Plan 2</v>
      </c>
      <c r="C18" s="181">
        <f t="shared" ref="C18:C26" si="20">C4</f>
        <v>663</v>
      </c>
      <c r="D18" s="182">
        <v>53000</v>
      </c>
      <c r="E18" s="183">
        <f t="shared" ref="E18:E26" si="21">C18*D18</f>
        <v>35139000</v>
      </c>
      <c r="F18" s="21">
        <f t="shared" ref="F18:F26" si="22">IF($E$27=0,0,E18/$E$27)</f>
        <v>0.18903674055663597</v>
      </c>
      <c r="L18" s="8">
        <f t="shared" si="15"/>
        <v>716.04000000000008</v>
      </c>
      <c r="M18" s="8">
        <f t="shared" ref="M18:M26" si="23">L18*(1+H4)</f>
        <v>787.64400000000012</v>
      </c>
      <c r="N18" s="8">
        <f t="shared" ref="N18:N26" si="24">M18*(1+I4)</f>
        <v>866.40840000000026</v>
      </c>
      <c r="O18" s="8">
        <f t="shared" ref="O18:O26" si="25">N18*(1+J4)</f>
        <v>953.0492400000004</v>
      </c>
      <c r="P18" s="36">
        <f>D18*(1+'1'!$Z$5)</f>
        <v>55650</v>
      </c>
      <c r="Q18" s="23">
        <f>P18*(1+'1'!$AA$5)</f>
        <v>58432.5</v>
      </c>
      <c r="R18" s="23">
        <f>Q18*(1+'1'!$AB$5)</f>
        <v>61354.125</v>
      </c>
      <c r="S18" s="23">
        <f>R18*(1+'1'!$AC$5)</f>
        <v>63808.29</v>
      </c>
      <c r="T18" s="36">
        <f t="shared" si="17"/>
        <v>39847626.000000007</v>
      </c>
      <c r="U18" s="24">
        <f t="shared" si="17"/>
        <v>46024008.030000009</v>
      </c>
      <c r="V18" s="24">
        <f t="shared" ref="V18:V26" si="26">N18*R18</f>
        <v>53157729.274650015</v>
      </c>
      <c r="W18" s="24">
        <f t="shared" ref="W18:W26" si="27">O18*S18</f>
        <v>60812442.290199623</v>
      </c>
      <c r="X18" s="24"/>
    </row>
    <row r="19" spans="1:24">
      <c r="A19" s="180">
        <f t="shared" si="19"/>
        <v>3</v>
      </c>
      <c r="B19" s="304" t="str">
        <f t="shared" si="19"/>
        <v>Plan 3</v>
      </c>
      <c r="C19" s="181">
        <f t="shared" si="20"/>
        <v>568</v>
      </c>
      <c r="D19" s="182">
        <v>38000</v>
      </c>
      <c r="E19" s="183">
        <f t="shared" si="21"/>
        <v>21584000</v>
      </c>
      <c r="F19" s="21">
        <f t="shared" si="22"/>
        <v>0.11611511449313956</v>
      </c>
      <c r="L19" s="8">
        <f t="shared" si="15"/>
        <v>613.44000000000005</v>
      </c>
      <c r="M19" s="8">
        <f t="shared" si="23"/>
        <v>674.78400000000011</v>
      </c>
      <c r="N19" s="8">
        <f t="shared" si="24"/>
        <v>742.26240000000018</v>
      </c>
      <c r="O19" s="8">
        <f t="shared" si="25"/>
        <v>816.48864000000026</v>
      </c>
      <c r="P19" s="36">
        <f>D19*(1+'1'!$Z$5)</f>
        <v>39900</v>
      </c>
      <c r="Q19" s="23">
        <f>P19*(1+'1'!$AA$5)</f>
        <v>41895</v>
      </c>
      <c r="R19" s="23">
        <f>Q19*(1+'1'!$AB$5)</f>
        <v>43989.75</v>
      </c>
      <c r="S19" s="23">
        <f>R19*(1+'1'!$AC$5)</f>
        <v>45749.340000000004</v>
      </c>
      <c r="T19" s="36">
        <f t="shared" si="17"/>
        <v>24476256.000000004</v>
      </c>
      <c r="U19" s="24">
        <f t="shared" si="17"/>
        <v>28270075.680000003</v>
      </c>
      <c r="V19" s="24">
        <f t="shared" si="26"/>
        <v>32651937.410400007</v>
      </c>
      <c r="W19" s="24">
        <f t="shared" si="27"/>
        <v>37353816.397497617</v>
      </c>
      <c r="X19" s="24"/>
    </row>
    <row r="20" spans="1:24">
      <c r="A20" s="180">
        <f t="shared" si="19"/>
        <v>4</v>
      </c>
      <c r="B20" s="304" t="str">
        <f t="shared" si="19"/>
        <v>Plan 4</v>
      </c>
      <c r="C20" s="181">
        <f t="shared" si="20"/>
        <v>284</v>
      </c>
      <c r="D20" s="182">
        <v>78000</v>
      </c>
      <c r="E20" s="183">
        <f t="shared" si="21"/>
        <v>22152000</v>
      </c>
      <c r="F20" s="21">
        <f t="shared" si="22"/>
        <v>0.11917077540085376</v>
      </c>
      <c r="L20" s="8">
        <f t="shared" si="15"/>
        <v>306.72000000000003</v>
      </c>
      <c r="M20" s="8">
        <f t="shared" si="23"/>
        <v>337.39200000000005</v>
      </c>
      <c r="N20" s="8">
        <f t="shared" si="24"/>
        <v>371.13120000000009</v>
      </c>
      <c r="O20" s="8">
        <f t="shared" si="25"/>
        <v>408.24432000000013</v>
      </c>
      <c r="P20" s="36">
        <f>D20*(1+'1'!$Z$5)</f>
        <v>81900</v>
      </c>
      <c r="Q20" s="23">
        <f>P20*(1+'1'!$AA$5)</f>
        <v>85995</v>
      </c>
      <c r="R20" s="23">
        <f>Q20*(1+'1'!$AB$5)</f>
        <v>90294.75</v>
      </c>
      <c r="S20" s="23">
        <f>R20*(1+'1'!$AC$5)</f>
        <v>93906.540000000008</v>
      </c>
      <c r="T20" s="36">
        <f t="shared" ref="T20:T26" si="28">L20*P20</f>
        <v>25120368.000000004</v>
      </c>
      <c r="U20" s="24">
        <f t="shared" ref="U20:U26" si="29">M20*Q20</f>
        <v>29014025.040000003</v>
      </c>
      <c r="V20" s="24">
        <f t="shared" si="26"/>
        <v>33511198.921200007</v>
      </c>
      <c r="W20" s="24">
        <f t="shared" si="27"/>
        <v>38336811.565852813</v>
      </c>
      <c r="X20" s="24"/>
    </row>
    <row r="21" spans="1:24">
      <c r="A21" s="180">
        <f t="shared" si="19"/>
        <v>5</v>
      </c>
      <c r="B21" s="304" t="str">
        <f t="shared" si="19"/>
        <v>Plan 5</v>
      </c>
      <c r="C21" s="181">
        <f t="shared" si="20"/>
        <v>134</v>
      </c>
      <c r="D21" s="182">
        <v>155000</v>
      </c>
      <c r="E21" s="183">
        <f t="shared" si="21"/>
        <v>20770000</v>
      </c>
      <c r="F21" s="21">
        <f t="shared" si="22"/>
        <v>0.11173605115004209</v>
      </c>
      <c r="L21" s="8">
        <f t="shared" si="15"/>
        <v>144.72</v>
      </c>
      <c r="M21" s="8">
        <f t="shared" si="23"/>
        <v>159.19200000000001</v>
      </c>
      <c r="N21" s="8">
        <f t="shared" si="24"/>
        <v>175.11120000000003</v>
      </c>
      <c r="O21" s="8">
        <f t="shared" si="25"/>
        <v>192.62232000000003</v>
      </c>
      <c r="P21" s="36">
        <f>D21*(1+'1'!$Z$5)</f>
        <v>162750</v>
      </c>
      <c r="Q21" s="23">
        <f>P21*(1+'1'!$AA$5)</f>
        <v>170887.5</v>
      </c>
      <c r="R21" s="23">
        <f>Q21*(1+'1'!$AB$5)</f>
        <v>179431.875</v>
      </c>
      <c r="S21" s="23">
        <f>R21*(1+'1'!$AC$5)</f>
        <v>186609.15</v>
      </c>
      <c r="T21" s="36">
        <f t="shared" si="28"/>
        <v>23553180</v>
      </c>
      <c r="U21" s="24">
        <f t="shared" si="29"/>
        <v>27203922.900000002</v>
      </c>
      <c r="V21" s="24">
        <f t="shared" si="26"/>
        <v>31420530.949500006</v>
      </c>
      <c r="W21" s="24">
        <f t="shared" si="27"/>
        <v>35945087.406228006</v>
      </c>
      <c r="X21" s="24"/>
    </row>
    <row r="22" spans="1:24">
      <c r="A22" s="180">
        <f t="shared" si="19"/>
        <v>6</v>
      </c>
      <c r="B22" s="304" t="str">
        <f t="shared" si="19"/>
        <v>Plan 6</v>
      </c>
      <c r="C22" s="181">
        <f t="shared" si="20"/>
        <v>115</v>
      </c>
      <c r="D22" s="182">
        <v>215000</v>
      </c>
      <c r="E22" s="183">
        <f t="shared" si="21"/>
        <v>24725000</v>
      </c>
      <c r="F22" s="21">
        <f t="shared" si="22"/>
        <v>0.13301270412541122</v>
      </c>
      <c r="L22" s="8">
        <f t="shared" si="15"/>
        <v>124.2</v>
      </c>
      <c r="M22" s="8">
        <f t="shared" si="23"/>
        <v>136.62</v>
      </c>
      <c r="N22" s="8">
        <f t="shared" si="24"/>
        <v>150.28200000000001</v>
      </c>
      <c r="O22" s="8">
        <f t="shared" si="25"/>
        <v>165.31020000000004</v>
      </c>
      <c r="P22" s="36">
        <f>D22*(1+'1'!$Z$5)</f>
        <v>225750</v>
      </c>
      <c r="Q22" s="23">
        <f>P22*(1+'1'!$AA$5)</f>
        <v>237037.5</v>
      </c>
      <c r="R22" s="23">
        <f>Q22*(1+'1'!$AB$5)</f>
        <v>248889.375</v>
      </c>
      <c r="S22" s="23">
        <f>R22*(1+'1'!$AC$5)</f>
        <v>258844.95</v>
      </c>
      <c r="T22" s="36">
        <f t="shared" si="28"/>
        <v>28038150</v>
      </c>
      <c r="U22" s="24">
        <f t="shared" si="29"/>
        <v>32384063.25</v>
      </c>
      <c r="V22" s="24">
        <f t="shared" si="26"/>
        <v>37403593.053750001</v>
      </c>
      <c r="W22" s="24">
        <f t="shared" si="27"/>
        <v>42789710.453490011</v>
      </c>
      <c r="X22" s="24"/>
    </row>
    <row r="23" spans="1:24">
      <c r="A23" s="180">
        <f t="shared" si="19"/>
        <v>7</v>
      </c>
      <c r="B23" s="304" t="str">
        <f t="shared" si="19"/>
        <v>Plan 7</v>
      </c>
      <c r="C23" s="181">
        <f t="shared" si="20"/>
        <v>77</v>
      </c>
      <c r="D23" s="182">
        <v>240000</v>
      </c>
      <c r="E23" s="183">
        <f t="shared" si="21"/>
        <v>18480000</v>
      </c>
      <c r="F23" s="21">
        <f t="shared" si="22"/>
        <v>9.9416573194645058E-2</v>
      </c>
      <c r="L23" s="8">
        <f t="shared" si="15"/>
        <v>83.160000000000011</v>
      </c>
      <c r="M23" s="8">
        <f t="shared" si="23"/>
        <v>91.476000000000013</v>
      </c>
      <c r="N23" s="8">
        <f t="shared" si="24"/>
        <v>100.62360000000002</v>
      </c>
      <c r="O23" s="8">
        <f t="shared" si="25"/>
        <v>110.68596000000004</v>
      </c>
      <c r="P23" s="36">
        <f>D23*(1+'1'!$Z$5)</f>
        <v>252000</v>
      </c>
      <c r="Q23" s="23">
        <f>P23*(1+'1'!$AA$5)</f>
        <v>264600</v>
      </c>
      <c r="R23" s="23">
        <f>Q23*(1+'1'!$AB$5)</f>
        <v>277830</v>
      </c>
      <c r="S23" s="23">
        <f>R23*(1+'1'!$AC$5)</f>
        <v>288943.2</v>
      </c>
      <c r="T23" s="36">
        <f t="shared" si="28"/>
        <v>20956320.000000004</v>
      </c>
      <c r="U23" s="24">
        <f t="shared" si="29"/>
        <v>24204549.600000005</v>
      </c>
      <c r="V23" s="24">
        <f t="shared" si="26"/>
        <v>27956254.788000006</v>
      </c>
      <c r="W23" s="24">
        <f t="shared" si="27"/>
        <v>31981955.477472011</v>
      </c>
      <c r="X23" s="24"/>
    </row>
    <row r="24" spans="1:24">
      <c r="A24" s="180">
        <f t="shared" si="19"/>
        <v>8</v>
      </c>
      <c r="B24" s="304" t="str">
        <f t="shared" si="19"/>
        <v>Plan 8</v>
      </c>
      <c r="C24" s="181">
        <f t="shared" si="20"/>
        <v>19</v>
      </c>
      <c r="D24" s="182">
        <v>452500</v>
      </c>
      <c r="E24" s="183">
        <f t="shared" si="21"/>
        <v>8597500</v>
      </c>
      <c r="F24" s="21">
        <f t="shared" si="22"/>
        <v>4.6251839179705677E-2</v>
      </c>
      <c r="L24" s="8">
        <f t="shared" si="15"/>
        <v>20.520000000000003</v>
      </c>
      <c r="M24" s="8">
        <f t="shared" si="23"/>
        <v>22.572000000000006</v>
      </c>
      <c r="N24" s="8">
        <f t="shared" si="24"/>
        <v>24.829200000000007</v>
      </c>
      <c r="O24" s="8">
        <f t="shared" si="25"/>
        <v>27.312120000000011</v>
      </c>
      <c r="P24" s="36">
        <f>D24*(1+'1'!$Z$5)</f>
        <v>475125</v>
      </c>
      <c r="Q24" s="23">
        <f>P24*(1+'1'!$AA$5)</f>
        <v>498881.25</v>
      </c>
      <c r="R24" s="23">
        <f>Q24*(1+'1'!$AB$5)</f>
        <v>523825.3125</v>
      </c>
      <c r="S24" s="23">
        <f>R24*(1+'1'!$AC$5)</f>
        <v>544778.32500000007</v>
      </c>
      <c r="T24" s="36">
        <f t="shared" si="28"/>
        <v>9749565.0000000019</v>
      </c>
      <c r="U24" s="24">
        <f t="shared" si="29"/>
        <v>11260747.575000003</v>
      </c>
      <c r="V24" s="24">
        <f t="shared" si="26"/>
        <v>13006163.449125003</v>
      </c>
      <c r="W24" s="24">
        <f t="shared" si="27"/>
        <v>14879050.985799007</v>
      </c>
      <c r="X24" s="24"/>
    </row>
    <row r="25" spans="1:24">
      <c r="A25" s="180">
        <f t="shared" si="19"/>
        <v>9</v>
      </c>
      <c r="B25" s="304" t="str">
        <f t="shared" si="19"/>
        <v>Plan 9</v>
      </c>
      <c r="C25" s="181">
        <f t="shared" si="20"/>
        <v>38</v>
      </c>
      <c r="D25" s="182">
        <v>427500</v>
      </c>
      <c r="E25" s="183">
        <f t="shared" si="21"/>
        <v>16245000</v>
      </c>
      <c r="F25" s="21">
        <f t="shared" si="22"/>
        <v>8.7392977897565421E-2</v>
      </c>
      <c r="L25" s="8">
        <f t="shared" si="15"/>
        <v>41.040000000000006</v>
      </c>
      <c r="M25" s="8">
        <f t="shared" si="23"/>
        <v>45.144000000000013</v>
      </c>
      <c r="N25" s="8">
        <f t="shared" si="24"/>
        <v>49.658400000000015</v>
      </c>
      <c r="O25" s="8">
        <f t="shared" si="25"/>
        <v>54.624240000000022</v>
      </c>
      <c r="P25" s="36">
        <f>D25*(1+'1'!$Z$5)</f>
        <v>448875</v>
      </c>
      <c r="Q25" s="23">
        <f>P25*(1+'1'!$AA$5)</f>
        <v>471318.75</v>
      </c>
      <c r="R25" s="23">
        <f>Q25*(1+'1'!$AB$5)</f>
        <v>494884.6875</v>
      </c>
      <c r="S25" s="23">
        <f>R25*(1+'1'!$AC$5)</f>
        <v>514680.07500000001</v>
      </c>
      <c r="T25" s="36">
        <f t="shared" si="28"/>
        <v>18421830.000000004</v>
      </c>
      <c r="U25" s="24">
        <f t="shared" si="29"/>
        <v>21277213.650000006</v>
      </c>
      <c r="V25" s="24">
        <f t="shared" si="26"/>
        <v>24575181.765750006</v>
      </c>
      <c r="W25" s="24">
        <f t="shared" si="27"/>
        <v>28114007.940018013</v>
      </c>
      <c r="X25" s="24"/>
    </row>
    <row r="26" spans="1:24">
      <c r="A26" s="180">
        <f>A12</f>
        <v>10</v>
      </c>
      <c r="B26" s="304">
        <f t="shared" ref="B26" si="30">B12</f>
        <v>0</v>
      </c>
      <c r="C26" s="181">
        <f t="shared" si="20"/>
        <v>0</v>
      </c>
      <c r="D26" s="182">
        <v>0</v>
      </c>
      <c r="E26" s="183">
        <f t="shared" si="21"/>
        <v>0</v>
      </c>
      <c r="F26" s="21">
        <f t="shared" si="22"/>
        <v>0</v>
      </c>
      <c r="L26" s="8">
        <f t="shared" si="15"/>
        <v>0</v>
      </c>
      <c r="M26" s="8">
        <f t="shared" si="23"/>
        <v>0</v>
      </c>
      <c r="N26" s="8">
        <f t="shared" si="24"/>
        <v>0</v>
      </c>
      <c r="O26" s="8">
        <f t="shared" si="25"/>
        <v>0</v>
      </c>
      <c r="P26" s="36">
        <f>D26*(1+'1'!$Z$5)</f>
        <v>0</v>
      </c>
      <c r="Q26" s="23">
        <f>P26*(1+'1'!$AA$5)</f>
        <v>0</v>
      </c>
      <c r="R26" s="23">
        <f>Q26*(1+'1'!$AB$5)</f>
        <v>0</v>
      </c>
      <c r="S26" s="23">
        <f>R26*(1+'1'!$AC$5)</f>
        <v>0</v>
      </c>
      <c r="T26" s="36">
        <f t="shared" si="28"/>
        <v>0</v>
      </c>
      <c r="U26" s="24">
        <f t="shared" si="29"/>
        <v>0</v>
      </c>
      <c r="V26" s="24">
        <f t="shared" si="26"/>
        <v>0</v>
      </c>
      <c r="W26" s="24">
        <f t="shared" si="27"/>
        <v>0</v>
      </c>
      <c r="X26" s="24"/>
    </row>
    <row r="27" spans="1:24" ht="15" thickBot="1">
      <c r="A27" s="79"/>
      <c r="B27" s="305"/>
      <c r="C27" s="184"/>
      <c r="D27" s="184" t="str">
        <f>D13</f>
        <v>TOTAL</v>
      </c>
      <c r="E27" s="185">
        <f>SUM(E17:E26)</f>
        <v>185884500</v>
      </c>
      <c r="F27" s="32">
        <f>SUM(F17:F26)</f>
        <v>1</v>
      </c>
      <c r="T27" s="33">
        <f>SUM(T17:T26)</f>
        <v>210793023</v>
      </c>
      <c r="U27" s="33">
        <f>SUM(U17:U26)</f>
        <v>243465941.56500003</v>
      </c>
      <c r="V27" s="33">
        <f t="shared" ref="V27:W27" si="31">SUM(V17:V26)</f>
        <v>281203162.50757504</v>
      </c>
      <c r="W27" s="33">
        <f t="shared" si="31"/>
        <v>321696417.90866596</v>
      </c>
      <c r="X27" s="24"/>
    </row>
    <row r="29" spans="1:24" ht="15" thickBot="1"/>
    <row r="30" spans="1:24">
      <c r="A30" s="202" t="s">
        <v>19</v>
      </c>
      <c r="B30" s="203"/>
      <c r="C30" s="203"/>
      <c r="D30" s="203"/>
      <c r="E30" s="203"/>
      <c r="F30" s="204"/>
    </row>
    <row r="31" spans="1:24" ht="26" thickBot="1">
      <c r="A31" s="166" t="s">
        <v>10</v>
      </c>
      <c r="B31" s="167">
        <f>'1'!Z1</f>
        <v>2025</v>
      </c>
      <c r="C31" s="167">
        <f>B31+1</f>
        <v>2026</v>
      </c>
      <c r="D31" s="167">
        <f>C31+1</f>
        <v>2027</v>
      </c>
      <c r="E31" s="167">
        <f>D31+1</f>
        <v>2028</v>
      </c>
      <c r="F31" s="168">
        <f>E31+1</f>
        <v>2029</v>
      </c>
      <c r="H31" s="37"/>
      <c r="I31" s="37"/>
      <c r="J31" s="37"/>
      <c r="K31" s="37"/>
      <c r="L31" s="37"/>
      <c r="M31" s="37"/>
      <c r="N31" s="37"/>
      <c r="O31" s="37"/>
      <c r="P31" s="37"/>
      <c r="Q31" s="37"/>
      <c r="R31" s="37"/>
      <c r="S31" s="37"/>
      <c r="T31" s="37"/>
      <c r="U31" s="37"/>
      <c r="V31" s="37"/>
    </row>
    <row r="32" spans="1:24">
      <c r="A32" s="169" t="s">
        <v>20</v>
      </c>
      <c r="B32" s="306">
        <f>'1'!E13</f>
        <v>466706300</v>
      </c>
      <c r="C32" s="171">
        <f>'1'!T13</f>
        <v>539325800.28000009</v>
      </c>
      <c r="D32" s="171">
        <f>'1'!U13</f>
        <v>634786466.92956018</v>
      </c>
      <c r="E32" s="171">
        <f>'1'!V13</f>
        <v>747143671.57609248</v>
      </c>
      <c r="F32" s="172">
        <f>'1'!W13</f>
        <v>862950940.67038679</v>
      </c>
    </row>
    <row r="33" spans="1:6">
      <c r="A33" s="169" t="s">
        <v>21</v>
      </c>
      <c r="B33" s="306">
        <f>'1'!E27</f>
        <v>185884500</v>
      </c>
      <c r="C33" s="170">
        <f>'1'!T27</f>
        <v>210793023</v>
      </c>
      <c r="D33" s="170">
        <f>'1'!U27</f>
        <v>243465941.56500003</v>
      </c>
      <c r="E33" s="170">
        <f>'1'!V27</f>
        <v>281203162.50757504</v>
      </c>
      <c r="F33" s="173">
        <f>'1'!W27</f>
        <v>321696417.90866596</v>
      </c>
    </row>
    <row r="34" spans="1:6" ht="20.5" thickBot="1">
      <c r="A34" s="174" t="s">
        <v>22</v>
      </c>
      <c r="B34" s="307">
        <f>B32-B33</f>
        <v>280821800</v>
      </c>
      <c r="C34" s="175">
        <f t="shared" ref="C34:D34" si="32">C32-C33</f>
        <v>328532777.28000009</v>
      </c>
      <c r="D34" s="175">
        <f t="shared" si="32"/>
        <v>391320525.36456013</v>
      </c>
      <c r="E34" s="175">
        <f t="shared" ref="E34" si="33">E32-E33</f>
        <v>465940509.06851745</v>
      </c>
      <c r="F34" s="176">
        <f t="shared" ref="F34" si="34">F32-F33</f>
        <v>541254522.7617209</v>
      </c>
    </row>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phoneticPr fontId="54" type="noConversion"/>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topLeftCell="A16" workbookViewId="0">
      <selection activeCell="I12" sqref="I12"/>
    </sheetView>
  </sheetViews>
  <sheetFormatPr baseColWidth="10" defaultColWidth="11.453125" defaultRowHeight="14.5"/>
  <cols>
    <col min="1" max="1" width="5.453125" style="8" customWidth="1"/>
    <col min="2" max="2" width="29.453125" style="8" bestFit="1" customWidth="1"/>
    <col min="3" max="3" width="20.26953125" style="8" customWidth="1"/>
    <col min="4" max="4" width="11.453125" style="8"/>
    <col min="5" max="5" width="23.26953125" style="8" customWidth="1"/>
    <col min="6" max="6" width="20.54296875" style="8" bestFit="1" customWidth="1"/>
    <col min="7" max="7" width="15.54296875" style="8" bestFit="1" customWidth="1"/>
    <col min="8" max="16384" width="11.453125" style="8"/>
  </cols>
  <sheetData>
    <row r="1" spans="2:8">
      <c r="B1" s="207" t="s">
        <v>133</v>
      </c>
      <c r="C1" s="207"/>
      <c r="D1" s="207"/>
      <c r="E1" s="207"/>
      <c r="F1" s="207"/>
      <c r="G1" s="207"/>
      <c r="H1" s="207"/>
    </row>
    <row r="2" spans="2:8" ht="3.75" customHeight="1">
      <c r="B2" s="207"/>
      <c r="C2" s="207"/>
      <c r="D2" s="207"/>
      <c r="E2" s="207"/>
      <c r="F2" s="207"/>
      <c r="G2" s="207"/>
      <c r="H2" s="207"/>
    </row>
    <row r="3" spans="2:8">
      <c r="C3" s="19" t="s">
        <v>51</v>
      </c>
      <c r="F3" s="64" t="s">
        <v>92</v>
      </c>
      <c r="G3" s="64"/>
    </row>
    <row r="4" spans="2:8">
      <c r="B4" s="38" t="s">
        <v>43</v>
      </c>
      <c r="C4" s="13">
        <v>50000000</v>
      </c>
      <c r="F4" s="64"/>
      <c r="G4" s="64"/>
    </row>
    <row r="5" spans="2:8">
      <c r="B5" s="38" t="s">
        <v>46</v>
      </c>
      <c r="C5" s="13">
        <f>52116000+15000000</f>
        <v>67116000</v>
      </c>
      <c r="F5" s="64">
        <v>10</v>
      </c>
      <c r="G5" s="65">
        <f t="shared" ref="G5:G11" si="0">C5/F5</f>
        <v>6711600</v>
      </c>
    </row>
    <row r="6" spans="2:8">
      <c r="B6" s="38" t="s">
        <v>44</v>
      </c>
      <c r="C6" s="13">
        <v>1000000</v>
      </c>
      <c r="F6" s="64">
        <v>5</v>
      </c>
      <c r="G6" s="65">
        <f t="shared" si="0"/>
        <v>200000</v>
      </c>
    </row>
    <row r="7" spans="2:8">
      <c r="B7" s="38" t="s">
        <v>45</v>
      </c>
      <c r="C7" s="13">
        <v>3000000</v>
      </c>
      <c r="F7" s="64">
        <v>5</v>
      </c>
      <c r="G7" s="65">
        <f t="shared" si="0"/>
        <v>600000</v>
      </c>
    </row>
    <row r="8" spans="2:8">
      <c r="B8" s="38" t="s">
        <v>47</v>
      </c>
      <c r="C8" s="13"/>
      <c r="F8" s="64">
        <v>5</v>
      </c>
      <c r="G8" s="65">
        <f t="shared" si="0"/>
        <v>0</v>
      </c>
    </row>
    <row r="9" spans="2:8">
      <c r="B9" s="38" t="s">
        <v>48</v>
      </c>
      <c r="C9" s="13">
        <v>0</v>
      </c>
      <c r="F9" s="64">
        <v>5</v>
      </c>
      <c r="G9" s="65">
        <f t="shared" si="0"/>
        <v>0</v>
      </c>
    </row>
    <row r="10" spans="2:8">
      <c r="B10" s="109" t="s">
        <v>141</v>
      </c>
      <c r="C10" s="13">
        <v>0</v>
      </c>
      <c r="F10" s="64">
        <v>5</v>
      </c>
      <c r="G10" s="65">
        <f t="shared" si="0"/>
        <v>0</v>
      </c>
    </row>
    <row r="11" spans="2:8">
      <c r="B11" s="38" t="s">
        <v>49</v>
      </c>
      <c r="C11" s="13">
        <v>4815000</v>
      </c>
      <c r="F11" s="64">
        <v>5</v>
      </c>
      <c r="G11" s="65">
        <f t="shared" si="0"/>
        <v>963000</v>
      </c>
    </row>
    <row r="12" spans="2:8" ht="16" thickBot="1">
      <c r="B12" s="66" t="s">
        <v>50</v>
      </c>
      <c r="C12" s="67">
        <f>SUM(C4:C11)</f>
        <v>125931000</v>
      </c>
      <c r="F12" s="64"/>
      <c r="G12" s="65">
        <f>SUM(G5:G11)</f>
        <v>8474600</v>
      </c>
    </row>
    <row r="13" spans="2:8">
      <c r="B13" s="208" t="s">
        <v>42</v>
      </c>
      <c r="C13" s="209"/>
      <c r="D13" s="209"/>
      <c r="E13" s="209"/>
      <c r="F13" s="209"/>
      <c r="G13" s="209"/>
      <c r="H13" s="210"/>
    </row>
    <row r="14" spans="2:8" ht="15" thickBot="1">
      <c r="B14" s="211"/>
      <c r="C14" s="212"/>
      <c r="D14" s="212"/>
      <c r="E14" s="212"/>
      <c r="F14" s="212"/>
      <c r="G14" s="212"/>
      <c r="H14" s="213"/>
    </row>
    <row r="15" spans="2:8">
      <c r="B15" s="68"/>
      <c r="C15" s="68"/>
      <c r="D15" s="68"/>
      <c r="E15" s="68"/>
      <c r="F15" s="68"/>
      <c r="G15" s="68"/>
      <c r="H15" s="68"/>
    </row>
    <row r="16" spans="2:8">
      <c r="B16" s="66" t="s">
        <v>28</v>
      </c>
      <c r="E16" s="66" t="s">
        <v>34</v>
      </c>
      <c r="F16" s="35"/>
    </row>
    <row r="17" spans="2:6">
      <c r="C17" s="66" t="s">
        <v>30</v>
      </c>
      <c r="F17" s="66" t="str">
        <f>C17</f>
        <v>VALOR AÑO 1</v>
      </c>
    </row>
    <row r="18" spans="2:6">
      <c r="B18" s="69" t="s">
        <v>29</v>
      </c>
      <c r="C18" s="13">
        <v>20328000</v>
      </c>
      <c r="E18" s="106" t="s">
        <v>139</v>
      </c>
      <c r="F18" s="13" t="s">
        <v>230</v>
      </c>
    </row>
    <row r="19" spans="2:6">
      <c r="C19" s="71"/>
      <c r="E19" s="70" t="s">
        <v>35</v>
      </c>
      <c r="F19" s="13">
        <v>1200000</v>
      </c>
    </row>
    <row r="20" spans="2:6">
      <c r="B20" s="69" t="s">
        <v>32</v>
      </c>
      <c r="C20" s="13">
        <v>11088000</v>
      </c>
      <c r="E20" s="70" t="s">
        <v>36</v>
      </c>
      <c r="F20" s="13">
        <v>2400000</v>
      </c>
    </row>
    <row r="21" spans="2:6">
      <c r="C21" s="71"/>
      <c r="E21" s="70" t="s">
        <v>37</v>
      </c>
      <c r="F21" s="13">
        <v>1200000</v>
      </c>
    </row>
    <row r="22" spans="2:6">
      <c r="B22" s="105" t="s">
        <v>138</v>
      </c>
      <c r="C22" s="13">
        <v>44352000</v>
      </c>
      <c r="E22" s="70" t="s">
        <v>38</v>
      </c>
      <c r="F22" s="13">
        <v>600000</v>
      </c>
    </row>
    <row r="23" spans="2:6" ht="15.5">
      <c r="B23" s="8" t="s">
        <v>56</v>
      </c>
      <c r="C23" s="67">
        <f>C18+C20+C22</f>
        <v>75768000</v>
      </c>
      <c r="E23" s="70" t="s">
        <v>39</v>
      </c>
      <c r="F23" s="13" t="s">
        <v>230</v>
      </c>
    </row>
    <row r="24" spans="2:6">
      <c r="E24" s="70" t="s">
        <v>40</v>
      </c>
      <c r="F24" s="13" t="s">
        <v>230</v>
      </c>
    </row>
    <row r="25" spans="2:6" ht="24.5">
      <c r="B25" s="70" t="s">
        <v>142</v>
      </c>
      <c r="C25" s="13">
        <v>19680000</v>
      </c>
      <c r="E25" s="91" t="s">
        <v>171</v>
      </c>
      <c r="F25" s="186">
        <v>2000000</v>
      </c>
    </row>
    <row r="26" spans="2:6">
      <c r="E26" s="108" t="s">
        <v>140</v>
      </c>
      <c r="F26" s="13">
        <v>20400000</v>
      </c>
    </row>
    <row r="27" spans="2:6" ht="24.5">
      <c r="B27" s="89" t="s">
        <v>143</v>
      </c>
      <c r="C27" s="89"/>
      <c r="E27" s="91" t="s">
        <v>190</v>
      </c>
      <c r="F27" s="186">
        <v>5600000</v>
      </c>
    </row>
    <row r="28" spans="2:6">
      <c r="B28" s="107">
        <f>'1'!G2</f>
        <v>2026</v>
      </c>
      <c r="C28" s="13">
        <f>C25+(C25*16%)</f>
        <v>22828800</v>
      </c>
      <c r="E28" s="91" t="s">
        <v>191</v>
      </c>
      <c r="F28" s="13">
        <v>1200000</v>
      </c>
    </row>
    <row r="29" spans="2:6">
      <c r="B29" s="107">
        <f>'1'!H2</f>
        <v>2027</v>
      </c>
      <c r="C29" s="13">
        <f>C28+(C28*16%)</f>
        <v>26481408</v>
      </c>
      <c r="E29" s="91" t="s">
        <v>172</v>
      </c>
      <c r="F29" s="13">
        <v>2000000</v>
      </c>
    </row>
    <row r="30" spans="2:6">
      <c r="B30" s="107">
        <f>'1'!I2</f>
        <v>2028</v>
      </c>
      <c r="C30" s="13">
        <f>C29+(C29*16%)</f>
        <v>30718433.280000001</v>
      </c>
      <c r="E30" s="91" t="s">
        <v>189</v>
      </c>
      <c r="F30" s="13">
        <v>27588306</v>
      </c>
    </row>
    <row r="31" spans="2:6" ht="15.5">
      <c r="B31" s="107">
        <f>'1'!J2</f>
        <v>2029</v>
      </c>
      <c r="C31" s="13">
        <f>C30+(C30*16%)</f>
        <v>35633382.604800001</v>
      </c>
      <c r="E31" s="70" t="s">
        <v>41</v>
      </c>
      <c r="F31" s="67">
        <f>SUM(F18:F30)</f>
        <v>64188306</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C1" workbookViewId="0">
      <selection activeCell="B6" sqref="B6:D12"/>
    </sheetView>
  </sheetViews>
  <sheetFormatPr baseColWidth="10" defaultColWidth="11.453125" defaultRowHeight="14.5"/>
  <cols>
    <col min="1" max="1" width="11.453125" style="8"/>
    <col min="2" max="2" width="39" style="8" bestFit="1" customWidth="1"/>
    <col min="3" max="4" width="18.54296875" style="8" bestFit="1" customWidth="1"/>
    <col min="5" max="5" width="12.81640625" style="8" customWidth="1"/>
    <col min="6" max="6" width="18.81640625" style="8" customWidth="1"/>
    <col min="7" max="7" width="17.1796875" style="8" customWidth="1"/>
    <col min="8" max="8" width="17.453125" style="8" customWidth="1"/>
    <col min="9" max="9" width="17" style="8" bestFit="1" customWidth="1"/>
    <col min="10" max="10" width="15.7265625" style="8" customWidth="1"/>
    <col min="11" max="16384" width="11.453125" style="8"/>
  </cols>
  <sheetData>
    <row r="2" spans="2:12" ht="29.25" customHeight="1">
      <c r="B2" s="205" t="s">
        <v>115</v>
      </c>
      <c r="C2" s="205"/>
      <c r="D2" s="205"/>
      <c r="E2" s="205"/>
      <c r="F2" s="205"/>
      <c r="G2" s="205"/>
      <c r="H2" s="205"/>
      <c r="I2" s="205"/>
      <c r="J2" s="205"/>
    </row>
    <row r="3" spans="2:12">
      <c r="F3" s="215" t="s">
        <v>62</v>
      </c>
      <c r="G3" s="215"/>
    </row>
    <row r="4" spans="2:12" ht="15.5">
      <c r="B4" s="15" t="s">
        <v>50</v>
      </c>
      <c r="C4" s="67">
        <f>'2'!C12</f>
        <v>125931000</v>
      </c>
      <c r="F4" s="216">
        <v>0.18</v>
      </c>
      <c r="G4" s="216"/>
      <c r="I4" s="8" t="s">
        <v>149</v>
      </c>
      <c r="J4" s="124">
        <v>5</v>
      </c>
      <c r="L4" s="64">
        <v>1</v>
      </c>
    </row>
    <row r="5" spans="2:12">
      <c r="L5" s="64">
        <v>2</v>
      </c>
    </row>
    <row r="6" spans="2:12" ht="15" thickBot="1">
      <c r="B6" s="15" t="s">
        <v>52</v>
      </c>
      <c r="F6" s="214" t="s">
        <v>116</v>
      </c>
      <c r="G6" s="214"/>
      <c r="H6" s="214"/>
      <c r="I6" s="214"/>
      <c r="J6" s="214"/>
      <c r="L6" s="64">
        <v>3</v>
      </c>
    </row>
    <row r="7" spans="2:12">
      <c r="C7" s="72" t="s">
        <v>54</v>
      </c>
      <c r="D7" s="72" t="s">
        <v>55</v>
      </c>
      <c r="E7" s="113"/>
      <c r="F7" s="114" t="s">
        <v>144</v>
      </c>
      <c r="G7" s="114" t="s">
        <v>145</v>
      </c>
      <c r="H7" s="114" t="s">
        <v>146</v>
      </c>
      <c r="I7" s="114" t="s">
        <v>147</v>
      </c>
      <c r="J7" s="115" t="s">
        <v>148</v>
      </c>
      <c r="L7" s="64">
        <v>4</v>
      </c>
    </row>
    <row r="8" spans="2:12">
      <c r="B8" s="38" t="s">
        <v>53</v>
      </c>
      <c r="C8" s="47">
        <v>3</v>
      </c>
      <c r="D8" s="23">
        <f>('1'!B33/12)*C8</f>
        <v>46471125</v>
      </c>
      <c r="E8" s="116" t="s">
        <v>84</v>
      </c>
      <c r="F8" s="117"/>
      <c r="G8" s="117"/>
      <c r="H8" s="117"/>
      <c r="I8" s="117"/>
      <c r="J8" s="118">
        <f>D16</f>
        <v>112311201.5</v>
      </c>
      <c r="L8" s="64">
        <v>5</v>
      </c>
    </row>
    <row r="9" spans="2:12">
      <c r="B9" s="38" t="s">
        <v>57</v>
      </c>
      <c r="C9" s="47">
        <v>3</v>
      </c>
      <c r="D9" s="23">
        <f>('2'!C23/12)*C9</f>
        <v>18942000</v>
      </c>
      <c r="E9" s="116">
        <f>'1'!B31</f>
        <v>2025</v>
      </c>
      <c r="F9" s="120">
        <f t="shared" ref="F9:F13" si="0">IF(J8&gt;0,J8,0)</f>
        <v>112311201.5</v>
      </c>
      <c r="G9" s="120">
        <f>F9*$F$4</f>
        <v>20216016.27</v>
      </c>
      <c r="H9" s="120">
        <f>IF(J8&lt;1,0,(I9-G9))</f>
        <v>15698617.355049428</v>
      </c>
      <c r="I9" s="120">
        <f>PMT(F4,J4,J8)*-1</f>
        <v>35914633.625049427</v>
      </c>
      <c r="J9" s="121">
        <f>F9-H9</f>
        <v>96612584.144950569</v>
      </c>
    </row>
    <row r="10" spans="2:12">
      <c r="B10" s="38" t="s">
        <v>58</v>
      </c>
      <c r="C10" s="47">
        <v>3</v>
      </c>
      <c r="D10" s="23">
        <f>('2'!C25/12)*C10</f>
        <v>4920000</v>
      </c>
      <c r="E10" s="116">
        <f>'1'!C31</f>
        <v>2026</v>
      </c>
      <c r="F10" s="120">
        <f t="shared" si="0"/>
        <v>96612584.144950569</v>
      </c>
      <c r="G10" s="120">
        <f t="shared" ref="G10:G13" si="1">F10*$F$4</f>
        <v>17390265.146091104</v>
      </c>
      <c r="H10" s="120">
        <f t="shared" ref="H10:H13" si="2">IF(J9&lt;1,0,(I10-G10))</f>
        <v>18524368.478958324</v>
      </c>
      <c r="I10" s="120">
        <f>IF(J9&lt;1,0,(I9*(1+$K$7)))</f>
        <v>35914633.625049427</v>
      </c>
      <c r="J10" s="121">
        <f t="shared" ref="J10:J13" si="3">F10-H10</f>
        <v>78088215.665992245</v>
      </c>
    </row>
    <row r="11" spans="2:12">
      <c r="B11" s="38" t="s">
        <v>33</v>
      </c>
      <c r="C11" s="47">
        <v>3</v>
      </c>
      <c r="D11" s="23">
        <f>('2'!F31/12)*C11</f>
        <v>16047076.5</v>
      </c>
      <c r="E11" s="116">
        <f>'1'!D31</f>
        <v>2027</v>
      </c>
      <c r="F11" s="120">
        <f t="shared" si="0"/>
        <v>78088215.665992245</v>
      </c>
      <c r="G11" s="120">
        <f t="shared" si="1"/>
        <v>14055878.819878604</v>
      </c>
      <c r="H11" s="120">
        <f t="shared" si="2"/>
        <v>21858754.805170823</v>
      </c>
      <c r="I11" s="120">
        <f t="shared" ref="I11:I13" si="4">IF(J10&lt;1,0,(I10*(1+$K$7)))</f>
        <v>35914633.625049427</v>
      </c>
      <c r="J11" s="121">
        <f t="shared" si="3"/>
        <v>56229460.860821426</v>
      </c>
    </row>
    <row r="12" spans="2:12" ht="15.5">
      <c r="B12" s="73" t="s">
        <v>8</v>
      </c>
      <c r="C12" s="51"/>
      <c r="D12" s="74">
        <f>SUM(D8:D11)</f>
        <v>86380201.5</v>
      </c>
      <c r="E12" s="116">
        <f>'1'!E31</f>
        <v>2028</v>
      </c>
      <c r="F12" s="120">
        <f t="shared" si="0"/>
        <v>56229460.860821426</v>
      </c>
      <c r="G12" s="120">
        <f t="shared" si="1"/>
        <v>10121302.954947857</v>
      </c>
      <c r="H12" s="120">
        <f t="shared" si="2"/>
        <v>25793330.670101568</v>
      </c>
      <c r="I12" s="120">
        <f t="shared" si="4"/>
        <v>35914633.625049427</v>
      </c>
      <c r="J12" s="121">
        <f t="shared" si="3"/>
        <v>30436130.190719858</v>
      </c>
    </row>
    <row r="13" spans="2:12" ht="15" thickBot="1">
      <c r="E13" s="119">
        <f>'1'!F31</f>
        <v>2029</v>
      </c>
      <c r="F13" s="122">
        <f t="shared" si="0"/>
        <v>30436130.190719858</v>
      </c>
      <c r="G13" s="122">
        <f t="shared" si="1"/>
        <v>5478503.434329574</v>
      </c>
      <c r="H13" s="122">
        <f t="shared" si="2"/>
        <v>30436130.190719854</v>
      </c>
      <c r="I13" s="122">
        <f t="shared" si="4"/>
        <v>35914633.625049427</v>
      </c>
      <c r="J13" s="123">
        <f t="shared" si="3"/>
        <v>0</v>
      </c>
    </row>
    <row r="14" spans="2:12" ht="15.5">
      <c r="B14" s="38" t="s">
        <v>59</v>
      </c>
      <c r="D14" s="67">
        <f>C4+D12</f>
        <v>212311201.5</v>
      </c>
    </row>
    <row r="15" spans="2:12">
      <c r="B15" s="38" t="s">
        <v>60</v>
      </c>
      <c r="D15" s="48">
        <v>100000000</v>
      </c>
    </row>
    <row r="16" spans="2:12" ht="15.5">
      <c r="B16" s="38" t="s">
        <v>61</v>
      </c>
      <c r="D16" s="75">
        <f>D14-D15</f>
        <v>112311201.5</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L43" activePane="bottomRight" state="frozenSplit"/>
      <selection pane="topRight" activeCell="E1" sqref="E1"/>
      <selection pane="bottomLeft" activeCell="A12" sqref="A12"/>
      <selection pane="bottomRight" activeCell="A54" sqref="A54:G59"/>
    </sheetView>
  </sheetViews>
  <sheetFormatPr baseColWidth="10" defaultColWidth="11.453125" defaultRowHeight="14.5"/>
  <cols>
    <col min="1" max="1" width="26.7265625" style="8" customWidth="1"/>
    <col min="2" max="2" width="25.81640625" style="8" bestFit="1" customWidth="1"/>
    <col min="3" max="3" width="21.7265625" style="8" bestFit="1" customWidth="1"/>
    <col min="4" max="7" width="18.453125" style="8" bestFit="1" customWidth="1"/>
    <col min="8" max="16384" width="11.453125" style="8"/>
  </cols>
  <sheetData>
    <row r="1" spans="1:7" ht="34.5" customHeight="1">
      <c r="A1" s="220" t="s">
        <v>117</v>
      </c>
      <c r="B1" s="220"/>
      <c r="C1" s="220"/>
      <c r="D1" s="220"/>
      <c r="E1" s="220"/>
      <c r="F1" s="220"/>
      <c r="G1" s="220"/>
    </row>
    <row r="2" spans="1:7" ht="23">
      <c r="A2" s="221" t="s">
        <v>132</v>
      </c>
      <c r="B2" s="221"/>
      <c r="C2" s="221"/>
      <c r="D2" s="221"/>
      <c r="E2" s="221"/>
      <c r="F2" s="221"/>
      <c r="G2" s="221"/>
    </row>
    <row r="3" spans="1:7" ht="8.25" customHeight="1">
      <c r="A3" s="49"/>
      <c r="B3" s="49"/>
      <c r="C3" s="49"/>
      <c r="D3" s="49"/>
      <c r="E3" s="49"/>
      <c r="F3" s="49"/>
      <c r="G3" s="49"/>
    </row>
    <row r="4" spans="1:7" ht="15.5">
      <c r="A4" s="219" t="s">
        <v>89</v>
      </c>
      <c r="B4" s="219"/>
      <c r="C4" s="219"/>
      <c r="D4" s="219"/>
      <c r="E4" s="219"/>
      <c r="F4" s="219"/>
      <c r="G4" s="219"/>
    </row>
    <row r="5" spans="1:7" ht="23">
      <c r="C5" s="53">
        <f>'1'!B31</f>
        <v>2025</v>
      </c>
      <c r="D5" s="53">
        <f>'1'!C31</f>
        <v>2026</v>
      </c>
      <c r="E5" s="53">
        <f>'1'!D31</f>
        <v>2027</v>
      </c>
      <c r="F5" s="53">
        <f>'1'!E31</f>
        <v>2028</v>
      </c>
      <c r="G5" s="53">
        <f>'1'!F31</f>
        <v>2029</v>
      </c>
    </row>
    <row r="6" spans="1:7">
      <c r="B6" s="8" t="s">
        <v>31</v>
      </c>
      <c r="C6" s="54">
        <f>'1'!B32</f>
        <v>466706300</v>
      </c>
      <c r="D6" s="54">
        <f>'1'!C32</f>
        <v>539325800.28000009</v>
      </c>
      <c r="E6" s="54">
        <f>'1'!D32</f>
        <v>634786466.92956018</v>
      </c>
      <c r="F6" s="54">
        <f>'1'!E32</f>
        <v>747143671.57609248</v>
      </c>
      <c r="G6" s="54">
        <f>'1'!F32</f>
        <v>862950940.67038679</v>
      </c>
    </row>
    <row r="7" spans="1:7">
      <c r="B7" s="8" t="s">
        <v>66</v>
      </c>
      <c r="C7" s="54">
        <f>'1'!B33</f>
        <v>185884500</v>
      </c>
      <c r="D7" s="54">
        <f>'1'!C33</f>
        <v>210793023</v>
      </c>
      <c r="E7" s="54">
        <f>'1'!D33</f>
        <v>243465941.56500003</v>
      </c>
      <c r="F7" s="54">
        <f>'1'!E33</f>
        <v>281203162.50757504</v>
      </c>
      <c r="G7" s="54">
        <f>'1'!F33</f>
        <v>321696417.90866596</v>
      </c>
    </row>
    <row r="8" spans="1:7" ht="15" thickBot="1">
      <c r="B8" s="55" t="s">
        <v>67</v>
      </c>
      <c r="C8" s="56">
        <f>C6-C7</f>
        <v>280821800</v>
      </c>
      <c r="D8" s="56">
        <f t="shared" ref="D8:G8" si="0">D6-D7</f>
        <v>328532777.28000009</v>
      </c>
      <c r="E8" s="56">
        <f t="shared" si="0"/>
        <v>391320525.36456013</v>
      </c>
      <c r="F8" s="56">
        <f t="shared" si="0"/>
        <v>465940509.06851745</v>
      </c>
      <c r="G8" s="56">
        <f t="shared" si="0"/>
        <v>541254522.7617209</v>
      </c>
    </row>
    <row r="9" spans="1:7" ht="15" thickTop="1">
      <c r="B9" s="8" t="s">
        <v>68</v>
      </c>
      <c r="C9" s="54">
        <f>'2'!C23</f>
        <v>75768000</v>
      </c>
      <c r="D9" s="54">
        <f>C9*(1+'1'!Z4)</f>
        <v>81071760</v>
      </c>
      <c r="E9" s="54">
        <f>D9*(1+'1'!AA4)</f>
        <v>86746783.200000003</v>
      </c>
      <c r="F9" s="54">
        <f>E9*(1+'1'!AB4)</f>
        <v>92819058.024000004</v>
      </c>
      <c r="G9" s="54">
        <f>F9*(1+'1'!AC4)</f>
        <v>97460010.925200015</v>
      </c>
    </row>
    <row r="10" spans="1:7">
      <c r="B10" s="8" t="s">
        <v>134</v>
      </c>
      <c r="C10" s="54">
        <f>'2'!F31</f>
        <v>64188306</v>
      </c>
      <c r="D10" s="54">
        <f>C10*(1+'1'!Z4)</f>
        <v>68681487.420000002</v>
      </c>
      <c r="E10" s="54">
        <f>D10*(1+'1'!AA4)</f>
        <v>73489191.539400011</v>
      </c>
      <c r="F10" s="54">
        <f>E10*(1+'1'!AB4)</f>
        <v>78633434.947158024</v>
      </c>
      <c r="G10" s="54">
        <f>F10*(1+'1'!AC4)</f>
        <v>82565106.694515929</v>
      </c>
    </row>
    <row r="11" spans="1:7">
      <c r="B11" s="8" t="s">
        <v>69</v>
      </c>
      <c r="C11" s="54">
        <f>'2'!C25</f>
        <v>19680000</v>
      </c>
      <c r="D11" s="54">
        <f>'2'!C28</f>
        <v>22828800</v>
      </c>
      <c r="E11" s="54">
        <f>'2'!C29</f>
        <v>26481408</v>
      </c>
      <c r="F11" s="54">
        <f>'2'!C30</f>
        <v>30718433.280000001</v>
      </c>
      <c r="G11" s="54">
        <f>'2'!C31</f>
        <v>35633382.604800001</v>
      </c>
    </row>
    <row r="12" spans="1:7">
      <c r="B12" s="8" t="s">
        <v>86</v>
      </c>
      <c r="C12" s="54">
        <f>'2'!G12</f>
        <v>8474600</v>
      </c>
      <c r="D12" s="54">
        <f>C12</f>
        <v>8474600</v>
      </c>
      <c r="E12" s="54">
        <f t="shared" ref="E12:G12" si="1">D12</f>
        <v>8474600</v>
      </c>
      <c r="F12" s="54">
        <f t="shared" si="1"/>
        <v>8474600</v>
      </c>
      <c r="G12" s="54">
        <f t="shared" si="1"/>
        <v>8474600</v>
      </c>
    </row>
    <row r="13" spans="1:7" ht="15" thickBot="1">
      <c r="B13" s="55" t="s">
        <v>70</v>
      </c>
      <c r="C13" s="57">
        <f>C8-C9-C10-C11-C12</f>
        <v>112710894</v>
      </c>
      <c r="D13" s="57">
        <f t="shared" ref="D13:G13" si="2">D8-D9-D10-D11-D12</f>
        <v>147476129.86000007</v>
      </c>
      <c r="E13" s="57">
        <f t="shared" si="2"/>
        <v>196128542.62516013</v>
      </c>
      <c r="F13" s="57">
        <f t="shared" si="2"/>
        <v>255294982.81735942</v>
      </c>
      <c r="G13" s="57">
        <f t="shared" si="2"/>
        <v>317121422.53720498</v>
      </c>
    </row>
    <row r="14" spans="1:7" ht="15" thickTop="1">
      <c r="B14" s="8" t="s">
        <v>71</v>
      </c>
      <c r="C14" s="54">
        <f>'3'!G9</f>
        <v>20216016.27</v>
      </c>
      <c r="D14" s="54">
        <f>'3'!G10</f>
        <v>17390265.146091104</v>
      </c>
      <c r="E14" s="54">
        <f>'3'!G11</f>
        <v>14055878.819878604</v>
      </c>
      <c r="F14" s="54">
        <f>'3'!G12</f>
        <v>10121302.954947857</v>
      </c>
      <c r="G14" s="54">
        <f>'3'!G13</f>
        <v>5478503.434329574</v>
      </c>
    </row>
    <row r="15" spans="1:7" ht="15" thickBot="1">
      <c r="B15" s="55" t="s">
        <v>72</v>
      </c>
      <c r="C15" s="57">
        <f>C13-C14</f>
        <v>92494877.730000004</v>
      </c>
      <c r="D15" s="57">
        <f t="shared" ref="D15:G15" si="3">D13-D14</f>
        <v>130085864.71390897</v>
      </c>
      <c r="E15" s="57">
        <f t="shared" si="3"/>
        <v>182072663.80528152</v>
      </c>
      <c r="F15" s="57">
        <f t="shared" si="3"/>
        <v>245173679.86241156</v>
      </c>
      <c r="G15" s="57">
        <f t="shared" si="3"/>
        <v>311642919.10287541</v>
      </c>
    </row>
    <row r="16" spans="1:7" ht="15" thickTop="1">
      <c r="B16" s="8" t="s">
        <v>73</v>
      </c>
      <c r="C16" s="58">
        <f>IF(C15*'1'!$AB$7&lt;0,0,C15*'1'!$AB$7)</f>
        <v>31448258.428200003</v>
      </c>
      <c r="D16" s="58">
        <f>IF(D15*'1'!$AB$7&lt;0,0,D15*'1'!$AB$7)</f>
        <v>44229194.002729051</v>
      </c>
      <c r="E16" s="58">
        <f>IF(E15*'1'!$AB$7&lt;0,0,E15*'1'!$AB$7)</f>
        <v>61904705.693795718</v>
      </c>
      <c r="F16" s="58">
        <f>IF(F15*'1'!$AB$7&lt;0,0,F15*'1'!$AB$7)</f>
        <v>83359051.153219938</v>
      </c>
      <c r="G16" s="58">
        <f>IF(G15*'1'!$AB$7&lt;0,0,G15*'1'!$AB$7)</f>
        <v>105958592.49497765</v>
      </c>
    </row>
    <row r="17" spans="1:8" ht="15" thickBot="1">
      <c r="B17" s="59" t="s">
        <v>74</v>
      </c>
      <c r="C17" s="60">
        <f>C15-C16</f>
        <v>61046619.301799998</v>
      </c>
      <c r="D17" s="60">
        <f t="shared" ref="D17:G17" si="4">D15-D16</f>
        <v>85856670.711179912</v>
      </c>
      <c r="E17" s="60">
        <f t="shared" si="4"/>
        <v>120167958.11148581</v>
      </c>
      <c r="F17" s="60">
        <f t="shared" si="4"/>
        <v>161814628.70919162</v>
      </c>
      <c r="G17" s="60">
        <f t="shared" si="4"/>
        <v>205684326.60789776</v>
      </c>
    </row>
    <row r="19" spans="1:8" ht="15.5">
      <c r="A19" s="219" t="s">
        <v>64</v>
      </c>
      <c r="B19" s="219"/>
      <c r="C19" s="219"/>
      <c r="D19" s="219"/>
      <c r="E19" s="219"/>
      <c r="F19" s="219"/>
      <c r="G19" s="219"/>
    </row>
    <row r="20" spans="1:8" ht="23">
      <c r="B20" s="61" t="s">
        <v>84</v>
      </c>
      <c r="C20" s="53">
        <f>C5</f>
        <v>2025</v>
      </c>
      <c r="D20" s="53">
        <f>D5</f>
        <v>2026</v>
      </c>
      <c r="E20" s="53">
        <f>E5</f>
        <v>2027</v>
      </c>
      <c r="F20" s="53">
        <f>F5</f>
        <v>2028</v>
      </c>
      <c r="G20" s="53">
        <f>G5</f>
        <v>2029</v>
      </c>
    </row>
    <row r="21" spans="1:8">
      <c r="A21" s="218" t="s">
        <v>65</v>
      </c>
      <c r="B21" s="218"/>
      <c r="C21" s="218"/>
      <c r="D21" s="218"/>
      <c r="E21" s="218"/>
      <c r="F21" s="218"/>
      <c r="G21" s="218"/>
    </row>
    <row r="22" spans="1:8">
      <c r="A22" s="8" t="s">
        <v>95</v>
      </c>
      <c r="B22" s="24">
        <f>B38-B26</f>
        <v>86380201.5</v>
      </c>
      <c r="C22" s="24">
        <f t="shared" ref="C22:G22" si="5">C38-C26</f>
        <v>171651061.87495059</v>
      </c>
      <c r="D22" s="24">
        <f t="shared" si="5"/>
        <v>199192280.37990117</v>
      </c>
      <c r="E22" s="24">
        <f t="shared" si="5"/>
        <v>237794924.66610295</v>
      </c>
      <c r="F22" s="24">
        <f t="shared" si="5"/>
        <v>283577210.0531314</v>
      </c>
      <c r="G22" s="24">
        <f t="shared" si="5"/>
        <v>328084919.10287541</v>
      </c>
    </row>
    <row r="23" spans="1:8">
      <c r="A23" s="8" t="s">
        <v>93</v>
      </c>
      <c r="B23" s="24">
        <f>'2'!C4</f>
        <v>50000000</v>
      </c>
      <c r="C23" s="24">
        <f>B23</f>
        <v>50000000</v>
      </c>
      <c r="D23" s="24">
        <f t="shared" ref="D23:G23" si="6">C23</f>
        <v>50000000</v>
      </c>
      <c r="E23" s="24">
        <f t="shared" si="6"/>
        <v>50000000</v>
      </c>
      <c r="F23" s="24">
        <f t="shared" si="6"/>
        <v>50000000</v>
      </c>
      <c r="G23" s="24">
        <f t="shared" si="6"/>
        <v>50000000</v>
      </c>
      <c r="H23" s="24"/>
    </row>
    <row r="24" spans="1:8">
      <c r="A24" s="8" t="s">
        <v>94</v>
      </c>
      <c r="B24" s="24">
        <f>'2'!C12-'2'!C4</f>
        <v>75931000</v>
      </c>
      <c r="C24" s="24">
        <f>B24</f>
        <v>75931000</v>
      </c>
      <c r="D24" s="24">
        <f t="shared" ref="D24:G24" si="7">C24</f>
        <v>75931000</v>
      </c>
      <c r="E24" s="24">
        <f t="shared" si="7"/>
        <v>75931000</v>
      </c>
      <c r="F24" s="24">
        <f t="shared" si="7"/>
        <v>75931000</v>
      </c>
      <c r="G24" s="24">
        <f t="shared" si="7"/>
        <v>75931000</v>
      </c>
      <c r="H24" s="24"/>
    </row>
    <row r="25" spans="1:8">
      <c r="A25" s="8" t="s">
        <v>87</v>
      </c>
      <c r="B25" s="24">
        <v>0</v>
      </c>
      <c r="C25" s="24">
        <f>C12</f>
        <v>8474600</v>
      </c>
      <c r="D25" s="24">
        <f>D12+C12</f>
        <v>16949200</v>
      </c>
      <c r="E25" s="24">
        <f>E12+D12+C12</f>
        <v>25423800</v>
      </c>
      <c r="F25" s="24">
        <f>F12+E12+D12+C12</f>
        <v>33898400</v>
      </c>
      <c r="G25" s="24">
        <f>F25+G12</f>
        <v>42373000</v>
      </c>
      <c r="H25" s="24"/>
    </row>
    <row r="26" spans="1:8">
      <c r="A26" s="8" t="s">
        <v>88</v>
      </c>
      <c r="B26" s="24">
        <f>B23+(B24-B25)</f>
        <v>125931000</v>
      </c>
      <c r="C26" s="24">
        <f>C23+(C24-C25)</f>
        <v>117456400</v>
      </c>
      <c r="D26" s="24">
        <f t="shared" ref="D26:G26" si="8">D23+(D24-D25)</f>
        <v>108981800</v>
      </c>
      <c r="E26" s="24">
        <f t="shared" si="8"/>
        <v>100507200</v>
      </c>
      <c r="F26" s="24">
        <f t="shared" si="8"/>
        <v>92032600</v>
      </c>
      <c r="G26" s="24">
        <f t="shared" si="8"/>
        <v>83558000</v>
      </c>
      <c r="H26" s="24"/>
    </row>
    <row r="27" spans="1:8" ht="15" thickBot="1">
      <c r="A27" s="55" t="s">
        <v>85</v>
      </c>
      <c r="B27" s="62">
        <f>B22+B26</f>
        <v>212311201.5</v>
      </c>
      <c r="C27" s="62">
        <f t="shared" ref="C27:G27" si="9">C22+C26</f>
        <v>289107461.87495059</v>
      </c>
      <c r="D27" s="62">
        <f t="shared" si="9"/>
        <v>308174080.37990117</v>
      </c>
      <c r="E27" s="62">
        <f t="shared" si="9"/>
        <v>338302124.66610295</v>
      </c>
      <c r="F27" s="62">
        <f t="shared" si="9"/>
        <v>375609810.0531314</v>
      </c>
      <c r="G27" s="62">
        <f t="shared" si="9"/>
        <v>411642919.10287541</v>
      </c>
      <c r="H27" s="24"/>
    </row>
    <row r="28" spans="1:8" ht="15" thickTop="1">
      <c r="A28" s="218" t="s">
        <v>75</v>
      </c>
      <c r="B28" s="218"/>
      <c r="C28" s="218"/>
      <c r="D28" s="218"/>
      <c r="E28" s="218"/>
      <c r="F28" s="218"/>
      <c r="G28" s="218"/>
    </row>
    <row r="29" spans="1:8">
      <c r="A29" s="8" t="s">
        <v>76</v>
      </c>
      <c r="B29" s="8">
        <v>0</v>
      </c>
      <c r="C29" s="58">
        <f>C16</f>
        <v>31448258.428200003</v>
      </c>
      <c r="D29" s="58">
        <f>D16</f>
        <v>44229194.002729051</v>
      </c>
      <c r="E29" s="58">
        <f>E16</f>
        <v>61904705.693795718</v>
      </c>
      <c r="F29" s="58">
        <f>F16</f>
        <v>83359051.153219938</v>
      </c>
      <c r="G29" s="58">
        <f>G16</f>
        <v>105958592.49497765</v>
      </c>
    </row>
    <row r="30" spans="1:8">
      <c r="A30" s="8" t="s">
        <v>77</v>
      </c>
      <c r="B30" s="58">
        <f>B29</f>
        <v>0</v>
      </c>
      <c r="C30" s="58">
        <f t="shared" ref="C30:G30" si="10">C29</f>
        <v>31448258.428200003</v>
      </c>
      <c r="D30" s="58">
        <f t="shared" si="10"/>
        <v>44229194.002729051</v>
      </c>
      <c r="E30" s="58">
        <f t="shared" si="10"/>
        <v>61904705.693795718</v>
      </c>
      <c r="F30" s="58">
        <f t="shared" si="10"/>
        <v>83359051.153219938</v>
      </c>
      <c r="G30" s="58">
        <f t="shared" si="10"/>
        <v>105958592.49497765</v>
      </c>
    </row>
    <row r="31" spans="1:8">
      <c r="A31" s="8" t="s">
        <v>78</v>
      </c>
      <c r="B31" s="23">
        <f>'3'!J8</f>
        <v>112311201.5</v>
      </c>
      <c r="C31" s="23">
        <f>'3'!J9</f>
        <v>96612584.144950569</v>
      </c>
      <c r="D31" s="23">
        <f>'3'!J10</f>
        <v>78088215.665992245</v>
      </c>
      <c r="E31" s="23">
        <f>'3'!J11</f>
        <v>56229460.860821426</v>
      </c>
      <c r="F31" s="23">
        <f>'3'!J12</f>
        <v>30436130.190719858</v>
      </c>
      <c r="G31" s="23">
        <f>'3'!J13</f>
        <v>0</v>
      </c>
    </row>
    <row r="32" spans="1:8" ht="15" thickBot="1">
      <c r="A32" s="55" t="s">
        <v>75</v>
      </c>
      <c r="B32" s="62">
        <f>B30+B31</f>
        <v>112311201.5</v>
      </c>
      <c r="C32" s="62">
        <f t="shared" ref="C32:G32" si="11">C30+C31</f>
        <v>128060842.57315058</v>
      </c>
      <c r="D32" s="62">
        <f t="shared" si="11"/>
        <v>122317409.66872129</v>
      </c>
      <c r="E32" s="62">
        <f t="shared" si="11"/>
        <v>118134166.55461714</v>
      </c>
      <c r="F32" s="62">
        <f t="shared" si="11"/>
        <v>113795181.3439398</v>
      </c>
      <c r="G32" s="62">
        <f t="shared" si="11"/>
        <v>105958592.49497765</v>
      </c>
    </row>
    <row r="33" spans="1:7" ht="15" thickTop="1">
      <c r="A33" s="218" t="s">
        <v>79</v>
      </c>
      <c r="B33" s="218"/>
      <c r="C33" s="218"/>
      <c r="D33" s="218"/>
      <c r="E33" s="218"/>
      <c r="F33" s="218"/>
      <c r="G33" s="218"/>
    </row>
    <row r="34" spans="1:7">
      <c r="A34" s="8" t="s">
        <v>80</v>
      </c>
      <c r="B34" s="24">
        <f>'3'!D15</f>
        <v>100000000</v>
      </c>
      <c r="C34" s="24">
        <f>B34</f>
        <v>100000000</v>
      </c>
      <c r="D34" s="24">
        <f t="shared" ref="D34:G34" si="12">C34</f>
        <v>100000000</v>
      </c>
      <c r="E34" s="24">
        <f t="shared" si="12"/>
        <v>100000000</v>
      </c>
      <c r="F34" s="24">
        <f t="shared" si="12"/>
        <v>100000000</v>
      </c>
      <c r="G34" s="24">
        <f t="shared" si="12"/>
        <v>100000000</v>
      </c>
    </row>
    <row r="35" spans="1:7">
      <c r="A35" s="8" t="s">
        <v>81</v>
      </c>
      <c r="B35" s="8">
        <v>0</v>
      </c>
      <c r="C35" s="58">
        <f>C17</f>
        <v>61046619.301799998</v>
      </c>
      <c r="D35" s="58">
        <f>D17</f>
        <v>85856670.711179912</v>
      </c>
      <c r="E35" s="58">
        <f>E17</f>
        <v>120167958.11148581</v>
      </c>
      <c r="F35" s="58">
        <f>F17</f>
        <v>161814628.70919162</v>
      </c>
      <c r="G35" s="58">
        <f>G17</f>
        <v>205684326.60789776</v>
      </c>
    </row>
    <row r="36" spans="1:7" ht="15" thickBot="1">
      <c r="A36" s="55" t="s">
        <v>82</v>
      </c>
      <c r="B36" s="62">
        <f>B34+B35</f>
        <v>100000000</v>
      </c>
      <c r="C36" s="62">
        <f t="shared" ref="C36:G36" si="13">C34+C35</f>
        <v>161046619.30180001</v>
      </c>
      <c r="D36" s="62">
        <f t="shared" si="13"/>
        <v>185856670.71117991</v>
      </c>
      <c r="E36" s="62">
        <f t="shared" si="13"/>
        <v>220167958.11148581</v>
      </c>
      <c r="F36" s="62">
        <f t="shared" si="13"/>
        <v>261814628.70919162</v>
      </c>
      <c r="G36" s="62">
        <f t="shared" si="13"/>
        <v>305684326.60789776</v>
      </c>
    </row>
    <row r="37" spans="1:7" ht="15" thickTop="1"/>
    <row r="38" spans="1:7" ht="15" thickBot="1">
      <c r="A38" s="55" t="s">
        <v>83</v>
      </c>
      <c r="B38" s="62">
        <f>B32+B36</f>
        <v>212311201.5</v>
      </c>
      <c r="C38" s="62">
        <f t="shared" ref="C38:G38" si="14">C32+C36</f>
        <v>289107461.87495059</v>
      </c>
      <c r="D38" s="62">
        <f t="shared" si="14"/>
        <v>308174080.37990117</v>
      </c>
      <c r="E38" s="62">
        <f t="shared" si="14"/>
        <v>338302124.66610295</v>
      </c>
      <c r="F38" s="62">
        <f t="shared" si="14"/>
        <v>375609810.0531314</v>
      </c>
      <c r="G38" s="62">
        <f t="shared" si="14"/>
        <v>411642919.10287541</v>
      </c>
    </row>
    <row r="39" spans="1:7" ht="15" thickTop="1">
      <c r="A39" s="51" t="s">
        <v>90</v>
      </c>
      <c r="B39" s="63">
        <f>B27-B38</f>
        <v>0</v>
      </c>
      <c r="C39" s="63">
        <f t="shared" ref="C39:G39" si="15">C27-C38</f>
        <v>0</v>
      </c>
      <c r="D39" s="63">
        <f t="shared" si="15"/>
        <v>0</v>
      </c>
      <c r="E39" s="63">
        <f t="shared" si="15"/>
        <v>0</v>
      </c>
      <c r="F39" s="63">
        <f t="shared" si="15"/>
        <v>0</v>
      </c>
      <c r="G39" s="63">
        <f t="shared" si="15"/>
        <v>0</v>
      </c>
    </row>
    <row r="41" spans="1:7" ht="15.5">
      <c r="A41" s="219" t="s">
        <v>96</v>
      </c>
      <c r="B41" s="219"/>
      <c r="C41" s="219"/>
      <c r="D41" s="219"/>
      <c r="E41" s="219"/>
      <c r="F41" s="219"/>
      <c r="G41" s="219"/>
    </row>
    <row r="42" spans="1:7">
      <c r="A42" s="218" t="s">
        <v>97</v>
      </c>
      <c r="B42" s="218"/>
      <c r="C42" s="218"/>
      <c r="D42" s="218"/>
      <c r="E42" s="218"/>
      <c r="F42" s="218"/>
      <c r="G42" s="218"/>
    </row>
    <row r="43" spans="1:7" ht="23">
      <c r="A43" s="11"/>
      <c r="B43" s="61" t="s">
        <v>84</v>
      </c>
      <c r="C43" s="53">
        <f>C20</f>
        <v>2025</v>
      </c>
      <c r="D43" s="53">
        <f t="shared" ref="D43:G43" si="16">D20</f>
        <v>2026</v>
      </c>
      <c r="E43" s="53">
        <f t="shared" si="16"/>
        <v>2027</v>
      </c>
      <c r="F43" s="53">
        <f t="shared" si="16"/>
        <v>2028</v>
      </c>
      <c r="G43" s="53">
        <f t="shared" si="16"/>
        <v>2029</v>
      </c>
    </row>
    <row r="44" spans="1:7">
      <c r="A44" s="1" t="s">
        <v>98</v>
      </c>
      <c r="B44" s="2">
        <f>B22</f>
        <v>86380201.5</v>
      </c>
      <c r="C44" s="2">
        <f t="shared" ref="C44:G44" si="17">C22</f>
        <v>171651061.87495059</v>
      </c>
      <c r="D44" s="2">
        <f t="shared" si="17"/>
        <v>199192280.37990117</v>
      </c>
      <c r="E44" s="2">
        <f t="shared" si="17"/>
        <v>237794924.66610295</v>
      </c>
      <c r="F44" s="2">
        <f t="shared" si="17"/>
        <v>283577210.0531314</v>
      </c>
      <c r="G44" s="2">
        <f t="shared" si="17"/>
        <v>328084919.10287541</v>
      </c>
    </row>
    <row r="45" spans="1:7" ht="15" thickBot="1">
      <c r="A45" s="1" t="s">
        <v>99</v>
      </c>
      <c r="B45" s="3">
        <f>B29</f>
        <v>0</v>
      </c>
      <c r="C45" s="3">
        <f t="shared" ref="C45:G45" si="18">C29</f>
        <v>31448258.428200003</v>
      </c>
      <c r="D45" s="3">
        <f t="shared" si="18"/>
        <v>44229194.002729051</v>
      </c>
      <c r="E45" s="3">
        <f t="shared" si="18"/>
        <v>61904705.693795718</v>
      </c>
      <c r="F45" s="3">
        <f t="shared" si="18"/>
        <v>83359051.153219938</v>
      </c>
      <c r="G45" s="3">
        <f t="shared" si="18"/>
        <v>105958592.49497765</v>
      </c>
    </row>
    <row r="46" spans="1:7" ht="15" thickTop="1">
      <c r="A46" s="4" t="s">
        <v>100</v>
      </c>
      <c r="B46" s="5">
        <f t="shared" ref="B46:G46" si="19">B44-B45</f>
        <v>86380201.5</v>
      </c>
      <c r="C46" s="5">
        <f t="shared" si="19"/>
        <v>140202803.44675058</v>
      </c>
      <c r="D46" s="5">
        <f t="shared" si="19"/>
        <v>154963086.37717211</v>
      </c>
      <c r="E46" s="5">
        <f t="shared" si="19"/>
        <v>175890218.97230724</v>
      </c>
      <c r="F46" s="5">
        <f t="shared" si="19"/>
        <v>200218158.89991146</v>
      </c>
      <c r="G46" s="5">
        <f t="shared" si="19"/>
        <v>222126326.60789776</v>
      </c>
    </row>
    <row r="47" spans="1:7">
      <c r="A47" s="1"/>
      <c r="B47" s="2"/>
      <c r="C47" s="2"/>
      <c r="D47" s="2"/>
      <c r="E47" s="2"/>
      <c r="F47" s="2"/>
      <c r="G47" s="2"/>
    </row>
    <row r="48" spans="1:7">
      <c r="A48" s="4" t="s">
        <v>101</v>
      </c>
      <c r="B48" s="2">
        <f>B26</f>
        <v>125931000</v>
      </c>
      <c r="C48" s="2">
        <f t="shared" ref="C48:G48" si="20">C26</f>
        <v>117456400</v>
      </c>
      <c r="D48" s="2">
        <f t="shared" si="20"/>
        <v>108981800</v>
      </c>
      <c r="E48" s="2">
        <f t="shared" si="20"/>
        <v>100507200</v>
      </c>
      <c r="F48" s="2">
        <f t="shared" si="20"/>
        <v>92032600</v>
      </c>
      <c r="G48" s="2">
        <f t="shared" si="20"/>
        <v>83558000</v>
      </c>
    </row>
    <row r="49" spans="1:7" ht="15" thickBot="1">
      <c r="A49" s="1" t="s">
        <v>102</v>
      </c>
      <c r="B49" s="3">
        <f>B25</f>
        <v>0</v>
      </c>
      <c r="C49" s="3">
        <f t="shared" ref="C49:G49" si="21">C25</f>
        <v>8474600</v>
      </c>
      <c r="D49" s="3">
        <f t="shared" si="21"/>
        <v>16949200</v>
      </c>
      <c r="E49" s="3">
        <f t="shared" si="21"/>
        <v>25423800</v>
      </c>
      <c r="F49" s="3">
        <f t="shared" si="21"/>
        <v>33898400</v>
      </c>
      <c r="G49" s="3">
        <f t="shared" si="21"/>
        <v>42373000</v>
      </c>
    </row>
    <row r="50" spans="1:7" ht="15" thickTop="1">
      <c r="A50" s="4" t="s">
        <v>103</v>
      </c>
      <c r="B50" s="5">
        <f t="shared" ref="B50:G50" si="22">B48+B49</f>
        <v>125931000</v>
      </c>
      <c r="C50" s="5">
        <f t="shared" si="22"/>
        <v>125931000</v>
      </c>
      <c r="D50" s="5">
        <f t="shared" si="22"/>
        <v>125931000</v>
      </c>
      <c r="E50" s="5">
        <f t="shared" si="22"/>
        <v>125931000</v>
      </c>
      <c r="F50" s="5">
        <f t="shared" si="22"/>
        <v>125931000</v>
      </c>
      <c r="G50" s="5">
        <f t="shared" si="22"/>
        <v>125931000</v>
      </c>
    </row>
    <row r="51" spans="1:7">
      <c r="A51" s="1"/>
      <c r="B51" s="2"/>
      <c r="C51" s="2"/>
      <c r="D51" s="2"/>
      <c r="E51" s="2"/>
      <c r="F51" s="2"/>
      <c r="G51" s="2"/>
    </row>
    <row r="52" spans="1:7" ht="15" thickBot="1">
      <c r="A52" s="12" t="s">
        <v>104</v>
      </c>
      <c r="B52" s="6">
        <f t="shared" ref="B52:G52" si="23">B46+B48</f>
        <v>212311201.5</v>
      </c>
      <c r="C52" s="6">
        <f t="shared" si="23"/>
        <v>257659203.44675058</v>
      </c>
      <c r="D52" s="6">
        <f t="shared" si="23"/>
        <v>263944886.37717211</v>
      </c>
      <c r="E52" s="6">
        <f t="shared" si="23"/>
        <v>276397418.97230721</v>
      </c>
      <c r="F52" s="6">
        <f t="shared" si="23"/>
        <v>292250758.89991146</v>
      </c>
      <c r="G52" s="6">
        <f t="shared" si="23"/>
        <v>305684326.60789776</v>
      </c>
    </row>
    <row r="53" spans="1:7" ht="15" thickTop="1">
      <c r="A53" s="7"/>
      <c r="B53" s="2"/>
      <c r="C53" s="2"/>
      <c r="D53" s="2"/>
      <c r="E53" s="2"/>
      <c r="F53" s="2"/>
      <c r="G53" s="2"/>
    </row>
    <row r="54" spans="1:7">
      <c r="A54" s="217" t="s">
        <v>105</v>
      </c>
      <c r="B54" s="217"/>
      <c r="C54" s="217"/>
      <c r="D54" s="217"/>
      <c r="E54" s="217"/>
      <c r="F54" s="217"/>
      <c r="G54" s="217"/>
    </row>
    <row r="55" spans="1:7">
      <c r="A55" s="1" t="s">
        <v>106</v>
      </c>
      <c r="C55" s="9">
        <f>C13</f>
        <v>112710894</v>
      </c>
      <c r="D55" s="9">
        <f t="shared" ref="D55:G55" si="24">D13</f>
        <v>147476129.86000007</v>
      </c>
      <c r="E55" s="9">
        <f t="shared" si="24"/>
        <v>196128542.62516013</v>
      </c>
      <c r="F55" s="9">
        <f t="shared" si="24"/>
        <v>255294982.81735942</v>
      </c>
      <c r="G55" s="9">
        <f t="shared" si="24"/>
        <v>317121422.53720498</v>
      </c>
    </row>
    <row r="56" spans="1:7" ht="15" thickBot="1">
      <c r="A56" s="1" t="s">
        <v>107</v>
      </c>
      <c r="C56" s="10">
        <f>C55*'1'!$AB$7</f>
        <v>38321703.960000001</v>
      </c>
      <c r="D56" s="10">
        <f>D55*'1'!$AB$7</f>
        <v>50141884.152400032</v>
      </c>
      <c r="E56" s="10">
        <f>E55*'1'!$AB$7</f>
        <v>66683704.492554449</v>
      </c>
      <c r="F56" s="10">
        <f>F55*'1'!$AB$7</f>
        <v>86800294.157902211</v>
      </c>
      <c r="G56" s="10">
        <f>G55*'1'!$AB$7</f>
        <v>107821283.66264971</v>
      </c>
    </row>
    <row r="57" spans="1:7" ht="15" thickTop="1">
      <c r="A57" s="4" t="s">
        <v>108</v>
      </c>
      <c r="C57" s="9">
        <f>C55-C56</f>
        <v>74389190.039999992</v>
      </c>
      <c r="D57" s="9">
        <f>D55-D56</f>
        <v>97334245.707600042</v>
      </c>
      <c r="E57" s="9">
        <f>E55-E56</f>
        <v>129444838.13260567</v>
      </c>
      <c r="F57" s="9">
        <f>F55-F56</f>
        <v>168494688.65945721</v>
      </c>
      <c r="G57" s="9">
        <f>G55-G56</f>
        <v>209300138.87455529</v>
      </c>
    </row>
    <row r="58" spans="1:7" ht="15" thickBot="1">
      <c r="A58" s="1" t="s">
        <v>109</v>
      </c>
      <c r="C58" s="10">
        <f>-(C52-B52)</f>
        <v>-45348001.946750581</v>
      </c>
      <c r="D58" s="10">
        <f t="shared" ref="D58:G58" si="25">-(D52-C52)</f>
        <v>-6285682.9304215312</v>
      </c>
      <c r="E58" s="10">
        <f t="shared" si="25"/>
        <v>-12452532.595135093</v>
      </c>
      <c r="F58" s="10">
        <f t="shared" si="25"/>
        <v>-15853339.927604258</v>
      </c>
      <c r="G58" s="10">
        <f t="shared" si="25"/>
        <v>-13433567.707986295</v>
      </c>
    </row>
    <row r="59" spans="1:7" ht="15.5" thickTop="1" thickBot="1">
      <c r="A59" s="50" t="s">
        <v>110</v>
      </c>
      <c r="B59" s="51"/>
      <c r="C59" s="52">
        <f>SUM(C57:C58)</f>
        <v>29041188.09324941</v>
      </c>
      <c r="D59" s="52">
        <f t="shared" ref="D59:G59" si="26">SUM(D57:D58)</f>
        <v>91048562.777178511</v>
      </c>
      <c r="E59" s="52">
        <f t="shared" si="26"/>
        <v>116992305.53747058</v>
      </c>
      <c r="F59" s="52">
        <f t="shared" si="26"/>
        <v>152641348.73185295</v>
      </c>
      <c r="G59" s="52">
        <f t="shared" si="26"/>
        <v>195866571.16656899</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70" zoomScaleNormal="70" workbookViewId="0">
      <selection activeCell="B13" sqref="B13:H13"/>
    </sheetView>
  </sheetViews>
  <sheetFormatPr baseColWidth="10" defaultColWidth="11.453125" defaultRowHeight="14.5"/>
  <cols>
    <col min="1" max="1" width="11.453125" style="8"/>
    <col min="2" max="2" width="32.54296875" style="8" customWidth="1"/>
    <col min="3" max="3" width="24.26953125" style="8" bestFit="1" customWidth="1"/>
    <col min="4" max="4" width="36.26953125" style="8" bestFit="1" customWidth="1"/>
    <col min="5" max="5" width="27.26953125" style="8" bestFit="1" customWidth="1"/>
    <col min="6" max="6" width="26" style="8" customWidth="1"/>
    <col min="7" max="8" width="20.7265625" style="8" bestFit="1" customWidth="1"/>
    <col min="9" max="9" width="11.453125" style="8"/>
    <col min="10" max="10" width="12" style="8" bestFit="1" customWidth="1"/>
    <col min="11" max="14" width="11.453125" style="8"/>
    <col min="15" max="15" width="15.26953125" style="8" bestFit="1" customWidth="1"/>
    <col min="16" max="16" width="21.54296875" style="8" bestFit="1" customWidth="1"/>
    <col min="17" max="16384" width="11.453125" style="8"/>
  </cols>
  <sheetData>
    <row r="2" spans="2:16" ht="38.25" customHeight="1">
      <c r="B2" s="205" t="s">
        <v>131</v>
      </c>
      <c r="C2" s="205"/>
      <c r="D2" s="205"/>
      <c r="E2" s="205"/>
      <c r="F2" s="205"/>
      <c r="G2" s="205"/>
      <c r="H2" s="205"/>
    </row>
    <row r="3" spans="2:16" ht="15.75" customHeight="1">
      <c r="B3" s="225" t="s">
        <v>158</v>
      </c>
      <c r="C3" s="225"/>
      <c r="D3" s="225"/>
      <c r="E3" s="226">
        <v>0.25</v>
      </c>
      <c r="F3" s="226"/>
    </row>
    <row r="4" spans="2:16" ht="16.5" customHeight="1">
      <c r="B4" s="225"/>
      <c r="C4" s="225"/>
      <c r="D4" s="225"/>
      <c r="E4" s="226"/>
      <c r="F4" s="226"/>
      <c r="O4" s="93"/>
    </row>
    <row r="5" spans="2:16" ht="16.5" customHeight="1">
      <c r="B5" s="223"/>
      <c r="C5" s="223"/>
      <c r="D5" s="223"/>
      <c r="E5" s="130"/>
      <c r="F5" s="130"/>
      <c r="O5" s="93"/>
    </row>
    <row r="6" spans="2:16" ht="15" thickBot="1">
      <c r="O6" s="93"/>
      <c r="P6" s="96"/>
    </row>
    <row r="7" spans="2:16" ht="23">
      <c r="B7" s="92" t="s">
        <v>111</v>
      </c>
      <c r="C7" s="76" t="s">
        <v>112</v>
      </c>
      <c r="D7" s="77">
        <f>'4'!C20</f>
        <v>2025</v>
      </c>
      <c r="E7" s="77">
        <f>'4'!D20</f>
        <v>2026</v>
      </c>
      <c r="F7" s="77">
        <f>'4'!E20</f>
        <v>2027</v>
      </c>
      <c r="G7" s="77">
        <f>'4'!F20</f>
        <v>2028</v>
      </c>
      <c r="H7" s="78">
        <f>'4'!G20</f>
        <v>2029</v>
      </c>
      <c r="O7" s="93"/>
      <c r="P7" s="95"/>
    </row>
    <row r="8" spans="2:16" ht="19" thickBot="1">
      <c r="B8" s="79"/>
      <c r="C8" s="101">
        <f>-'3'!D14</f>
        <v>-212311201.5</v>
      </c>
      <c r="D8" s="101">
        <f>'4'!C59</f>
        <v>29041188.09324941</v>
      </c>
      <c r="E8" s="101">
        <f>'4'!D59</f>
        <v>91048562.777178511</v>
      </c>
      <c r="F8" s="101">
        <f>'4'!E59</f>
        <v>116992305.53747058</v>
      </c>
      <c r="G8" s="101">
        <f>'4'!F59</f>
        <v>152641348.73185295</v>
      </c>
      <c r="H8" s="102">
        <f>'4'!G59</f>
        <v>195866571.16656899</v>
      </c>
      <c r="O8" s="93"/>
      <c r="P8" s="95"/>
    </row>
    <row r="9" spans="2:16" ht="15" thickBot="1">
      <c r="C9" s="64">
        <f>C8/(1+$E$3)^0</f>
        <v>-212311201.5</v>
      </c>
      <c r="D9" s="64">
        <f>D8/(1+$E$3)^1</f>
        <v>23232950.474599529</v>
      </c>
      <c r="E9" s="64">
        <f>E8/(1+$E$3)^2</f>
        <v>58271080.177394249</v>
      </c>
      <c r="F9" s="64">
        <f>F8/(1+$E$3)^3</f>
        <v>59900060.435184933</v>
      </c>
      <c r="G9" s="64">
        <f>G8/(1+$E$3)^4</f>
        <v>62521896.440566964</v>
      </c>
      <c r="H9" s="64">
        <f>H8/(1+$E$3)^5</f>
        <v>64181558.039861329</v>
      </c>
      <c r="O9" s="93"/>
      <c r="P9" s="95"/>
    </row>
    <row r="10" spans="2:16" ht="24" thickBot="1">
      <c r="B10" s="28" t="s">
        <v>113</v>
      </c>
      <c r="C10" s="29"/>
      <c r="D10" s="103">
        <f>NPV(E3,D8:H8)+$C$8</f>
        <v>55796344.067607015</v>
      </c>
      <c r="O10" s="93"/>
      <c r="P10" s="95"/>
    </row>
    <row r="11" spans="2:16" ht="28.5" thickBot="1">
      <c r="B11" s="100" t="s">
        <v>114</v>
      </c>
      <c r="C11" s="29"/>
      <c r="D11" s="104">
        <f>IF(ISERROR(IRR(C8:H8)),"NO_APLICA",(IRR(C8:H8)))</f>
        <v>0.3426905977150112</v>
      </c>
      <c r="F11" s="97" t="s">
        <v>136</v>
      </c>
      <c r="G11" s="29"/>
      <c r="H11" s="98">
        <f>IF(ISERROR(-C9/AVERAGE(D9:H9)),"NO_APLICA",(-C9/AVERAGE(D9:H9)))</f>
        <v>3.9594409969051547</v>
      </c>
      <c r="I11" s="99" t="s">
        <v>63</v>
      </c>
      <c r="P11" s="94"/>
    </row>
    <row r="13" spans="2:16" ht="18">
      <c r="B13" s="227" t="s">
        <v>118</v>
      </c>
      <c r="C13" s="227"/>
      <c r="D13" s="227"/>
      <c r="E13" s="227"/>
      <c r="F13" s="227"/>
      <c r="G13" s="227"/>
      <c r="H13" s="227"/>
    </row>
    <row r="14" spans="2:16" ht="36.5">
      <c r="B14" s="80" t="str">
        <f>'1'!B2</f>
        <v>NOMBRE DEL PRODUCTO O SERVICIO</v>
      </c>
      <c r="C14" s="80" t="s">
        <v>119</v>
      </c>
      <c r="D14" s="80" t="s">
        <v>120</v>
      </c>
      <c r="E14" s="80" t="s">
        <v>121</v>
      </c>
      <c r="F14" s="80" t="s">
        <v>123</v>
      </c>
      <c r="H14" s="64"/>
      <c r="I14" s="64"/>
      <c r="J14" s="64" t="s">
        <v>127</v>
      </c>
    </row>
    <row r="15" spans="2:16">
      <c r="B15" s="35" t="str">
        <f>'1'!B3</f>
        <v>Plan 1</v>
      </c>
      <c r="C15" s="81">
        <f>'1'!D3-'1'!D17</f>
        <v>81600</v>
      </c>
      <c r="D15" s="82">
        <f>'1'!F3</f>
        <v>0.10524477599723853</v>
      </c>
      <c r="E15" s="81">
        <f>C15*D15</f>
        <v>8587.973721374663</v>
      </c>
      <c r="F15" s="83">
        <f t="shared" ref="F15:F24" si="0">$E$28*D15</f>
        <v>111.79677083705116</v>
      </c>
      <c r="G15" s="35" t="s">
        <v>122</v>
      </c>
      <c r="H15" s="65">
        <f>'1'!D3</f>
        <v>129600</v>
      </c>
      <c r="I15" s="84">
        <f t="shared" ref="I15:I24" si="1">$B$35*D15</f>
        <v>223.59354167410231</v>
      </c>
      <c r="J15" s="65">
        <f>'1'!D17</f>
        <v>48000</v>
      </c>
    </row>
    <row r="16" spans="2:16">
      <c r="B16" s="85" t="str">
        <f>'1'!B4</f>
        <v>Plan 2</v>
      </c>
      <c r="C16" s="81">
        <f>'1'!D4-'1'!D18</f>
        <v>100900</v>
      </c>
      <c r="D16" s="82">
        <f>'1'!F4</f>
        <v>0.21862936069215264</v>
      </c>
      <c r="E16" s="81">
        <f t="shared" ref="E16:E24" si="2">C16*D16</f>
        <v>22059.702493838202</v>
      </c>
      <c r="F16" s="83">
        <f t="shared" si="0"/>
        <v>232.24009271674362</v>
      </c>
      <c r="G16" s="35" t="str">
        <f>G15</f>
        <v>UNIDADES</v>
      </c>
      <c r="H16" s="65">
        <f>'1'!D4</f>
        <v>153900</v>
      </c>
      <c r="I16" s="84">
        <f t="shared" si="1"/>
        <v>464.48018543348724</v>
      </c>
      <c r="J16" s="65">
        <f>'1'!D18</f>
        <v>53000</v>
      </c>
    </row>
    <row r="17" spans="2:10">
      <c r="B17" s="85" t="str">
        <f>'1'!B5</f>
        <v>Plan 3</v>
      </c>
      <c r="C17" s="81">
        <f>'1'!D5-'1'!D19</f>
        <v>115900</v>
      </c>
      <c r="D17" s="82">
        <f>'1'!F5</f>
        <v>0.18730237839086381</v>
      </c>
      <c r="E17" s="81">
        <f t="shared" si="2"/>
        <v>21708.345655501114</v>
      </c>
      <c r="F17" s="83">
        <f t="shared" si="0"/>
        <v>198.96285469549076</v>
      </c>
      <c r="G17" s="35" t="str">
        <f t="shared" ref="G17:G24" si="3">G16</f>
        <v>UNIDADES</v>
      </c>
      <c r="H17" s="65">
        <f>'1'!D5</f>
        <v>153900</v>
      </c>
      <c r="I17" s="84">
        <f t="shared" si="1"/>
        <v>397.92570939098152</v>
      </c>
      <c r="J17" s="65">
        <f>'1'!D19</f>
        <v>38000</v>
      </c>
    </row>
    <row r="18" spans="2:10">
      <c r="B18" s="85" t="str">
        <f>'1'!B6</f>
        <v>Plan 4</v>
      </c>
      <c r="C18" s="81">
        <f>'1'!D6-'1'!D20</f>
        <v>132600</v>
      </c>
      <c r="D18" s="82">
        <f>'1'!F6</f>
        <v>0.12815425889901208</v>
      </c>
      <c r="E18" s="81">
        <f t="shared" si="2"/>
        <v>16993.254730009001</v>
      </c>
      <c r="F18" s="83">
        <f t="shared" si="0"/>
        <v>136.13247952849369</v>
      </c>
      <c r="G18" s="35" t="str">
        <f t="shared" si="3"/>
        <v>UNIDADES</v>
      </c>
      <c r="H18" s="65">
        <f>'1'!D6</f>
        <v>210600</v>
      </c>
      <c r="I18" s="84">
        <f t="shared" si="1"/>
        <v>272.26495905698738</v>
      </c>
      <c r="J18" s="65">
        <f>'1'!D20</f>
        <v>78000</v>
      </c>
    </row>
    <row r="19" spans="2:10">
      <c r="B19" s="85" t="str">
        <f>'1'!B7</f>
        <v>Plan 5</v>
      </c>
      <c r="C19" s="81">
        <f>'1'!D7-'1'!D21</f>
        <v>169000</v>
      </c>
      <c r="D19" s="82">
        <f>'1'!F7</f>
        <v>9.3026385116292618E-2</v>
      </c>
      <c r="E19" s="81">
        <f t="shared" si="2"/>
        <v>15721.459084653452</v>
      </c>
      <c r="F19" s="83">
        <f t="shared" si="0"/>
        <v>98.81772620161513</v>
      </c>
      <c r="G19" s="35" t="str">
        <f t="shared" si="3"/>
        <v>UNIDADES</v>
      </c>
      <c r="H19" s="65">
        <f>'1'!D7</f>
        <v>324000</v>
      </c>
      <c r="I19" s="84">
        <f t="shared" si="1"/>
        <v>197.63545240323026</v>
      </c>
      <c r="J19" s="65">
        <f>'1'!D21</f>
        <v>155000</v>
      </c>
    </row>
    <row r="20" spans="2:10">
      <c r="B20" s="85" t="str">
        <f>'1'!B8</f>
        <v>Plan 6</v>
      </c>
      <c r="C20" s="81">
        <f>'1'!D8-'1'!D22</f>
        <v>173800</v>
      </c>
      <c r="D20" s="82">
        <f>'1'!F8</f>
        <v>9.5803292134689425E-2</v>
      </c>
      <c r="E20" s="81">
        <f t="shared" si="2"/>
        <v>16650.612173009024</v>
      </c>
      <c r="F20" s="83">
        <f t="shared" si="0"/>
        <v>101.76750907330513</v>
      </c>
      <c r="G20" s="35" t="str">
        <f t="shared" si="3"/>
        <v>UNIDADES</v>
      </c>
      <c r="H20" s="65">
        <f>'1'!D8</f>
        <v>388800</v>
      </c>
      <c r="I20" s="84">
        <f t="shared" si="1"/>
        <v>203.53501814661027</v>
      </c>
      <c r="J20" s="65">
        <f>'1'!D22</f>
        <v>215000</v>
      </c>
    </row>
    <row r="21" spans="2:10">
      <c r="B21" s="85" t="str">
        <f>'1'!B9</f>
        <v>Plan 7</v>
      </c>
      <c r="C21" s="81">
        <f>'1'!D9-'1'!D23</f>
        <v>246000</v>
      </c>
      <c r="D21" s="82">
        <f>'1'!F9</f>
        <v>8.0183190156207451E-2</v>
      </c>
      <c r="E21" s="81">
        <f t="shared" si="2"/>
        <v>19725.064778427033</v>
      </c>
      <c r="F21" s="83">
        <f t="shared" si="0"/>
        <v>85.174980420048868</v>
      </c>
      <c r="G21" s="35" t="str">
        <f t="shared" si="3"/>
        <v>UNIDADES</v>
      </c>
      <c r="H21" s="65">
        <f>'1'!D9</f>
        <v>486000</v>
      </c>
      <c r="I21" s="84">
        <f t="shared" si="1"/>
        <v>170.34996084009774</v>
      </c>
      <c r="J21" s="65">
        <f>'1'!D23</f>
        <v>240000</v>
      </c>
    </row>
    <row r="22" spans="2:10">
      <c r="B22" s="85" t="str">
        <f>'1'!B10</f>
        <v>Plan 8</v>
      </c>
      <c r="C22" s="81">
        <f>'1'!D10-'1'!D24</f>
        <v>308500</v>
      </c>
      <c r="D22" s="82">
        <f>'1'!F10</f>
        <v>3.0980940261573501E-2</v>
      </c>
      <c r="E22" s="81">
        <f t="shared" si="2"/>
        <v>9557.6200706954241</v>
      </c>
      <c r="F22" s="83">
        <f t="shared" si="0"/>
        <v>32.909653195806918</v>
      </c>
      <c r="G22" s="35" t="str">
        <f t="shared" si="3"/>
        <v>UNIDADES</v>
      </c>
      <c r="H22" s="65">
        <f>'1'!D10</f>
        <v>761000</v>
      </c>
      <c r="I22" s="84">
        <f t="shared" si="1"/>
        <v>65.819306391613836</v>
      </c>
      <c r="J22" s="65">
        <f>'1'!D24</f>
        <v>452500</v>
      </c>
    </row>
    <row r="23" spans="2:10">
      <c r="B23" s="85" t="str">
        <f>'1'!B11</f>
        <v>Plan 9</v>
      </c>
      <c r="C23" s="81">
        <f>'1'!D11-'1'!D25</f>
        <v>317700</v>
      </c>
      <c r="D23" s="82">
        <f>'1'!F11</f>
        <v>6.0675418351969962E-2</v>
      </c>
      <c r="E23" s="81">
        <f t="shared" si="2"/>
        <v>19276.580410420858</v>
      </c>
      <c r="F23" s="83">
        <f t="shared" si="0"/>
        <v>64.452755746426575</v>
      </c>
      <c r="G23" s="35" t="str">
        <f t="shared" si="3"/>
        <v>UNIDADES</v>
      </c>
      <c r="H23" s="65">
        <f>'1'!D11</f>
        <v>745200</v>
      </c>
      <c r="I23" s="84">
        <f t="shared" si="1"/>
        <v>128.90551149285315</v>
      </c>
      <c r="J23" s="65">
        <f>'1'!D25</f>
        <v>427500</v>
      </c>
    </row>
    <row r="24" spans="2:10">
      <c r="B24" s="35">
        <f>'1'!B12</f>
        <v>0</v>
      </c>
      <c r="C24" s="81">
        <f>'1'!D12-'1'!D26</f>
        <v>0</v>
      </c>
      <c r="D24" s="82">
        <f>'1'!F12</f>
        <v>0</v>
      </c>
      <c r="E24" s="81">
        <f t="shared" si="2"/>
        <v>0</v>
      </c>
      <c r="F24" s="83">
        <f t="shared" si="0"/>
        <v>0</v>
      </c>
      <c r="G24" s="35" t="str">
        <f t="shared" si="3"/>
        <v>UNIDADES</v>
      </c>
      <c r="H24" s="65">
        <f>'1'!D12</f>
        <v>0</v>
      </c>
      <c r="I24" s="84">
        <f t="shared" si="1"/>
        <v>0</v>
      </c>
      <c r="J24" s="65">
        <f>'1'!D26</f>
        <v>0</v>
      </c>
    </row>
    <row r="25" spans="2:10" ht="25.5">
      <c r="C25" s="24"/>
      <c r="D25" s="86"/>
      <c r="E25" s="24"/>
      <c r="F25" s="87">
        <f>SUM(F15:F24)</f>
        <v>1062.2548224149818</v>
      </c>
      <c r="G25" s="8" t="str">
        <f>G24</f>
        <v>UNIDADES</v>
      </c>
      <c r="H25" s="65"/>
      <c r="I25" s="84"/>
      <c r="J25" s="65"/>
    </row>
    <row r="26" spans="2:10" ht="12.75" customHeight="1">
      <c r="C26" s="24"/>
      <c r="D26" s="86"/>
      <c r="E26" s="24"/>
      <c r="F26" s="87"/>
      <c r="H26" s="65"/>
      <c r="I26" s="84"/>
      <c r="J26" s="65"/>
    </row>
    <row r="27" spans="2:10" ht="21" customHeight="1">
      <c r="B27" s="224" t="s">
        <v>130</v>
      </c>
      <c r="C27" s="224"/>
      <c r="D27" s="224"/>
      <c r="E27" s="88">
        <f>SUM(E15:E24)</f>
        <v>150280.61311792876</v>
      </c>
      <c r="H27" s="64"/>
      <c r="I27" s="64"/>
      <c r="J27" s="64"/>
    </row>
    <row r="28" spans="2:10" ht="19.5" customHeight="1">
      <c r="B28" s="224" t="s">
        <v>129</v>
      </c>
      <c r="C28" s="224"/>
      <c r="D28" s="224"/>
      <c r="E28" s="87">
        <f>IF(E27=0,0,('2'!C23+'2'!F31+'2'!C25)/'5'!E27)</f>
        <v>1062.2548224149818</v>
      </c>
      <c r="F28" s="89" t="s">
        <v>122</v>
      </c>
      <c r="H28" s="90"/>
    </row>
    <row r="29" spans="2:10" ht="25.5">
      <c r="B29" s="224" t="s">
        <v>152</v>
      </c>
      <c r="C29" s="224"/>
      <c r="D29" s="224"/>
      <c r="E29" s="88">
        <f>E49</f>
        <v>295574126.26133966</v>
      </c>
    </row>
    <row r="30" spans="2:10">
      <c r="B30" s="125"/>
      <c r="C30" s="125"/>
      <c r="D30" s="125"/>
      <c r="E30" s="125"/>
      <c r="F30" s="125"/>
      <c r="G30" s="125"/>
    </row>
    <row r="31" spans="2:10" s="64" customFormat="1"/>
    <row r="32" spans="2:10" s="64" customFormat="1">
      <c r="C32" s="64" t="s">
        <v>124</v>
      </c>
      <c r="D32" s="64" t="s">
        <v>125</v>
      </c>
      <c r="E32" s="64" t="s">
        <v>128</v>
      </c>
      <c r="F32" s="64" t="s">
        <v>126</v>
      </c>
    </row>
    <row r="33" spans="2:6" s="64" customFormat="1">
      <c r="B33" s="64">
        <v>0</v>
      </c>
      <c r="C33" s="65">
        <f>'2'!C25+'2'!F31+'2'!C23</f>
        <v>159636306</v>
      </c>
      <c r="D33" s="64">
        <f>0</f>
        <v>0</v>
      </c>
      <c r="E33" s="64">
        <v>0</v>
      </c>
      <c r="F33" s="65">
        <f>C33+E33</f>
        <v>159636306</v>
      </c>
    </row>
    <row r="34" spans="2:6" s="64" customFormat="1">
      <c r="B34" s="84">
        <f>F25</f>
        <v>1062.2548224149818</v>
      </c>
      <c r="C34" s="65">
        <f>C33</f>
        <v>159636306</v>
      </c>
      <c r="D34" s="126">
        <f>SUMPRODUCT(F15:F24,H15:H24)</f>
        <v>295574126.26133966</v>
      </c>
      <c r="E34" s="126">
        <f>SUMPRODUCT(F15:F24,J15:J24)</f>
        <v>135937820.26133969</v>
      </c>
      <c r="F34" s="65">
        <f t="shared" ref="F34:F35" si="4">C34+E34</f>
        <v>295574126.26133966</v>
      </c>
    </row>
    <row r="35" spans="2:6" s="64" customFormat="1">
      <c r="B35" s="84">
        <f>B34*2</f>
        <v>2124.5096448299637</v>
      </c>
      <c r="C35" s="65">
        <f>C34</f>
        <v>159636306</v>
      </c>
      <c r="D35" s="126">
        <f>SUMPRODUCT(H15:H24,I15:I24)</f>
        <v>591148252.52267933</v>
      </c>
      <c r="E35" s="126">
        <f>SUMPRODUCT(I15:I24,J15:J24)</f>
        <v>271875640.52267939</v>
      </c>
      <c r="F35" s="65">
        <f t="shared" si="4"/>
        <v>431511946.52267939</v>
      </c>
    </row>
    <row r="36" spans="2:6" s="64" customFormat="1">
      <c r="C36" s="65"/>
    </row>
    <row r="37" spans="2:6" s="64" customFormat="1">
      <c r="C37" s="65"/>
    </row>
    <row r="38" spans="2:6" s="64" customFormat="1">
      <c r="C38" s="127" t="s">
        <v>150</v>
      </c>
      <c r="D38" s="64" t="s">
        <v>122</v>
      </c>
      <c r="E38" s="64" t="s">
        <v>151</v>
      </c>
    </row>
    <row r="39" spans="2:6" s="64" customFormat="1">
      <c r="B39" s="64">
        <v>1</v>
      </c>
      <c r="C39" s="65">
        <f>'1'!D3</f>
        <v>129600</v>
      </c>
      <c r="D39" s="84">
        <f>F15</f>
        <v>111.79677083705116</v>
      </c>
      <c r="E39" s="64">
        <f>C39*D39</f>
        <v>14488861.500481829</v>
      </c>
    </row>
    <row r="40" spans="2:6" s="64" customFormat="1">
      <c r="B40" s="64">
        <f>B39+1</f>
        <v>2</v>
      </c>
      <c r="C40" s="65">
        <f>'1'!D4</f>
        <v>153900</v>
      </c>
      <c r="D40" s="84">
        <f t="shared" ref="D40:D48" si="5">F16</f>
        <v>232.24009271674362</v>
      </c>
      <c r="E40" s="64">
        <f t="shared" ref="E40:E48" si="6">C40*D40</f>
        <v>35741750.269106843</v>
      </c>
    </row>
    <row r="41" spans="2:6" s="64" customFormat="1">
      <c r="B41" s="64">
        <f t="shared" ref="B41:B48" si="7">B40+1</f>
        <v>3</v>
      </c>
      <c r="C41" s="65">
        <f>'1'!D5</f>
        <v>153900</v>
      </c>
      <c r="D41" s="84">
        <f t="shared" si="5"/>
        <v>198.96285469549076</v>
      </c>
      <c r="E41" s="64">
        <f t="shared" si="6"/>
        <v>30620383.337636027</v>
      </c>
    </row>
    <row r="42" spans="2:6" s="64" customFormat="1">
      <c r="B42" s="64">
        <f t="shared" si="7"/>
        <v>4</v>
      </c>
      <c r="C42" s="65">
        <f>'1'!D6</f>
        <v>210600</v>
      </c>
      <c r="D42" s="84">
        <f t="shared" si="5"/>
        <v>136.13247952849369</v>
      </c>
      <c r="E42" s="64">
        <f t="shared" si="6"/>
        <v>28669500.188700773</v>
      </c>
    </row>
    <row r="43" spans="2:6" s="64" customFormat="1">
      <c r="B43" s="64">
        <f t="shared" si="7"/>
        <v>5</v>
      </c>
      <c r="C43" s="65">
        <f>'1'!D7</f>
        <v>324000</v>
      </c>
      <c r="D43" s="84">
        <f t="shared" si="5"/>
        <v>98.81772620161513</v>
      </c>
      <c r="E43" s="64">
        <f t="shared" si="6"/>
        <v>32016943.289323304</v>
      </c>
    </row>
    <row r="44" spans="2:6" s="64" customFormat="1">
      <c r="B44" s="64">
        <f t="shared" si="7"/>
        <v>6</v>
      </c>
      <c r="C44" s="65">
        <f>'1'!D8</f>
        <v>388800</v>
      </c>
      <c r="D44" s="84">
        <f t="shared" si="5"/>
        <v>101.76750907330513</v>
      </c>
      <c r="E44" s="64">
        <f t="shared" si="6"/>
        <v>39567207.527701035</v>
      </c>
    </row>
    <row r="45" spans="2:6" s="64" customFormat="1">
      <c r="B45" s="64">
        <f t="shared" si="7"/>
        <v>7</v>
      </c>
      <c r="C45" s="65">
        <f>'1'!D9</f>
        <v>486000</v>
      </c>
      <c r="D45" s="84">
        <f t="shared" si="5"/>
        <v>85.174980420048868</v>
      </c>
      <c r="E45" s="64">
        <f t="shared" si="6"/>
        <v>41395040.484143749</v>
      </c>
    </row>
    <row r="46" spans="2:6" s="64" customFormat="1">
      <c r="B46" s="64">
        <f t="shared" si="7"/>
        <v>8</v>
      </c>
      <c r="C46" s="65">
        <f>'1'!D10</f>
        <v>761000</v>
      </c>
      <c r="D46" s="84">
        <f t="shared" si="5"/>
        <v>32.909653195806918</v>
      </c>
      <c r="E46" s="64">
        <f t="shared" si="6"/>
        <v>25044246.082009066</v>
      </c>
    </row>
    <row r="47" spans="2:6" s="64" customFormat="1">
      <c r="B47" s="64">
        <f t="shared" si="7"/>
        <v>9</v>
      </c>
      <c r="C47" s="65">
        <f>'1'!D11</f>
        <v>745200</v>
      </c>
      <c r="D47" s="84">
        <f t="shared" si="5"/>
        <v>64.452755746426575</v>
      </c>
      <c r="E47" s="64">
        <f t="shared" si="6"/>
        <v>48030193.582237087</v>
      </c>
    </row>
    <row r="48" spans="2:6" s="64" customFormat="1">
      <c r="B48" s="64">
        <f t="shared" si="7"/>
        <v>10</v>
      </c>
      <c r="C48" s="65">
        <f>'1'!D12</f>
        <v>0</v>
      </c>
      <c r="D48" s="84">
        <f t="shared" si="5"/>
        <v>0</v>
      </c>
      <c r="E48" s="64">
        <f t="shared" si="6"/>
        <v>0</v>
      </c>
    </row>
    <row r="49" spans="2:8" s="64" customFormat="1">
      <c r="C49" s="65"/>
      <c r="E49" s="128">
        <f>SUM(E39:E48)</f>
        <v>295574126.26133966</v>
      </c>
    </row>
    <row r="50" spans="2:8" s="64" customFormat="1"/>
    <row r="51" spans="2:8" s="64" customFormat="1">
      <c r="C51" s="65"/>
    </row>
    <row r="52" spans="2:8" s="64" customFormat="1">
      <c r="B52" s="222"/>
      <c r="C52" s="222"/>
      <c r="D52" s="222"/>
      <c r="G52" s="64" t="s">
        <v>153</v>
      </c>
      <c r="H52" s="129">
        <f>'4'!B32/'4'!B27</f>
        <v>0.52899329242409288</v>
      </c>
    </row>
    <row r="53" spans="2:8" s="64" customFormat="1">
      <c r="C53" s="65"/>
      <c r="G53" s="64" t="s">
        <v>154</v>
      </c>
      <c r="H53" s="129">
        <f>'4'!B36/'4'!B27</f>
        <v>0.47100670757590718</v>
      </c>
    </row>
    <row r="54" spans="2:8" s="64" customFormat="1">
      <c r="G54" s="64" t="s">
        <v>155</v>
      </c>
      <c r="H54" s="64">
        <f>'1'!AB7</f>
        <v>0.34</v>
      </c>
    </row>
    <row r="55" spans="2:8" s="64" customFormat="1">
      <c r="G55" s="64" t="s">
        <v>156</v>
      </c>
      <c r="H55" s="129">
        <f>'3'!F4</f>
        <v>0.18</v>
      </c>
    </row>
    <row r="56" spans="2:8" s="64" customFormat="1">
      <c r="G56" s="64" t="s">
        <v>157</v>
      </c>
    </row>
    <row r="57" spans="2:8" s="64" customFormat="1"/>
    <row r="58" spans="2:8" s="64" customFormat="1"/>
    <row r="59" spans="2:8" s="64" customFormat="1"/>
    <row r="60" spans="2:8" s="64" customFormat="1"/>
    <row r="61" spans="2:8" s="64" customFormat="1"/>
    <row r="62" spans="2:8">
      <c r="B62" s="125"/>
      <c r="C62" s="125"/>
      <c r="D62" s="125"/>
      <c r="E62" s="125"/>
      <c r="F62" s="125"/>
      <c r="G62" s="125"/>
    </row>
    <row r="63" spans="2:8">
      <c r="B63" s="125"/>
      <c r="C63" s="125"/>
      <c r="D63" s="125"/>
      <c r="E63" s="125"/>
      <c r="F63" s="125"/>
      <c r="G63" s="125"/>
    </row>
    <row r="64" spans="2:8">
      <c r="B64" s="125"/>
      <c r="C64" s="125"/>
      <c r="D64" s="125"/>
      <c r="E64" s="125"/>
      <c r="F64" s="125"/>
      <c r="G64" s="125"/>
    </row>
    <row r="65" spans="2:7">
      <c r="B65" s="125"/>
      <c r="C65" s="125"/>
      <c r="D65" s="125"/>
      <c r="E65" s="125"/>
      <c r="F65" s="125"/>
      <c r="G65" s="125"/>
    </row>
    <row r="66" spans="2:7">
      <c r="B66" s="125"/>
      <c r="C66" s="125"/>
      <c r="D66" s="125"/>
      <c r="E66" s="125"/>
      <c r="F66" s="125"/>
      <c r="G66" s="125"/>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9DA3-9D37-454F-B3D1-CA48082A7185}">
  <dimension ref="C1:G12"/>
  <sheetViews>
    <sheetView tabSelected="1" topLeftCell="B1" workbookViewId="0">
      <selection activeCell="D15" sqref="D15"/>
    </sheetView>
  </sheetViews>
  <sheetFormatPr baseColWidth="10" defaultRowHeight="14.5"/>
  <cols>
    <col min="3" max="3" width="39.1796875" customWidth="1"/>
    <col min="4" max="4" width="19.453125" bestFit="1" customWidth="1"/>
  </cols>
  <sheetData>
    <row r="1" spans="3:7">
      <c r="C1" t="s">
        <v>168</v>
      </c>
      <c r="D1" t="s">
        <v>169</v>
      </c>
      <c r="E1" t="s">
        <v>170</v>
      </c>
    </row>
    <row r="2" spans="3:7">
      <c r="C2" s="131">
        <v>0.14000000000000001</v>
      </c>
      <c r="D2" s="131">
        <v>9.5000000000000001E-2</v>
      </c>
      <c r="E2" s="131">
        <v>1.9300000000000001E-2</v>
      </c>
      <c r="F2" s="131"/>
      <c r="G2" s="132">
        <f>C2+D2+E2</f>
        <v>0.25430000000000003</v>
      </c>
    </row>
    <row r="5" spans="3:7" ht="15" thickBot="1">
      <c r="C5" s="187" t="s">
        <v>231</v>
      </c>
      <c r="D5" s="228" t="s">
        <v>232</v>
      </c>
      <c r="E5" s="228"/>
    </row>
    <row r="6" spans="3:7" ht="15" thickTop="1">
      <c r="C6" s="188" t="s">
        <v>233</v>
      </c>
      <c r="D6" s="229">
        <f>'5'!D10</f>
        <v>55796344.067607015</v>
      </c>
      <c r="E6" s="230"/>
    </row>
    <row r="7" spans="3:7">
      <c r="C7" s="189" t="s">
        <v>234</v>
      </c>
      <c r="D7" s="231">
        <f>'5'!D11</f>
        <v>0.3426905977150112</v>
      </c>
      <c r="E7" s="232"/>
    </row>
    <row r="8" spans="3:7">
      <c r="C8" s="188" t="s">
        <v>235</v>
      </c>
      <c r="D8" s="235">
        <f>'5'!E3</f>
        <v>0.25</v>
      </c>
      <c r="E8" s="236"/>
    </row>
    <row r="9" spans="3:7">
      <c r="C9" s="189" t="s">
        <v>236</v>
      </c>
      <c r="D9" s="190">
        <v>1081</v>
      </c>
      <c r="E9" s="191" t="s">
        <v>237</v>
      </c>
    </row>
    <row r="10" spans="3:7">
      <c r="C10" s="188" t="s">
        <v>238</v>
      </c>
      <c r="D10" s="233">
        <f>'5'!E29</f>
        <v>295574126.26133966</v>
      </c>
      <c r="E10" s="234"/>
    </row>
    <row r="11" spans="3:7" ht="15" thickBot="1">
      <c r="C11" s="192" t="s">
        <v>239</v>
      </c>
      <c r="D11" s="193">
        <f>'5'!H11</f>
        <v>3.9594409969051547</v>
      </c>
      <c r="E11" s="194" t="s">
        <v>240</v>
      </c>
    </row>
    <row r="12" spans="3:7" ht="15" thickTop="1"/>
  </sheetData>
  <mergeCells count="5">
    <mergeCell ref="D5:E5"/>
    <mergeCell ref="D6:E6"/>
    <mergeCell ref="D7:E7"/>
    <mergeCell ref="D10:E10"/>
    <mergeCell ref="D8: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9AEC1-C9EB-4763-8CB2-1E02F087BB3D}">
  <dimension ref="B19:E21"/>
  <sheetViews>
    <sheetView topLeftCell="A48" zoomScale="70" zoomScaleNormal="70" workbookViewId="0">
      <selection activeCell="C22" sqref="C22"/>
    </sheetView>
  </sheetViews>
  <sheetFormatPr baseColWidth="10" defaultRowHeight="14.5"/>
  <sheetData>
    <row r="19" spans="2:5">
      <c r="B19" t="s">
        <v>173</v>
      </c>
    </row>
    <row r="20" spans="2:5" ht="15" thickBot="1">
      <c r="C20" t="s">
        <v>175</v>
      </c>
    </row>
    <row r="21" spans="2:5" ht="15" thickBot="1">
      <c r="B21" t="s">
        <v>174</v>
      </c>
      <c r="C21" s="133">
        <v>0.10725999999999999</v>
      </c>
      <c r="D21" s="134">
        <v>6.4000000000000001E-2</v>
      </c>
      <c r="E21" s="135">
        <f>C21+D21</f>
        <v>0.17126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A29E5-F17D-4050-821C-B3B046E3EFDB}">
  <dimension ref="A1:E32"/>
  <sheetViews>
    <sheetView workbookViewId="0">
      <selection activeCell="B27" sqref="B27"/>
    </sheetView>
  </sheetViews>
  <sheetFormatPr baseColWidth="10" defaultRowHeight="14.5"/>
  <cols>
    <col min="2" max="2" width="35.1796875" style="149" bestFit="1" customWidth="1"/>
    <col min="3" max="3" width="31.81640625" style="154" customWidth="1"/>
    <col min="4" max="4" width="36.453125" style="136" customWidth="1"/>
  </cols>
  <sheetData>
    <row r="1" spans="1:5" ht="15" thickBot="1"/>
    <row r="2" spans="1:5" ht="22" customHeight="1">
      <c r="B2" s="157" t="s">
        <v>215</v>
      </c>
      <c r="C2" s="158" t="s">
        <v>216</v>
      </c>
      <c r="D2" s="159" t="s">
        <v>217</v>
      </c>
    </row>
    <row r="3" spans="1:5" ht="24" customHeight="1" thickBot="1">
      <c r="B3" s="237" t="s">
        <v>125</v>
      </c>
      <c r="C3" s="238"/>
      <c r="D3" s="239"/>
    </row>
    <row r="4" spans="1:5" ht="64" thickBot="1">
      <c r="B4" s="147" t="s">
        <v>192</v>
      </c>
      <c r="C4" s="143" t="s">
        <v>193</v>
      </c>
      <c r="D4" s="146" t="s">
        <v>219</v>
      </c>
      <c r="E4" s="140"/>
    </row>
    <row r="5" spans="1:5" ht="76">
      <c r="B5" s="147" t="s">
        <v>211</v>
      </c>
      <c r="C5" s="143">
        <v>0.16</v>
      </c>
      <c r="D5" s="146" t="s">
        <v>220</v>
      </c>
      <c r="E5" s="138"/>
    </row>
    <row r="6" spans="1:5" ht="26">
      <c r="B6" s="147" t="s">
        <v>182</v>
      </c>
      <c r="C6" s="143">
        <v>0.08</v>
      </c>
      <c r="D6" s="146" t="s">
        <v>183</v>
      </c>
    </row>
    <row r="7" spans="1:5" ht="51">
      <c r="B7" s="145" t="s">
        <v>210</v>
      </c>
      <c r="C7" s="143" t="s">
        <v>205</v>
      </c>
      <c r="D7" s="146" t="s">
        <v>206</v>
      </c>
      <c r="E7" s="138"/>
    </row>
    <row r="8" spans="1:5" ht="26.15" customHeight="1">
      <c r="B8" s="237" t="s">
        <v>204</v>
      </c>
      <c r="C8" s="238"/>
      <c r="D8" s="239"/>
    </row>
    <row r="9" spans="1:5" ht="38.5">
      <c r="B9" s="147" t="s">
        <v>188</v>
      </c>
      <c r="C9" s="143">
        <v>0.8</v>
      </c>
      <c r="D9" s="146" t="s">
        <v>198</v>
      </c>
    </row>
    <row r="10" spans="1:5" ht="60" customHeight="1">
      <c r="B10" s="147" t="s">
        <v>213</v>
      </c>
      <c r="C10" s="143" t="s">
        <v>214</v>
      </c>
      <c r="D10" s="146" t="s">
        <v>212</v>
      </c>
    </row>
    <row r="11" spans="1:5" ht="24.65" customHeight="1">
      <c r="B11" s="237" t="s">
        <v>196</v>
      </c>
      <c r="C11" s="238"/>
      <c r="D11" s="239"/>
      <c r="E11" s="138"/>
    </row>
    <row r="12" spans="1:5" ht="25.5" thickBot="1">
      <c r="B12" s="147" t="s">
        <v>207</v>
      </c>
      <c r="C12" s="143" t="s">
        <v>194</v>
      </c>
      <c r="D12" s="160" t="s">
        <v>195</v>
      </c>
    </row>
    <row r="13" spans="1:5" ht="39" thickBot="1">
      <c r="B13" s="147" t="s">
        <v>208</v>
      </c>
      <c r="C13" s="151">
        <v>0.247</v>
      </c>
      <c r="D13" s="146" t="s">
        <v>197</v>
      </c>
      <c r="E13" s="141"/>
    </row>
    <row r="14" spans="1:5" ht="76">
      <c r="B14" s="147" t="s">
        <v>209</v>
      </c>
      <c r="C14" s="144">
        <v>0.81399999999999995</v>
      </c>
      <c r="D14" s="146" t="s">
        <v>199</v>
      </c>
    </row>
    <row r="15" spans="1:5" s="137" customFormat="1" ht="30" customHeight="1">
      <c r="A15"/>
      <c r="B15" s="145" t="s">
        <v>223</v>
      </c>
      <c r="C15" s="152" t="s">
        <v>200</v>
      </c>
      <c r="D15" s="146" t="s">
        <v>224</v>
      </c>
    </row>
    <row r="16" spans="1:5">
      <c r="B16" s="237" t="s">
        <v>225</v>
      </c>
      <c r="C16" s="238"/>
      <c r="D16" s="239"/>
    </row>
    <row r="17" spans="1:5" ht="33.65" customHeight="1">
      <c r="B17" s="147" t="s">
        <v>227</v>
      </c>
      <c r="C17" s="143">
        <v>0.18</v>
      </c>
      <c r="D17" s="240" t="s">
        <v>201</v>
      </c>
    </row>
    <row r="18" spans="1:5" ht="15" thickBot="1">
      <c r="B18" s="147" t="s">
        <v>228</v>
      </c>
      <c r="C18" s="143" t="s">
        <v>203</v>
      </c>
      <c r="D18" s="240"/>
    </row>
    <row r="19" spans="1:5" ht="51.5" thickBot="1">
      <c r="B19" s="147" t="s">
        <v>184</v>
      </c>
      <c r="C19" s="143">
        <v>0.25</v>
      </c>
      <c r="D19" s="146" t="s">
        <v>221</v>
      </c>
      <c r="E19" s="142"/>
    </row>
    <row r="20" spans="1:5" ht="26">
      <c r="B20" s="147" t="s">
        <v>185</v>
      </c>
      <c r="C20" s="143">
        <v>0.34</v>
      </c>
      <c r="D20" s="161" t="s">
        <v>186</v>
      </c>
    </row>
    <row r="21" spans="1:5" ht="26.5" thickBot="1">
      <c r="B21" s="148" t="s">
        <v>187</v>
      </c>
      <c r="C21" s="153">
        <v>7.0000000000000007E-2</v>
      </c>
      <c r="D21" s="162" t="s">
        <v>202</v>
      </c>
    </row>
    <row r="22" spans="1:5">
      <c r="B22" s="196"/>
      <c r="C22" s="197"/>
      <c r="D22" s="198"/>
    </row>
    <row r="23" spans="1:5">
      <c r="B23" s="199" t="s">
        <v>241</v>
      </c>
    </row>
    <row r="24" spans="1:5">
      <c r="B24" s="237" t="s">
        <v>226</v>
      </c>
      <c r="C24" s="238"/>
      <c r="D24" s="239"/>
    </row>
    <row r="25" spans="1:5" ht="15" thickBot="1">
      <c r="B25" s="195"/>
      <c r="C25" s="195"/>
      <c r="D25" s="195"/>
    </row>
    <row r="26" spans="1:5" ht="29.5" thickBot="1">
      <c r="B26" s="149" t="s">
        <v>222</v>
      </c>
      <c r="C26" s="156">
        <v>200</v>
      </c>
      <c r="D26" s="164" t="s">
        <v>218</v>
      </c>
    </row>
    <row r="27" spans="1:5" ht="44" thickBot="1">
      <c r="A27" s="139"/>
      <c r="B27" s="150" t="s">
        <v>180</v>
      </c>
      <c r="C27" s="156">
        <v>10</v>
      </c>
      <c r="D27" s="164" t="s">
        <v>181</v>
      </c>
    </row>
    <row r="28" spans="1:5" s="137" customFormat="1" ht="30" customHeight="1" thickBot="1">
      <c r="A28"/>
      <c r="B28" s="145"/>
      <c r="C28" s="152"/>
      <c r="D28" s="146"/>
    </row>
    <row r="29" spans="1:5" ht="15" thickBot="1">
      <c r="A29" s="139"/>
      <c r="B29" s="150" t="s">
        <v>178</v>
      </c>
      <c r="C29" s="155">
        <v>120</v>
      </c>
      <c r="D29" s="163" t="s">
        <v>179</v>
      </c>
    </row>
    <row r="30" spans="1:5" ht="15" thickBot="1">
      <c r="C30" s="156"/>
      <c r="D30" s="164"/>
    </row>
    <row r="31" spans="1:5" ht="43.5">
      <c r="B31" s="149" t="s">
        <v>176</v>
      </c>
      <c r="C31" s="165">
        <v>0.7</v>
      </c>
      <c r="D31" s="164" t="s">
        <v>177</v>
      </c>
    </row>
    <row r="32" spans="1:5">
      <c r="B32" t="s">
        <v>229</v>
      </c>
    </row>
  </sheetData>
  <mergeCells count="6">
    <mergeCell ref="B24:D24"/>
    <mergeCell ref="D17:D18"/>
    <mergeCell ref="B3:D3"/>
    <mergeCell ref="B8:D8"/>
    <mergeCell ref="B11:D11"/>
    <mergeCell ref="B16:D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Menú</vt:lpstr>
      <vt:lpstr>1</vt:lpstr>
      <vt:lpstr>2</vt:lpstr>
      <vt:lpstr>3</vt:lpstr>
      <vt:lpstr>4</vt:lpstr>
      <vt:lpstr>5</vt:lpstr>
      <vt:lpstr>Indicadores</vt:lpstr>
      <vt:lpstr>Tasa credito</vt:lpstr>
      <vt:lpstr>Supuestos Financieos</vt:lpstr>
      <vt:lpstr>PPTO Recurso Humano</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16907</cp:lastModifiedBy>
  <dcterms:created xsi:type="dcterms:W3CDTF">2013-07-30T17:19:59Z</dcterms:created>
  <dcterms:modified xsi:type="dcterms:W3CDTF">2024-09-07T01:25:31Z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