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E:\0 BACK UP 5 04 21\Documentos\Nohora\proyecto de Grado\"/>
    </mc:Choice>
  </mc:AlternateContent>
  <xr:revisionPtr revIDLastSave="0" documentId="13_ncr:1_{0EA4E4F5-BD9A-4FEF-92D6-F74CFDE94832}" xr6:coauthVersionLast="47" xr6:coauthVersionMax="47" xr10:uidLastSave="{00000000-0000-0000-0000-000000000000}"/>
  <bookViews>
    <workbookView xWindow="-110" yWindow="-110" windowWidth="19420" windowHeight="10420" tabRatio="703" firstSheet="1" activeTab="4"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<sst xmlns="http://schemas.openxmlformats.org/spreadsheetml/2006/main" count="171" uniqueCount="162">
  <si>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</si>
  <si>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</si>
  <si>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</si>
  <si>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</si>
  <si>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</si>
  <si>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</si>
  <si>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</si>
  <si>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</si>
  <si>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</si>
  <si>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</si>
  <si>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</si>
  <si>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</si>
  <si>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</si>
  <si>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</si>
  <si>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</si>
  <si>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</si>
  <si>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</si>
  <si>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</si>
  <si>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 xml:space="preserve">TOMATE CHERRY </t>
  </si>
  <si>
    <t>AÑO</t>
  </si>
  <si>
    <t xml:space="preserve">AJO </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</si>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</sst>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0">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3">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168" fontId="0" fillId="0" borderId="0" xfId="1" applyNumberFormat="1" applyFont="1" applyFill="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3803.2042261538818</c:v>
                </c:pt>
                <c:pt idx="2">
                  <c:v>7606.4084523077636</c:v>
                </c:pt>
              </c:numCache>
            </c:numRef>
          </c:cat>
          <c:val>
            <c:numRef>
              <c:f>'5'!$C$33:$C$35</c:f>
              <c:numCache>
                <c:formatCode>_("$"\ * #,##0.00_);_("$"\ * \(#,##0.00\);_("$"\ * "-"??_);_(@_)</c:formatCode>
                <c:ptCount val="3"/>
                <c:pt idx="0">
                  <c:v>17080000</c:v>
                </c:pt>
                <c:pt idx="1">
                  <c:v>17080000</c:v>
                </c:pt>
                <c:pt idx="2">
                  <c:v>17080000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3803.2042261538818</c:v>
                </c:pt>
                <c:pt idx="2">
                  <c:v>7606.4084523077636</c:v>
                </c:pt>
              </c:numCache>
            </c:numRef>
          </c:cat>
          <c:val>
            <c:numRef>
              <c:f>'5'!$D$33:$D$35</c:f>
              <c:numCache>
                <c:formatCode>_("$"\ * #,##0.00_);_("$"\ * \(#,##0.00\);_("$"\ * "-"??_);_(@_)</c:formatCode>
                <c:ptCount val="3"/>
                <c:pt idx="0" formatCode="General">
                  <c:v>0</c:v>
                </c:pt>
                <c:pt idx="1">
                  <c:v>28466666.666666672</c:v>
                </c:pt>
                <c:pt idx="2">
                  <c:v>56933333.333333351</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3803.2042261538818</c:v>
                </c:pt>
                <c:pt idx="2">
                  <c:v>7606.4084523077636</c:v>
                </c:pt>
              </c:numCache>
            </c:numRef>
          </c:cat>
          <c:val>
            <c:numRef>
              <c:f>'5'!$F$33:$F$35</c:f>
              <c:numCache>
                <c:formatCode>_("$"\ * #,##0.00_);_("$"\ * \(#,##0.00\);_("$"\ * "-"??_);_(@_)</c:formatCode>
                <c:ptCount val="3"/>
                <c:pt idx="0">
                  <c:v>17080000</c:v>
                </c:pt>
                <c:pt idx="1">
                  <c:v>28466666.666666668</c:v>
                </c:pt>
                <c:pt idx="2">
                  <c:v>39853333.333333343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53125" defaultRowHeight="14.5"/>
  <sheetData>
    <row r="23" spans="7:8" ht="20">
      <c r="G23" s="139" t="s">
        <v>0</v>
      </c>
      <c r="H23" s="139"/>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19" zoomScale="80" zoomScaleNormal="80" workbookViewId="0">
      <selection activeCell="D18" sqref="D18"/>
    </sheetView>
  </sheetViews>
  <sheetFormatPr baseColWidth="10" defaultColWidth="11.453125" defaultRowHeight="14.5"/>
  <cols>
    <col min="1" max="1" width="22.54296875" style="8" customWidth="1"/>
    <col min="2" max="2" width="34.54296875" style="8" bestFit="1" customWidth="1"/>
    <col min="3" max="6" width="26" style="8" bestFit="1" customWidth="1"/>
    <col min="7" max="10" width="9.453125" style="8" bestFit="1" customWidth="1"/>
    <col min="11" max="11" width="4.26953125" style="8" customWidth="1"/>
    <col min="12" max="15" width="11.453125" style="8" hidden="1" customWidth="1"/>
    <col min="16" max="19" width="12" style="8" hidden="1" customWidth="1"/>
    <col min="20" max="24" width="15.54296875" style="8" hidden="1" customWidth="1"/>
    <col min="25" max="25" width="22.1796875" style="8" bestFit="1" customWidth="1"/>
    <col min="26" max="27" width="9.453125" style="8" bestFit="1" customWidth="1"/>
    <col min="28" max="28" width="11.453125" style="8" bestFit="1" customWidth="1"/>
    <col min="29" max="29" width="9.453125" style="8" bestFit="1" customWidth="1"/>
    <col min="30" max="16384" width="11.453125" style="8"/>
  </cols>
  <sheetData>
    <row r="1" spans="1:29" ht="30.75" customHeight="1">
      <c r="A1" s="141" t="s">
        <v>1</v>
      </c>
      <c r="B1" s="141"/>
      <c r="C1" s="141"/>
      <c r="D1" s="141"/>
      <c r="E1" s="141"/>
      <c r="G1" s="142" t="s">
        <v>2</v>
      </c>
      <c r="H1" s="142"/>
      <c r="I1" s="142"/>
      <c r="J1" s="142"/>
      <c r="P1" s="8" t="s">
        <v>3</v>
      </c>
      <c r="Y1" s="15" t="s">
        <v>4</v>
      </c>
      <c r="Z1" s="47">
        <v>2024</v>
      </c>
      <c r="AA1" s="16"/>
    </row>
    <row r="2" spans="1:29" ht="32.25" customHeight="1" thickBot="1">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3.5" thickBot="1">
      <c r="A3" s="21">
        <v>1</v>
      </c>
      <c r="B3" s="13" t="s">
        <v>18</v>
      </c>
      <c r="C3" s="52">
        <v>6480</v>
      </c>
      <c r="D3" s="14">
        <v>7500</v>
      </c>
      <c r="E3" s="22">
        <f>C3*D3</f>
        <v>48600000</v>
      </c>
      <c r="F3" s="23">
        <f>IF($E$13=0,0,E3/$E$13)</f>
        <v>0.99396666325800187</v>
      </c>
      <c r="G3" s="112">
        <v>0.05</v>
      </c>
      <c r="H3" s="112">
        <v>0.05</v>
      </c>
      <c r="I3" s="112">
        <v>0.05</v>
      </c>
      <c r="J3" s="112">
        <v>0.05</v>
      </c>
      <c r="K3" s="24"/>
      <c r="L3" s="8">
        <f t="shared" ref="L3:L12" si="1">C3*(1+G3)</f>
        <v>6804</v>
      </c>
      <c r="M3" s="8">
        <f>L3*(1+H3)</f>
        <v>7144.2000000000007</v>
      </c>
      <c r="N3" s="8">
        <f t="shared" ref="N3:O3" si="2">M3*(1+I3)</f>
        <v>7501.4100000000008</v>
      </c>
      <c r="O3" s="8">
        <f t="shared" si="2"/>
        <v>7876.4805000000015</v>
      </c>
      <c r="P3" s="25">
        <f>D3*(1+'1'!$Z$4)</f>
        <v>8250</v>
      </c>
      <c r="Q3" s="25">
        <f>P3*(1+'1'!$AA$4)</f>
        <v>8992.5</v>
      </c>
      <c r="R3" s="25">
        <f>Q3*(1+'1'!$AB$4)</f>
        <v>9891.75</v>
      </c>
      <c r="S3" s="25">
        <f>R3*(1+'1'!$AC$4)</f>
        <v>10782.007500000002</v>
      </c>
      <c r="T3" s="26">
        <f>L3*P3</f>
        <v>56133000</v>
      </c>
      <c r="U3" s="26">
        <f>M3*Q3</f>
        <v>64244218.500000007</v>
      </c>
      <c r="V3" s="26">
        <f>N3*R3</f>
        <v>74202072.367500007</v>
      </c>
      <c r="W3" s="26">
        <f>O3*S3</f>
        <v>84924271.824603781</v>
      </c>
      <c r="X3" s="26"/>
      <c r="Y3" s="27" t="s">
        <v>19</v>
      </c>
      <c r="Z3" s="28">
        <f>G2</f>
        <v>2025</v>
      </c>
      <c r="AA3" s="28">
        <f>Z3+1</f>
        <v>2026</v>
      </c>
      <c r="AB3" s="28">
        <f t="shared" ref="AB3:AC3" si="3">AA3+1</f>
        <v>2027</v>
      </c>
      <c r="AC3" s="29">
        <f t="shared" si="3"/>
        <v>2028</v>
      </c>
    </row>
    <row r="4" spans="1:29" ht="23">
      <c r="A4" s="21">
        <f>A3+1</f>
        <v>2</v>
      </c>
      <c r="B4" s="13" t="s">
        <v>20</v>
      </c>
      <c r="C4" s="52">
        <v>59</v>
      </c>
      <c r="D4" s="14">
        <v>5000</v>
      </c>
      <c r="E4" s="22">
        <f t="shared" ref="E4:E12" si="4">C4*D4</f>
        <v>295000</v>
      </c>
      <c r="F4" s="23">
        <f t="shared" ref="F4:F12" si="5">IF($E$13=0,0,E4/$E$13)</f>
        <v>6.0333367419981593E-3</v>
      </c>
      <c r="G4" s="112">
        <v>0</v>
      </c>
      <c r="H4" s="112">
        <v>0</v>
      </c>
      <c r="I4" s="112">
        <v>0</v>
      </c>
      <c r="J4" s="112">
        <v>0</v>
      </c>
      <c r="K4" s="24"/>
      <c r="L4" s="8">
        <f t="shared" si="1"/>
        <v>59</v>
      </c>
      <c r="M4" s="8">
        <f t="shared" ref="M4:M12" si="6">L4*(1+H4)</f>
        <v>59</v>
      </c>
      <c r="N4" s="8">
        <f t="shared" ref="N4:N12" si="7">M4*(1+I4)</f>
        <v>59</v>
      </c>
      <c r="O4" s="8">
        <f t="shared" ref="O4:O12" si="8">N4*(1+J4)</f>
        <v>59</v>
      </c>
      <c r="P4" s="25">
        <f>D4*(1+'1'!$Z$4)</f>
        <v>5500</v>
      </c>
      <c r="Q4" s="25">
        <f>P4*(1+'1'!$AA$4)</f>
        <v>5995</v>
      </c>
      <c r="R4" s="25">
        <f>Q4*(1+'1'!$AB$4)</f>
        <v>6594.5000000000009</v>
      </c>
      <c r="S4" s="25">
        <f>R4*(1+'1'!$AC$4)</f>
        <v>7188.0050000000019</v>
      </c>
      <c r="T4" s="26">
        <f t="shared" ref="T4:T12" si="9">L4*P4</f>
        <v>324500</v>
      </c>
      <c r="U4" s="26">
        <f t="shared" ref="U4:U12" si="10">M4*Q4</f>
        <v>353705</v>
      </c>
      <c r="V4" s="26">
        <f t="shared" ref="V4:V12" si="11">N4*R4</f>
        <v>389075.50000000006</v>
      </c>
      <c r="W4" s="26">
        <f t="shared" ref="W4:W12" si="12">O4*S4</f>
        <v>424092.2950000001</v>
      </c>
      <c r="X4" s="26"/>
      <c r="Y4" s="114" t="s">
        <v>21</v>
      </c>
      <c r="Z4" s="48">
        <v>0.1</v>
      </c>
      <c r="AA4" s="48">
        <v>0.09</v>
      </c>
      <c r="AB4" s="48">
        <v>0.1</v>
      </c>
      <c r="AC4" s="49">
        <v>0.09</v>
      </c>
    </row>
    <row r="5" spans="1:29" ht="23.5" thickBot="1">
      <c r="A5" s="21">
        <f t="shared" ref="A5:A12" si="13">A4+1</f>
        <v>3</v>
      </c>
      <c r="B5" s="13"/>
      <c r="C5" s="52">
        <v>0</v>
      </c>
      <c r="D5" s="14">
        <v>0</v>
      </c>
      <c r="E5" s="22">
        <f t="shared" si="4"/>
        <v>0</v>
      </c>
      <c r="F5" s="23">
        <f t="shared" si="5"/>
        <v>0</v>
      </c>
      <c r="G5" s="46">
        <v>0</v>
      </c>
      <c r="H5" s="46">
        <v>0</v>
      </c>
      <c r="I5" s="46">
        <v>0</v>
      </c>
      <c r="J5" s="46">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15" t="s">
        <v>22</v>
      </c>
      <c r="Z5" s="50">
        <v>0.26350000000000001</v>
      </c>
      <c r="AA5" s="50">
        <v>0.26350000000000001</v>
      </c>
      <c r="AB5" s="50">
        <v>0.26350000000000001</v>
      </c>
      <c r="AC5" s="50">
        <v>0.26350000000000001</v>
      </c>
    </row>
    <row r="6" spans="1:29" ht="15" thickBot="1">
      <c r="A6" s="21">
        <f t="shared" si="13"/>
        <v>4</v>
      </c>
      <c r="B6" s="13"/>
      <c r="C6" s="52">
        <v>0</v>
      </c>
      <c r="D6" s="14">
        <v>0</v>
      </c>
      <c r="E6" s="22">
        <f t="shared" si="4"/>
        <v>0</v>
      </c>
      <c r="F6" s="23">
        <f t="shared" si="5"/>
        <v>0</v>
      </c>
      <c r="G6" s="46">
        <v>0</v>
      </c>
      <c r="H6" s="46">
        <v>0</v>
      </c>
      <c r="I6" s="46">
        <v>0</v>
      </c>
      <c r="J6" s="46">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3.5" thickBot="1">
      <c r="A7" s="21">
        <f t="shared" si="13"/>
        <v>5</v>
      </c>
      <c r="B7" s="13"/>
      <c r="C7" s="52">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23</v>
      </c>
      <c r="Z7" s="31"/>
      <c r="AA7" s="31"/>
      <c r="AB7" s="51">
        <v>0.4</v>
      </c>
      <c r="AC7" s="32"/>
    </row>
    <row r="8" spans="1:29">
      <c r="A8" s="21">
        <f t="shared" si="13"/>
        <v>6</v>
      </c>
      <c r="B8" s="13"/>
      <c r="C8" s="52">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2">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2">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2">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2">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24</v>
      </c>
      <c r="E13" s="33">
        <f>SUM(E3:E12)</f>
        <v>48895000</v>
      </c>
      <c r="F13" s="34">
        <f>SUM(F3:F12)</f>
        <v>1</v>
      </c>
      <c r="T13" s="35">
        <f>SUM(T3:T12)</f>
        <v>56457500</v>
      </c>
      <c r="U13" s="35">
        <f>SUM(U3:U12)</f>
        <v>64597923.500000007</v>
      </c>
      <c r="V13" s="35">
        <f>SUM(V3:V12)</f>
        <v>74591147.867500007</v>
      </c>
      <c r="W13" s="35">
        <f>SUM(W3:W12)</f>
        <v>85348364.119603783</v>
      </c>
      <c r="X13" s="26"/>
    </row>
    <row r="15" spans="1:29" ht="23.25" customHeight="1">
      <c r="A15" s="141" t="s">
        <v>25</v>
      </c>
      <c r="B15" s="141"/>
      <c r="C15" s="141"/>
      <c r="D15" s="141"/>
      <c r="E15" s="141"/>
      <c r="G15" s="36"/>
    </row>
    <row r="16" spans="1:29" ht="25.5" customHeight="1">
      <c r="B16" s="17" t="s">
        <v>26</v>
      </c>
      <c r="C16" s="37" t="s">
        <v>6</v>
      </c>
      <c r="D16" s="110" t="s">
        <v>27</v>
      </c>
      <c r="E16" s="18" t="s">
        <v>28</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1" t="str">
        <f>B3</f>
        <v xml:space="preserve">TOMATE CHERRY </v>
      </c>
      <c r="C17" s="39">
        <f>C3</f>
        <v>6480</v>
      </c>
      <c r="D17" s="14">
        <v>3000</v>
      </c>
      <c r="E17" s="22">
        <f>C17*D17</f>
        <v>19440000</v>
      </c>
      <c r="F17" s="23">
        <f>IF($E$27=0,0,E17/$E$27)</f>
        <v>0.99396666325800187</v>
      </c>
      <c r="L17" s="8">
        <f t="shared" ref="L17:L26" si="15">C17*(1+G3)</f>
        <v>6804</v>
      </c>
      <c r="M17" s="8">
        <f>L17*(1+H3)</f>
        <v>7144.2000000000007</v>
      </c>
      <c r="N17" s="8">
        <f t="shared" ref="N17:O17" si="16">M17*(1+I3)</f>
        <v>7501.4100000000008</v>
      </c>
      <c r="O17" s="8">
        <f t="shared" si="16"/>
        <v>7876.4805000000015</v>
      </c>
      <c r="P17" s="40">
        <f>D17*(1+'1'!$Z$5)</f>
        <v>3790.5</v>
      </c>
      <c r="Q17" s="25">
        <f>P17*(1+'1'!$AA$5)</f>
        <v>4789.2967500000004</v>
      </c>
      <c r="R17" s="25">
        <f>Q17*(1+'1'!$AB$5)</f>
        <v>6051.2764436250009</v>
      </c>
      <c r="S17" s="25">
        <f>R17*(1+'1'!$AC$5)</f>
        <v>7645.787786520189</v>
      </c>
      <c r="T17" s="40">
        <f t="shared" ref="T17:U19" si="17">L17*P17</f>
        <v>25790562</v>
      </c>
      <c r="U17" s="26">
        <f t="shared" si="17"/>
        <v>34215693.841350004</v>
      </c>
      <c r="V17" s="26">
        <f t="shared" ref="V17:W17" si="18">N17*R17</f>
        <v>45393105.626973026</v>
      </c>
      <c r="W17" s="26">
        <f t="shared" si="18"/>
        <v>60221898.407664441</v>
      </c>
      <c r="X17" s="26"/>
    </row>
    <row r="18" spans="1:24">
      <c r="A18" s="21">
        <f t="shared" ref="A18:B25" si="19">A4</f>
        <v>2</v>
      </c>
      <c r="B18" s="41" t="str">
        <f t="shared" si="19"/>
        <v xml:space="preserve">AJO </v>
      </c>
      <c r="C18" s="39">
        <f t="shared" ref="C18:C26" si="20">C4</f>
        <v>59</v>
      </c>
      <c r="D18" s="14">
        <v>2000</v>
      </c>
      <c r="E18" s="22">
        <f t="shared" ref="E18:E26" si="21">C18*D18</f>
        <v>118000</v>
      </c>
      <c r="F18" s="23">
        <f t="shared" ref="F18:F26" si="22">IF($E$27=0,0,E18/$E$27)</f>
        <v>6.0333367419981593E-3</v>
      </c>
      <c r="L18" s="8">
        <f t="shared" si="15"/>
        <v>59</v>
      </c>
      <c r="M18" s="8">
        <f t="shared" ref="M18:M26" si="23">L18*(1+H4)</f>
        <v>59</v>
      </c>
      <c r="N18" s="8">
        <f t="shared" ref="N18:N26" si="24">M18*(1+I4)</f>
        <v>59</v>
      </c>
      <c r="O18" s="8">
        <f t="shared" ref="O18:O26" si="25">N18*(1+J4)</f>
        <v>59</v>
      </c>
      <c r="P18" s="40">
        <f>D18*(1+'1'!$Z$5)</f>
        <v>2527</v>
      </c>
      <c r="Q18" s="25">
        <f>P18*(1+'1'!$AA$5)</f>
        <v>3192.8645000000001</v>
      </c>
      <c r="R18" s="25">
        <f>Q18*(1+'1'!$AB$5)</f>
        <v>4034.1842957500003</v>
      </c>
      <c r="S18" s="25">
        <f>R18*(1+'1'!$AC$5)</f>
        <v>5097.1918576801254</v>
      </c>
      <c r="T18" s="40">
        <f t="shared" si="17"/>
        <v>149093</v>
      </c>
      <c r="U18" s="26">
        <f t="shared" si="17"/>
        <v>188379.0055</v>
      </c>
      <c r="V18" s="26">
        <f t="shared" ref="V18:V26" si="26">N18*R18</f>
        <v>238016.87344925001</v>
      </c>
      <c r="W18" s="26">
        <f t="shared" ref="W18:W26" si="27">O18*S18</f>
        <v>300734.31960312743</v>
      </c>
      <c r="X18" s="26"/>
    </row>
    <row r="19" spans="1:24">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19558000</v>
      </c>
      <c r="F27" s="34">
        <f>SUM(F17:F26)</f>
        <v>1</v>
      </c>
      <c r="T27" s="35">
        <f>SUM(T17:T26)</f>
        <v>25939655</v>
      </c>
      <c r="U27" s="35">
        <f>SUM(U17:U26)</f>
        <v>34404072.846850008</v>
      </c>
      <c r="V27" s="35">
        <f t="shared" ref="V27:W27" si="31">SUM(V17:V26)</f>
        <v>45631122.500422277</v>
      </c>
      <c r="W27" s="35">
        <f t="shared" si="31"/>
        <v>60522632.727267571</v>
      </c>
      <c r="X27" s="26"/>
    </row>
    <row r="30" spans="1:24">
      <c r="A30" s="140" t="s">
        <v>29</v>
      </c>
      <c r="B30" s="140"/>
      <c r="C30" s="140"/>
      <c r="D30" s="140"/>
      <c r="E30" s="140"/>
      <c r="F30" s="140"/>
    </row>
    <row r="31" spans="1:24" ht="25.5">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ht="15.5">
      <c r="A32" s="134" t="s">
        <v>30</v>
      </c>
      <c r="B32" s="135">
        <f>'1'!E13</f>
        <v>48895000</v>
      </c>
      <c r="C32" s="136">
        <f>'1'!T13</f>
        <v>56457500</v>
      </c>
      <c r="D32" s="136">
        <f>'1'!U13</f>
        <v>64597923.500000007</v>
      </c>
      <c r="E32" s="136">
        <f>'1'!V13</f>
        <v>74591147.867500007</v>
      </c>
      <c r="F32" s="136">
        <f>'1'!W13</f>
        <v>85348364.119603783</v>
      </c>
    </row>
    <row r="33" spans="1:6" ht="15.5">
      <c r="A33" s="134" t="s">
        <v>31</v>
      </c>
      <c r="B33" s="135">
        <f>'1'!E27</f>
        <v>19558000</v>
      </c>
      <c r="C33" s="135">
        <f>'1'!T27</f>
        <v>25939655</v>
      </c>
      <c r="D33" s="135">
        <f>'1'!U27</f>
        <v>34404072.846850008</v>
      </c>
      <c r="E33" s="135">
        <f>'1'!V27</f>
        <v>45631122.500422277</v>
      </c>
      <c r="F33" s="135">
        <f>'1'!W27</f>
        <v>60522632.727267571</v>
      </c>
    </row>
    <row r="34" spans="1:6" ht="20.5" thickBot="1">
      <c r="A34" s="45" t="s">
        <v>32</v>
      </c>
      <c r="B34" s="113">
        <f>B32-B33</f>
        <v>29337000</v>
      </c>
      <c r="C34" s="113">
        <f t="shared" ref="C34:D34" si="32">C32-C33</f>
        <v>30517845</v>
      </c>
      <c r="D34" s="113">
        <f t="shared" si="32"/>
        <v>30193850.65315</v>
      </c>
      <c r="E34" s="113">
        <f t="shared" ref="E34" si="33">E32-E33</f>
        <v>28960025.367077731</v>
      </c>
      <c r="F34" s="113">
        <f t="shared" ref="F34" si="34">F32-F33</f>
        <v>24825731.392336212</v>
      </c>
    </row>
    <row r="35" spans="1:6" ht="1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21" activePane="bottomLeft" state="frozenSplit"/>
      <selection activeCell="B40" sqref="B40"/>
      <selection pane="bottomLeft" activeCell="D21" sqref="D21"/>
    </sheetView>
  </sheetViews>
  <sheetFormatPr baseColWidth="10" defaultColWidth="11.453125" defaultRowHeight="14.5"/>
  <cols>
    <col min="1" max="1" width="5.453125" style="8" customWidth="1"/>
    <col min="2" max="2" width="29.453125" style="8" bestFit="1" customWidth="1"/>
    <col min="3" max="3" width="20.26953125" style="8" customWidth="1"/>
    <col min="4" max="4" width="11.453125" style="8"/>
    <col min="5" max="5" width="23.26953125" style="8" customWidth="1"/>
    <col min="6" max="6" width="17.7265625" style="8" bestFit="1" customWidth="1"/>
    <col min="7" max="7" width="15.54296875" style="8" bestFit="1" customWidth="1"/>
    <col min="8" max="16384" width="11.453125" style="8"/>
  </cols>
  <sheetData>
    <row r="1" spans="2:13">
      <c r="B1" s="143" t="s">
        <v>33</v>
      </c>
      <c r="C1" s="143"/>
      <c r="D1" s="143"/>
      <c r="E1" s="143"/>
      <c r="F1" s="143"/>
      <c r="G1" s="143"/>
      <c r="H1" s="143"/>
    </row>
    <row r="2" spans="2:13" ht="3.75" customHeight="1">
      <c r="B2" s="143"/>
      <c r="C2" s="143"/>
      <c r="D2" s="143"/>
      <c r="E2" s="143"/>
      <c r="F2" s="143"/>
      <c r="G2" s="143"/>
      <c r="H2" s="143"/>
    </row>
    <row r="3" spans="2:13">
      <c r="C3" s="21" t="s">
        <v>34</v>
      </c>
      <c r="F3" s="70" t="s">
        <v>35</v>
      </c>
      <c r="G3" s="128"/>
      <c r="H3" s="128"/>
      <c r="I3" s="128"/>
      <c r="J3" s="128"/>
      <c r="K3" s="128"/>
      <c r="L3" s="128"/>
      <c r="M3" s="128"/>
    </row>
    <row r="4" spans="2:13">
      <c r="B4" s="45" t="s">
        <v>36</v>
      </c>
      <c r="C4" s="14">
        <v>0</v>
      </c>
      <c r="F4" s="70"/>
      <c r="G4" s="70"/>
      <c r="H4" s="70"/>
      <c r="I4" s="128"/>
      <c r="J4" s="128"/>
      <c r="K4" s="128"/>
      <c r="L4" s="128"/>
      <c r="M4" s="128"/>
    </row>
    <row r="5" spans="2:13">
      <c r="B5" s="45" t="s">
        <v>37</v>
      </c>
      <c r="C5" s="14">
        <v>4000000</v>
      </c>
      <c r="F5" s="70">
        <v>10</v>
      </c>
      <c r="G5" s="71">
        <f t="shared" ref="G5:G11" si="0">C5/F5</f>
        <v>400000</v>
      </c>
      <c r="H5" s="70"/>
      <c r="I5" s="128"/>
      <c r="J5" s="128"/>
      <c r="K5" s="128"/>
      <c r="L5" s="128"/>
      <c r="M5" s="128"/>
    </row>
    <row r="6" spans="2:13">
      <c r="B6" s="45" t="s">
        <v>38</v>
      </c>
      <c r="C6" s="14">
        <v>0</v>
      </c>
      <c r="F6" s="70">
        <v>5</v>
      </c>
      <c r="G6" s="71">
        <f t="shared" si="0"/>
        <v>0</v>
      </c>
      <c r="H6" s="70"/>
      <c r="I6" s="128"/>
      <c r="J6" s="128"/>
      <c r="K6" s="128"/>
      <c r="L6" s="128"/>
      <c r="M6" s="128"/>
    </row>
    <row r="7" spans="2:13">
      <c r="B7" s="45" t="s">
        <v>39</v>
      </c>
      <c r="C7" s="14">
        <v>2450000</v>
      </c>
      <c r="F7" s="70">
        <v>5</v>
      </c>
      <c r="G7" s="71">
        <f t="shared" si="0"/>
        <v>490000</v>
      </c>
      <c r="H7" s="70"/>
      <c r="I7" s="128"/>
      <c r="J7" s="128"/>
      <c r="K7" s="128"/>
      <c r="L7" s="128"/>
      <c r="M7" s="128"/>
    </row>
    <row r="8" spans="2:13">
      <c r="B8" s="45" t="s">
        <v>40</v>
      </c>
      <c r="C8" s="14">
        <v>1500000</v>
      </c>
      <c r="F8" s="70">
        <v>5</v>
      </c>
      <c r="G8" s="71">
        <f t="shared" si="0"/>
        <v>300000</v>
      </c>
      <c r="H8" s="70"/>
      <c r="I8" s="128"/>
      <c r="J8" s="128"/>
      <c r="K8" s="128"/>
      <c r="L8" s="128"/>
      <c r="M8" s="128"/>
    </row>
    <row r="9" spans="2:13">
      <c r="B9" s="45" t="s">
        <v>41</v>
      </c>
      <c r="C9" s="14">
        <v>0</v>
      </c>
      <c r="F9" s="70">
        <v>5</v>
      </c>
      <c r="G9" s="71">
        <f t="shared" si="0"/>
        <v>0</v>
      </c>
      <c r="H9" s="70"/>
      <c r="I9" s="128"/>
      <c r="J9" s="128"/>
      <c r="K9" s="128"/>
      <c r="L9" s="128"/>
      <c r="M9" s="128"/>
    </row>
    <row r="10" spans="2:13">
      <c r="B10" s="45" t="s">
        <v>42</v>
      </c>
      <c r="C10" s="14">
        <v>0</v>
      </c>
      <c r="F10" s="70">
        <v>5</v>
      </c>
      <c r="G10" s="71">
        <f t="shared" si="0"/>
        <v>0</v>
      </c>
      <c r="H10" s="70"/>
      <c r="I10" s="128"/>
      <c r="J10" s="128"/>
      <c r="K10" s="128"/>
      <c r="L10" s="128"/>
      <c r="M10" s="128"/>
    </row>
    <row r="11" spans="2:13">
      <c r="B11" s="45" t="s">
        <v>43</v>
      </c>
      <c r="C11" s="14">
        <v>1100000</v>
      </c>
      <c r="F11" s="70">
        <v>5</v>
      </c>
      <c r="G11" s="71">
        <f t="shared" si="0"/>
        <v>220000</v>
      </c>
      <c r="H11" s="70"/>
      <c r="I11" s="128"/>
      <c r="J11" s="128"/>
      <c r="K11" s="128"/>
      <c r="L11" s="128"/>
      <c r="M11" s="128"/>
    </row>
    <row r="12" spans="2:13" ht="16" thickBot="1">
      <c r="B12" s="72" t="s">
        <v>44</v>
      </c>
      <c r="C12" s="73">
        <f>SUM(C4:C11)</f>
        <v>9050000</v>
      </c>
      <c r="F12" s="70"/>
      <c r="G12" s="71">
        <f>SUM(G5:G11)</f>
        <v>1410000</v>
      </c>
      <c r="H12" s="70"/>
      <c r="I12" s="128"/>
      <c r="J12" s="128"/>
      <c r="K12" s="128"/>
      <c r="L12" s="128"/>
      <c r="M12" s="128"/>
    </row>
    <row r="13" spans="2:13">
      <c r="B13" s="144" t="s">
        <v>45</v>
      </c>
      <c r="C13" s="145"/>
      <c r="D13" s="145"/>
      <c r="E13" s="145"/>
      <c r="F13" s="145"/>
      <c r="G13" s="145"/>
      <c r="H13" s="146"/>
    </row>
    <row r="14" spans="2:13" ht="15" thickBot="1">
      <c r="B14" s="147"/>
      <c r="C14" s="148"/>
      <c r="D14" s="148"/>
      <c r="E14" s="148"/>
      <c r="F14" s="148"/>
      <c r="G14" s="148"/>
      <c r="H14" s="149"/>
    </row>
    <row r="15" spans="2:13">
      <c r="B15" s="74"/>
      <c r="C15" s="74"/>
      <c r="D15" s="74"/>
      <c r="E15" s="74"/>
      <c r="F15" s="74"/>
      <c r="G15" s="74"/>
      <c r="H15" s="74"/>
    </row>
    <row r="16" spans="2:13">
      <c r="B16" s="72" t="s">
        <v>46</v>
      </c>
      <c r="E16" s="72" t="s">
        <v>47</v>
      </c>
      <c r="F16" s="38"/>
    </row>
    <row r="17" spans="2:6">
      <c r="C17" s="72" t="s">
        <v>48</v>
      </c>
      <c r="F17" s="72" t="str">
        <f>C17</f>
        <v>VALOR AÑO 1</v>
      </c>
    </row>
    <row r="18" spans="2:6">
      <c r="B18" s="75" t="s">
        <v>49</v>
      </c>
      <c r="C18" s="14">
        <v>3260000</v>
      </c>
      <c r="E18" s="76" t="s">
        <v>50</v>
      </c>
      <c r="F18" s="14">
        <v>4800000</v>
      </c>
    </row>
    <row r="19" spans="2:6">
      <c r="C19" s="77"/>
      <c r="E19" s="76" t="s">
        <v>51</v>
      </c>
      <c r="F19" s="14">
        <v>1000000</v>
      </c>
    </row>
    <row r="20" spans="2:6">
      <c r="B20" s="75" t="s">
        <v>52</v>
      </c>
      <c r="C20" s="14">
        <v>3260000</v>
      </c>
      <c r="E20" s="76" t="s">
        <v>53</v>
      </c>
      <c r="F20" s="14">
        <v>300000</v>
      </c>
    </row>
    <row r="21" spans="2:6">
      <c r="C21" s="77"/>
      <c r="E21" s="76" t="s">
        <v>54</v>
      </c>
      <c r="F21" s="14">
        <v>300000</v>
      </c>
    </row>
    <row r="22" spans="2:6">
      <c r="B22" s="75" t="s">
        <v>55</v>
      </c>
      <c r="C22" s="14">
        <v>3260000</v>
      </c>
      <c r="E22" s="76" t="s">
        <v>56</v>
      </c>
      <c r="F22" s="14">
        <v>400000</v>
      </c>
    </row>
    <row r="23" spans="2:6" ht="15.5">
      <c r="B23" s="8" t="s">
        <v>57</v>
      </c>
      <c r="C23" s="73">
        <f>C18+C20+C22</f>
        <v>9780000</v>
      </c>
      <c r="E23" s="76" t="s">
        <v>58</v>
      </c>
      <c r="F23" s="14">
        <v>0</v>
      </c>
    </row>
    <row r="24" spans="2:6">
      <c r="E24" s="76" t="s">
        <v>59</v>
      </c>
      <c r="F24" s="14">
        <v>0</v>
      </c>
    </row>
    <row r="25" spans="2:6" ht="24.5">
      <c r="B25" s="76" t="s">
        <v>60</v>
      </c>
      <c r="C25" s="14">
        <v>500000</v>
      </c>
      <c r="E25" s="97" t="s">
        <v>61</v>
      </c>
      <c r="F25" s="14">
        <v>0</v>
      </c>
    </row>
    <row r="26" spans="2:6">
      <c r="E26" s="97" t="s">
        <v>62</v>
      </c>
      <c r="F26" s="14">
        <v>0</v>
      </c>
    </row>
    <row r="27" spans="2:6">
      <c r="B27" s="95" t="s">
        <v>63</v>
      </c>
      <c r="C27" s="95"/>
      <c r="E27" s="97"/>
      <c r="F27" s="14">
        <v>0</v>
      </c>
    </row>
    <row r="28" spans="2:6">
      <c r="B28" s="111">
        <f>'1'!G2</f>
        <v>2025</v>
      </c>
      <c r="C28" s="14">
        <v>500000</v>
      </c>
      <c r="E28" s="97"/>
      <c r="F28" s="14">
        <v>0</v>
      </c>
    </row>
    <row r="29" spans="2:6">
      <c r="B29" s="111">
        <f>'1'!H2</f>
        <v>2026</v>
      </c>
      <c r="C29" s="14">
        <v>500000</v>
      </c>
      <c r="E29" s="97"/>
      <c r="F29" s="14">
        <v>0</v>
      </c>
    </row>
    <row r="30" spans="2:6">
      <c r="B30" s="111">
        <f>'1'!I2</f>
        <v>2027</v>
      </c>
      <c r="C30" s="14">
        <v>500000</v>
      </c>
      <c r="E30" s="97"/>
      <c r="F30" s="14">
        <v>0</v>
      </c>
    </row>
    <row r="31" spans="2:6" ht="15.5">
      <c r="B31" s="111">
        <f>'1'!J2</f>
        <v>2028</v>
      </c>
      <c r="C31" s="14">
        <v>500000</v>
      </c>
      <c r="E31" s="76" t="s">
        <v>64</v>
      </c>
      <c r="F31" s="73">
        <f>SUM(F18:F30)</f>
        <v>6800000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6" sqref="D16"/>
    </sheetView>
  </sheetViews>
  <sheetFormatPr baseColWidth="10" defaultColWidth="11.453125" defaultRowHeight="14.5"/>
  <cols>
    <col min="1" max="1" width="11.453125" style="8"/>
    <col min="2" max="2" width="39" style="8" bestFit="1" customWidth="1"/>
    <col min="3" max="3" width="18.54296875" style="8" bestFit="1" customWidth="1"/>
    <col min="4" max="4" width="23.453125" style="8" customWidth="1"/>
    <col min="5" max="5" width="12.81640625" style="8" customWidth="1"/>
    <col min="6" max="6" width="15.54296875" style="8" bestFit="1" customWidth="1"/>
    <col min="7" max="7" width="14.453125" style="8" bestFit="1" customWidth="1"/>
    <col min="8" max="8" width="14.453125" style="8" customWidth="1"/>
    <col min="9" max="9" width="17" style="8" bestFit="1" customWidth="1"/>
    <col min="10" max="10" width="15.7265625" style="8" customWidth="1"/>
    <col min="11" max="16384" width="11.453125" style="8"/>
  </cols>
  <sheetData>
    <row r="2" spans="2:12" ht="29.25" customHeight="1">
      <c r="B2" s="141" t="s">
        <v>65</v>
      </c>
      <c r="C2" s="141"/>
      <c r="D2" s="141"/>
      <c r="E2" s="141"/>
      <c r="F2" s="141"/>
      <c r="G2" s="141"/>
      <c r="H2" s="141"/>
      <c r="I2" s="141"/>
      <c r="J2" s="141"/>
    </row>
    <row r="3" spans="2:12">
      <c r="F3" s="150" t="s">
        <v>66</v>
      </c>
      <c r="G3" s="150"/>
    </row>
    <row r="4" spans="2:12" ht="15.5">
      <c r="B4" s="16" t="s">
        <v>44</v>
      </c>
      <c r="C4" s="73">
        <f>'2'!C12</f>
        <v>9050000</v>
      </c>
      <c r="F4" s="151">
        <v>0.1</v>
      </c>
      <c r="G4" s="151"/>
      <c r="I4" s="8" t="s">
        <v>67</v>
      </c>
      <c r="J4" s="127">
        <v>5</v>
      </c>
      <c r="L4" s="70">
        <v>1</v>
      </c>
    </row>
    <row r="5" spans="2:12">
      <c r="L5" s="70">
        <v>2</v>
      </c>
    </row>
    <row r="6" spans="2:12" ht="15" thickBot="1">
      <c r="B6" s="16" t="s">
        <v>68</v>
      </c>
      <c r="F6" s="140" t="s">
        <v>69</v>
      </c>
      <c r="G6" s="140"/>
      <c r="H6" s="140"/>
      <c r="I6" s="140"/>
      <c r="J6" s="140"/>
      <c r="L6" s="70">
        <v>3</v>
      </c>
    </row>
    <row r="7" spans="2:12">
      <c r="C7" s="78" t="s">
        <v>70</v>
      </c>
      <c r="D7" s="78" t="s">
        <v>71</v>
      </c>
      <c r="E7" s="116"/>
      <c r="F7" s="117" t="s">
        <v>72</v>
      </c>
      <c r="G7" s="117" t="s">
        <v>73</v>
      </c>
      <c r="H7" s="117" t="s">
        <v>74</v>
      </c>
      <c r="I7" s="117" t="s">
        <v>75</v>
      </c>
      <c r="J7" s="118" t="s">
        <v>76</v>
      </c>
      <c r="L7" s="70">
        <v>4</v>
      </c>
    </row>
    <row r="8" spans="2:12">
      <c r="B8" s="45" t="s">
        <v>77</v>
      </c>
      <c r="C8" s="53">
        <v>3</v>
      </c>
      <c r="D8" s="25">
        <f>('1'!B33/12)*C8</f>
        <v>4889500</v>
      </c>
      <c r="E8" s="119" t="s">
        <v>78</v>
      </c>
      <c r="F8" s="120"/>
      <c r="G8" s="120"/>
      <c r="H8" s="120"/>
      <c r="I8" s="120"/>
      <c r="J8" s="121">
        <f>D16</f>
        <v>12209500</v>
      </c>
      <c r="L8" s="70">
        <v>5</v>
      </c>
    </row>
    <row r="9" spans="2:12">
      <c r="B9" s="45" t="s">
        <v>79</v>
      </c>
      <c r="C9" s="53">
        <v>3</v>
      </c>
      <c r="D9" s="25">
        <f>('2'!C23/12)*C9</f>
        <v>2445000</v>
      </c>
      <c r="E9" s="119">
        <f>'1'!B31</f>
        <v>2024</v>
      </c>
      <c r="F9" s="123">
        <f t="shared" ref="F9:F13" si="0">IF(J8&gt;0,J8,0)</f>
        <v>12209500</v>
      </c>
      <c r="G9" s="123">
        <f>F9*$F$4</f>
        <v>1220950</v>
      </c>
      <c r="H9" s="123">
        <f>IF(J8&lt;1,0,(I9-G9))</f>
        <v>1999885.3417634442</v>
      </c>
      <c r="I9" s="123">
        <f>PMT(F4,J4,J8)*-1</f>
        <v>3220835.3417634442</v>
      </c>
      <c r="J9" s="124">
        <f>F9-H9</f>
        <v>10209614.658236556</v>
      </c>
    </row>
    <row r="10" spans="2:12">
      <c r="B10" s="45" t="s">
        <v>80</v>
      </c>
      <c r="C10" s="53">
        <v>3</v>
      </c>
      <c r="D10" s="25">
        <f>('2'!C25/12)*C10</f>
        <v>125000</v>
      </c>
      <c r="E10" s="119">
        <f>'1'!C31</f>
        <v>2025</v>
      </c>
      <c r="F10" s="123">
        <f t="shared" si="0"/>
        <v>10209614.658236556</v>
      </c>
      <c r="G10" s="123">
        <f t="shared" ref="G10:G13" si="1">F10*$F$4</f>
        <v>1020961.4658236556</v>
      </c>
      <c r="H10" s="123">
        <f t="shared" ref="H10:H13" si="2">IF(J9&lt;1,0,(I10-G10))</f>
        <v>2199873.8759397888</v>
      </c>
      <c r="I10" s="123">
        <f>IF(J9&lt;1,0,(I9*(1+$K$7)))</f>
        <v>3220835.3417634442</v>
      </c>
      <c r="J10" s="124">
        <f t="shared" ref="J10:J13" si="3">F10-H10</f>
        <v>8009740.7822967675</v>
      </c>
    </row>
    <row r="11" spans="2:12">
      <c r="B11" s="45" t="s">
        <v>81</v>
      </c>
      <c r="C11" s="53">
        <v>3</v>
      </c>
      <c r="D11" s="25">
        <f>('2'!F31/12)*C11</f>
        <v>1700000</v>
      </c>
      <c r="E11" s="119">
        <f>'1'!D31</f>
        <v>2026</v>
      </c>
      <c r="F11" s="123">
        <f t="shared" si="0"/>
        <v>8009740.7822967675</v>
      </c>
      <c r="G11" s="123">
        <f t="shared" si="1"/>
        <v>800974.07822967682</v>
      </c>
      <c r="H11" s="123">
        <f t="shared" si="2"/>
        <v>2419861.2635337673</v>
      </c>
      <c r="I11" s="123">
        <f t="shared" ref="I11:I13" si="4">IF(J10&lt;1,0,(I10*(1+$K$7)))</f>
        <v>3220835.3417634442</v>
      </c>
      <c r="J11" s="124">
        <f t="shared" si="3"/>
        <v>5589879.5187630001</v>
      </c>
    </row>
    <row r="12" spans="2:12" ht="15.5">
      <c r="B12" s="79" t="s">
        <v>24</v>
      </c>
      <c r="C12" s="57"/>
      <c r="D12" s="80">
        <f>SUM(D8:D11)</f>
        <v>9159500</v>
      </c>
      <c r="E12" s="119">
        <f>'1'!E31</f>
        <v>2027</v>
      </c>
      <c r="F12" s="123">
        <f t="shared" si="0"/>
        <v>5589879.5187630001</v>
      </c>
      <c r="G12" s="123">
        <f t="shared" si="1"/>
        <v>558987.95187630004</v>
      </c>
      <c r="H12" s="123">
        <f t="shared" si="2"/>
        <v>2661847.3898871443</v>
      </c>
      <c r="I12" s="123">
        <f t="shared" si="4"/>
        <v>3220835.3417634442</v>
      </c>
      <c r="J12" s="124">
        <f t="shared" si="3"/>
        <v>2928032.1288758558</v>
      </c>
    </row>
    <row r="13" spans="2:12" ht="15" thickBot="1">
      <c r="E13" s="122">
        <f>'1'!F31</f>
        <v>2028</v>
      </c>
      <c r="F13" s="125">
        <f t="shared" si="0"/>
        <v>2928032.1288758558</v>
      </c>
      <c r="G13" s="125">
        <f t="shared" si="1"/>
        <v>292803.21288758557</v>
      </c>
      <c r="H13" s="125">
        <f t="shared" si="2"/>
        <v>2928032.1288758586</v>
      </c>
      <c r="I13" s="125">
        <f t="shared" si="4"/>
        <v>3220835.3417634442</v>
      </c>
      <c r="J13" s="126">
        <f t="shared" si="3"/>
        <v>0</v>
      </c>
    </row>
    <row r="14" spans="2:12" ht="15.5">
      <c r="B14" s="45" t="s">
        <v>82</v>
      </c>
      <c r="D14" s="73">
        <f>C4+D12</f>
        <v>18209500</v>
      </c>
    </row>
    <row r="15" spans="2:12">
      <c r="B15" s="45" t="s">
        <v>83</v>
      </c>
      <c r="D15" s="54">
        <v>6000000</v>
      </c>
    </row>
    <row r="16" spans="2:12" ht="15.5">
      <c r="B16" s="45" t="s">
        <v>84</v>
      </c>
      <c r="D16" s="81">
        <f>D14-D15</f>
        <v>12209500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2" activePane="bottomRight" state="frozenSplit"/>
      <selection pane="topRight" activeCell="E1" sqref="E1"/>
      <selection pane="bottomLeft" activeCell="A12" sqref="A12"/>
      <selection pane="bottomRight" activeCell="C68" sqref="C68"/>
    </sheetView>
  </sheetViews>
  <sheetFormatPr baseColWidth="10" defaultColWidth="11.453125" defaultRowHeight="14.5"/>
  <cols>
    <col min="1" max="1" width="28.7265625" style="8" customWidth="1"/>
    <col min="2" max="2" width="25.81640625" style="8" bestFit="1" customWidth="1"/>
    <col min="3" max="3" width="21.7265625" style="8" bestFit="1" customWidth="1"/>
    <col min="4" max="7" width="18.453125" style="8" bestFit="1" customWidth="1"/>
    <col min="8" max="16384" width="11.453125" style="8"/>
  </cols>
  <sheetData>
    <row r="1" spans="1:7" ht="34.5" customHeight="1">
      <c r="A1" s="155" t="s">
        <v>85</v>
      </c>
      <c r="B1" s="155"/>
      <c r="C1" s="155"/>
      <c r="D1" s="155"/>
      <c r="E1" s="155"/>
      <c r="F1" s="155"/>
      <c r="G1" s="155"/>
    </row>
    <row r="2" spans="1:7" ht="23">
      <c r="A2" s="156" t="s">
        <v>86</v>
      </c>
      <c r="B2" s="156"/>
      <c r="C2" s="156"/>
      <c r="D2" s="156"/>
      <c r="E2" s="156"/>
      <c r="F2" s="156"/>
      <c r="G2" s="156"/>
    </row>
    <row r="3" spans="1:7" ht="8.25" customHeight="1">
      <c r="A3" s="55"/>
      <c r="B3" s="55"/>
      <c r="C3" s="55"/>
      <c r="D3" s="55"/>
      <c r="E3" s="55"/>
      <c r="F3" s="55"/>
      <c r="G3" s="55"/>
    </row>
    <row r="4" spans="1:7" ht="15.5">
      <c r="A4" s="154" t="s">
        <v>87</v>
      </c>
      <c r="B4" s="154"/>
      <c r="C4" s="154"/>
      <c r="D4" s="154"/>
      <c r="E4" s="154"/>
      <c r="F4" s="154"/>
      <c r="G4" s="154"/>
    </row>
    <row r="5" spans="1:7" ht="23">
      <c r="C5" s="59">
        <f>'1'!B31</f>
        <v>2024</v>
      </c>
      <c r="D5" s="59">
        <f>'1'!C31</f>
        <v>2025</v>
      </c>
      <c r="E5" s="59">
        <f>'1'!D31</f>
        <v>2026</v>
      </c>
      <c r="F5" s="59">
        <f>'1'!E31</f>
        <v>2027</v>
      </c>
      <c r="G5" s="59">
        <f>'1'!F31</f>
        <v>2028</v>
      </c>
    </row>
    <row r="6" spans="1:7">
      <c r="B6" s="8" t="s">
        <v>88</v>
      </c>
      <c r="C6" s="60">
        <f>'1'!B32</f>
        <v>48895000</v>
      </c>
      <c r="D6" s="60">
        <f>'1'!C32</f>
        <v>56457500</v>
      </c>
      <c r="E6" s="60">
        <f>'1'!D32</f>
        <v>64597923.500000007</v>
      </c>
      <c r="F6" s="60">
        <f>'1'!E32</f>
        <v>74591147.867500007</v>
      </c>
      <c r="G6" s="60">
        <f>'1'!F32</f>
        <v>85348364.119603783</v>
      </c>
    </row>
    <row r="7" spans="1:7">
      <c r="B7" s="8" t="s">
        <v>89</v>
      </c>
      <c r="C7" s="60">
        <f>'1'!B33</f>
        <v>19558000</v>
      </c>
      <c r="D7" s="60">
        <f>'1'!C33</f>
        <v>25939655</v>
      </c>
      <c r="E7" s="60">
        <f>'1'!D33</f>
        <v>34404072.846850008</v>
      </c>
      <c r="F7" s="60">
        <f>'1'!E33</f>
        <v>45631122.500422277</v>
      </c>
      <c r="G7" s="60">
        <f>'1'!F33</f>
        <v>60522632.727267571</v>
      </c>
    </row>
    <row r="8" spans="1:7" ht="15" thickBot="1">
      <c r="B8" s="61" t="s">
        <v>90</v>
      </c>
      <c r="C8" s="62">
        <f>C6-C7</f>
        <v>29337000</v>
      </c>
      <c r="D8" s="62">
        <f t="shared" ref="D8:G8" si="0">D6-D7</f>
        <v>30517845</v>
      </c>
      <c r="E8" s="62">
        <f t="shared" si="0"/>
        <v>30193850.65315</v>
      </c>
      <c r="F8" s="62">
        <f t="shared" si="0"/>
        <v>28960025.367077731</v>
      </c>
      <c r="G8" s="62">
        <f t="shared" si="0"/>
        <v>24825731.392336212</v>
      </c>
    </row>
    <row r="9" spans="1:7" ht="15" thickTop="1">
      <c r="B9" s="8" t="s">
        <v>91</v>
      </c>
      <c r="C9" s="137">
        <f>'2'!C23</f>
        <v>9780000</v>
      </c>
      <c r="D9" s="137">
        <f>C9*(1+'1'!Z4)</f>
        <v>10758000</v>
      </c>
      <c r="E9" s="137">
        <f>D9*(1+'1'!AA4)</f>
        <v>11726220</v>
      </c>
      <c r="F9" s="137">
        <f>E9*(1+'1'!AB4)</f>
        <v>12898842.000000002</v>
      </c>
      <c r="G9" s="137">
        <f>F9*(1+'1'!AC4)</f>
        <v>14059737.780000003</v>
      </c>
    </row>
    <row r="10" spans="1:7">
      <c r="B10" s="8" t="s">
        <v>92</v>
      </c>
      <c r="C10" s="137">
        <f>'2'!F31</f>
        <v>6800000</v>
      </c>
      <c r="D10" s="137">
        <f>C10*(1+'1'!Z4)</f>
        <v>7480000.0000000009</v>
      </c>
      <c r="E10" s="137">
        <f>D10*(1+'1'!AA4)</f>
        <v>8153200.0000000019</v>
      </c>
      <c r="F10" s="137">
        <f>E10*(1+'1'!AB4)</f>
        <v>8968520.0000000019</v>
      </c>
      <c r="G10" s="137">
        <f>F10*(1+'1'!AC4)</f>
        <v>9775686.8000000026</v>
      </c>
    </row>
    <row r="11" spans="1:7">
      <c r="B11" s="8" t="s">
        <v>93</v>
      </c>
      <c r="C11" s="137">
        <f>'2'!C25</f>
        <v>500000</v>
      </c>
      <c r="D11" s="137">
        <f>'2'!C28</f>
        <v>500000</v>
      </c>
      <c r="E11" s="137">
        <f>'2'!C29</f>
        <v>500000</v>
      </c>
      <c r="F11" s="137">
        <f>'2'!C30</f>
        <v>500000</v>
      </c>
      <c r="G11" s="137">
        <f>'2'!C31</f>
        <v>500000</v>
      </c>
    </row>
    <row r="12" spans="1:7">
      <c r="B12" s="8" t="s">
        <v>94</v>
      </c>
      <c r="C12" s="137">
        <f>'2'!G12</f>
        <v>1410000</v>
      </c>
      <c r="D12" s="137">
        <f>C12</f>
        <v>1410000</v>
      </c>
      <c r="E12" s="137">
        <f t="shared" ref="E12:G12" si="1">D12</f>
        <v>1410000</v>
      </c>
      <c r="F12" s="137">
        <f t="shared" si="1"/>
        <v>1410000</v>
      </c>
      <c r="G12" s="137">
        <f t="shared" si="1"/>
        <v>1410000</v>
      </c>
    </row>
    <row r="13" spans="1:7" ht="15" thickBot="1">
      <c r="B13" s="61" t="s">
        <v>95</v>
      </c>
      <c r="C13" s="63">
        <f>C8-C9-C10-C11-C12</f>
        <v>10847000</v>
      </c>
      <c r="D13" s="63">
        <f t="shared" ref="D13:G13" si="2">D8-D9-D10-D11-D12</f>
        <v>10369845</v>
      </c>
      <c r="E13" s="63">
        <f t="shared" si="2"/>
        <v>8404430.6531499978</v>
      </c>
      <c r="F13" s="63">
        <f t="shared" si="2"/>
        <v>5182663.3670777269</v>
      </c>
      <c r="G13" s="63">
        <f t="shared" si="2"/>
        <v>-919693.18766379356</v>
      </c>
    </row>
    <row r="14" spans="1:7" ht="15" thickTop="1">
      <c r="B14" s="8" t="s">
        <v>96</v>
      </c>
      <c r="C14" s="60">
        <f>'3'!G9</f>
        <v>1220950</v>
      </c>
      <c r="D14" s="60">
        <f>'3'!G10</f>
        <v>1020961.4658236556</v>
      </c>
      <c r="E14" s="60">
        <f>'3'!G11</f>
        <v>800974.07822967682</v>
      </c>
      <c r="F14" s="60">
        <f>'3'!G12</f>
        <v>558987.95187630004</v>
      </c>
      <c r="G14" s="60">
        <f>'3'!G13</f>
        <v>292803.21288758557</v>
      </c>
    </row>
    <row r="15" spans="1:7" ht="15" thickBot="1">
      <c r="B15" s="61" t="s">
        <v>97</v>
      </c>
      <c r="C15" s="63">
        <f>C13-C14</f>
        <v>9626050</v>
      </c>
      <c r="D15" s="63">
        <f t="shared" ref="D15:G15" si="3">D13-D14</f>
        <v>9348883.5341763441</v>
      </c>
      <c r="E15" s="63">
        <f t="shared" si="3"/>
        <v>7603456.5749203209</v>
      </c>
      <c r="F15" s="63">
        <f t="shared" si="3"/>
        <v>4623675.4152014265</v>
      </c>
      <c r="G15" s="63">
        <f t="shared" si="3"/>
        <v>-1212496.4005513792</v>
      </c>
    </row>
    <row r="16" spans="1:7" ht="15" thickTop="1">
      <c r="B16" s="8" t="s">
        <v>98</v>
      </c>
      <c r="C16" s="64">
        <f>IF(C15*'1'!$AB$7&lt;0,0,C15*'1'!$AB$7)</f>
        <v>3850420</v>
      </c>
      <c r="D16" s="64">
        <f>IF(D15*'1'!$AB$7&lt;0,0,D15*'1'!$AB$7)</f>
        <v>3739553.413670538</v>
      </c>
      <c r="E16" s="64">
        <f>IF(E15*'1'!$AB$7&lt;0,0,E15*'1'!$AB$7)</f>
        <v>3041382.6299681286</v>
      </c>
      <c r="F16" s="64">
        <f>IF(F15*'1'!$AB$7&lt;0,0,F15*'1'!$AB$7)</f>
        <v>1849470.1660805708</v>
      </c>
      <c r="G16" s="64">
        <f>IF(G15*'1'!$AB$7&lt;0,0,G15*'1'!$AB$7)</f>
        <v>0</v>
      </c>
    </row>
    <row r="17" spans="1:8" ht="15" thickBot="1">
      <c r="B17" s="65" t="s">
        <v>99</v>
      </c>
      <c r="C17" s="66">
        <f>C15-C16</f>
        <v>5775630</v>
      </c>
      <c r="D17" s="66">
        <f t="shared" ref="D17:G17" si="4">D15-D16</f>
        <v>5609330.1205058061</v>
      </c>
      <c r="E17" s="66">
        <f t="shared" si="4"/>
        <v>4562073.9449521918</v>
      </c>
      <c r="F17" s="66">
        <f t="shared" si="4"/>
        <v>2774205.2491208557</v>
      </c>
      <c r="G17" s="66">
        <f t="shared" si="4"/>
        <v>-1212496.4005513792</v>
      </c>
    </row>
    <row r="19" spans="1:8" ht="15.5">
      <c r="A19" s="154" t="s">
        <v>100</v>
      </c>
      <c r="B19" s="154"/>
      <c r="C19" s="154"/>
      <c r="D19" s="154"/>
      <c r="E19" s="154"/>
      <c r="F19" s="154"/>
      <c r="G19" s="154"/>
    </row>
    <row r="20" spans="1:8" ht="23">
      <c r="B20" s="67" t="s">
        <v>78</v>
      </c>
      <c r="C20" s="59">
        <f>C5</f>
        <v>2024</v>
      </c>
      <c r="D20" s="59">
        <f>D5</f>
        <v>2025</v>
      </c>
      <c r="E20" s="59">
        <f>E5</f>
        <v>2026</v>
      </c>
      <c r="F20" s="59">
        <f>F5</f>
        <v>2027</v>
      </c>
      <c r="G20" s="59">
        <f>G5</f>
        <v>2028</v>
      </c>
    </row>
    <row r="21" spans="1:8">
      <c r="A21" s="153" t="s">
        <v>101</v>
      </c>
      <c r="B21" s="153"/>
      <c r="C21" s="153"/>
      <c r="D21" s="153"/>
      <c r="E21" s="153"/>
      <c r="F21" s="153"/>
      <c r="G21" s="153"/>
    </row>
    <row r="22" spans="1:8">
      <c r="A22" s="8" t="s">
        <v>102</v>
      </c>
      <c r="B22" s="26">
        <f>B38-B26</f>
        <v>9159500</v>
      </c>
      <c r="C22" s="26">
        <f t="shared" ref="C22:G22" si="5">C38-C26</f>
        <v>18195664.658236556</v>
      </c>
      <c r="D22" s="26">
        <f t="shared" si="5"/>
        <v>17128624.316473112</v>
      </c>
      <c r="E22" s="26">
        <f t="shared" si="5"/>
        <v>14373336.093683321</v>
      </c>
      <c r="F22" s="26">
        <f t="shared" si="5"/>
        <v>10141707.544077283</v>
      </c>
      <c r="G22" s="26">
        <f t="shared" si="5"/>
        <v>2787503.5994486213</v>
      </c>
    </row>
    <row r="23" spans="1:8">
      <c r="A23" s="8" t="s">
        <v>103</v>
      </c>
      <c r="B23" s="26">
        <f>'2'!C4</f>
        <v>0</v>
      </c>
      <c r="C23" s="26">
        <f>B23</f>
        <v>0</v>
      </c>
      <c r="D23" s="26">
        <f t="shared" ref="D23:G23" si="6">C23</f>
        <v>0</v>
      </c>
      <c r="E23" s="26">
        <f t="shared" si="6"/>
        <v>0</v>
      </c>
      <c r="F23" s="26">
        <f t="shared" si="6"/>
        <v>0</v>
      </c>
      <c r="G23" s="26">
        <f t="shared" si="6"/>
        <v>0</v>
      </c>
      <c r="H23" s="26"/>
    </row>
    <row r="24" spans="1:8">
      <c r="A24" s="8" t="s">
        <v>104</v>
      </c>
      <c r="B24" s="26">
        <f>'2'!C12-'2'!C4</f>
        <v>9050000</v>
      </c>
      <c r="C24" s="26">
        <f>B24</f>
        <v>9050000</v>
      </c>
      <c r="D24" s="26">
        <f t="shared" ref="D24:G24" si="7">C24</f>
        <v>9050000</v>
      </c>
      <c r="E24" s="26">
        <f t="shared" si="7"/>
        <v>9050000</v>
      </c>
      <c r="F24" s="26">
        <f t="shared" si="7"/>
        <v>9050000</v>
      </c>
      <c r="G24" s="26">
        <f t="shared" si="7"/>
        <v>9050000</v>
      </c>
      <c r="H24" s="26"/>
    </row>
    <row r="25" spans="1:8">
      <c r="A25" s="8" t="s">
        <v>105</v>
      </c>
      <c r="B25" s="26">
        <v>0</v>
      </c>
      <c r="C25" s="26">
        <f>C12</f>
        <v>1410000</v>
      </c>
      <c r="D25" s="26">
        <f>D12+C12</f>
        <v>2820000</v>
      </c>
      <c r="E25" s="26">
        <f>E12+D12+C12</f>
        <v>4230000</v>
      </c>
      <c r="F25" s="26">
        <f>F12+E12+D12+C12</f>
        <v>5640000</v>
      </c>
      <c r="G25" s="26">
        <f>F25+G12</f>
        <v>7050000</v>
      </c>
      <c r="H25" s="26"/>
    </row>
    <row r="26" spans="1:8">
      <c r="A26" s="8" t="s">
        <v>106</v>
      </c>
      <c r="B26" s="26">
        <f>B23+(B24-B25)</f>
        <v>9050000</v>
      </c>
      <c r="C26" s="26">
        <f>C23+(C24-C25)</f>
        <v>7640000</v>
      </c>
      <c r="D26" s="26">
        <f t="shared" ref="D26:G26" si="8">D23+(D24-D25)</f>
        <v>6230000</v>
      </c>
      <c r="E26" s="26">
        <f t="shared" si="8"/>
        <v>4820000</v>
      </c>
      <c r="F26" s="26">
        <f t="shared" si="8"/>
        <v>3410000</v>
      </c>
      <c r="G26" s="26">
        <f t="shared" si="8"/>
        <v>2000000</v>
      </c>
      <c r="H26" s="26"/>
    </row>
    <row r="27" spans="1:8" ht="15" thickBot="1">
      <c r="A27" s="61" t="s">
        <v>107</v>
      </c>
      <c r="B27" s="68">
        <f>B22+B26</f>
        <v>18209500</v>
      </c>
      <c r="C27" s="68">
        <f t="shared" ref="C27:G27" si="9">C22+C26</f>
        <v>25835664.658236556</v>
      </c>
      <c r="D27" s="68">
        <f t="shared" si="9"/>
        <v>23358624.316473112</v>
      </c>
      <c r="E27" s="68">
        <f t="shared" si="9"/>
        <v>19193336.093683321</v>
      </c>
      <c r="F27" s="68">
        <f t="shared" si="9"/>
        <v>13551707.544077283</v>
      </c>
      <c r="G27" s="68">
        <f t="shared" si="9"/>
        <v>4787503.5994486213</v>
      </c>
      <c r="H27" s="26"/>
    </row>
    <row r="28" spans="1:8" ht="15" thickTop="1">
      <c r="A28" s="153" t="s">
        <v>108</v>
      </c>
      <c r="B28" s="153"/>
      <c r="C28" s="153"/>
      <c r="D28" s="153"/>
      <c r="E28" s="153"/>
      <c r="F28" s="153"/>
      <c r="G28" s="153"/>
    </row>
    <row r="29" spans="1:8">
      <c r="A29" s="8" t="s">
        <v>109</v>
      </c>
      <c r="B29" s="8">
        <v>0</v>
      </c>
      <c r="C29" s="64">
        <f>C16</f>
        <v>3850420</v>
      </c>
      <c r="D29" s="64">
        <f>D16</f>
        <v>3739553.413670538</v>
      </c>
      <c r="E29" s="64">
        <f>E16</f>
        <v>3041382.6299681286</v>
      </c>
      <c r="F29" s="64">
        <f>F16</f>
        <v>1849470.1660805708</v>
      </c>
      <c r="G29" s="64">
        <f>G16</f>
        <v>0</v>
      </c>
    </row>
    <row r="30" spans="1:8">
      <c r="A30" s="8" t="s">
        <v>110</v>
      </c>
      <c r="B30" s="64">
        <f>B29</f>
        <v>0</v>
      </c>
      <c r="C30" s="64">
        <f t="shared" ref="C30:G30" si="10">C29</f>
        <v>3850420</v>
      </c>
      <c r="D30" s="64">
        <f t="shared" si="10"/>
        <v>3739553.413670538</v>
      </c>
      <c r="E30" s="64">
        <f t="shared" si="10"/>
        <v>3041382.6299681286</v>
      </c>
      <c r="F30" s="64">
        <f t="shared" si="10"/>
        <v>1849470.1660805708</v>
      </c>
      <c r="G30" s="64">
        <f t="shared" si="10"/>
        <v>0</v>
      </c>
    </row>
    <row r="31" spans="1:8">
      <c r="A31" s="8" t="s">
        <v>111</v>
      </c>
      <c r="B31" s="25">
        <f>'3'!J8</f>
        <v>12209500</v>
      </c>
      <c r="C31" s="25">
        <f>'3'!J9</f>
        <v>10209614.658236556</v>
      </c>
      <c r="D31" s="25">
        <f>'3'!J10</f>
        <v>8009740.7822967675</v>
      </c>
      <c r="E31" s="25">
        <f>'3'!J11</f>
        <v>5589879.5187630001</v>
      </c>
      <c r="F31" s="25">
        <f>'3'!J12</f>
        <v>2928032.1288758558</v>
      </c>
      <c r="G31" s="25">
        <f>'3'!J13</f>
        <v>0</v>
      </c>
    </row>
    <row r="32" spans="1:8" ht="15" thickBot="1">
      <c r="A32" s="61" t="s">
        <v>108</v>
      </c>
      <c r="B32" s="68">
        <f>B30+B31</f>
        <v>12209500</v>
      </c>
      <c r="C32" s="68">
        <f t="shared" ref="C32:G32" si="11">C30+C31</f>
        <v>14060034.658236556</v>
      </c>
      <c r="D32" s="68">
        <f t="shared" si="11"/>
        <v>11749294.195967305</v>
      </c>
      <c r="E32" s="68">
        <f t="shared" si="11"/>
        <v>8631262.1487311292</v>
      </c>
      <c r="F32" s="68">
        <f t="shared" si="11"/>
        <v>4777502.2949564271</v>
      </c>
      <c r="G32" s="68">
        <f t="shared" si="11"/>
        <v>0</v>
      </c>
    </row>
    <row r="33" spans="1:7" ht="15" thickTop="1">
      <c r="A33" s="153" t="s">
        <v>112</v>
      </c>
      <c r="B33" s="153"/>
      <c r="C33" s="153"/>
      <c r="D33" s="153"/>
      <c r="E33" s="153"/>
      <c r="F33" s="153"/>
      <c r="G33" s="153"/>
    </row>
    <row r="34" spans="1:7">
      <c r="A34" s="8" t="s">
        <v>113</v>
      </c>
      <c r="B34" s="26">
        <f>'3'!D15</f>
        <v>6000000</v>
      </c>
      <c r="C34" s="26">
        <f>B34</f>
        <v>6000000</v>
      </c>
      <c r="D34" s="26">
        <f t="shared" ref="D34:G34" si="12">C34</f>
        <v>6000000</v>
      </c>
      <c r="E34" s="26">
        <f t="shared" si="12"/>
        <v>6000000</v>
      </c>
      <c r="F34" s="26">
        <f t="shared" si="12"/>
        <v>6000000</v>
      </c>
      <c r="G34" s="26">
        <f t="shared" si="12"/>
        <v>6000000</v>
      </c>
    </row>
    <row r="35" spans="1:7">
      <c r="A35" s="8" t="s">
        <v>114</v>
      </c>
      <c r="B35" s="8">
        <v>0</v>
      </c>
      <c r="C35" s="64">
        <f>C17</f>
        <v>5775630</v>
      </c>
      <c r="D35" s="64">
        <f>D17</f>
        <v>5609330.1205058061</v>
      </c>
      <c r="E35" s="64">
        <f>E17</f>
        <v>4562073.9449521918</v>
      </c>
      <c r="F35" s="64">
        <f>F17</f>
        <v>2774205.2491208557</v>
      </c>
      <c r="G35" s="64">
        <f>G17</f>
        <v>-1212496.4005513792</v>
      </c>
    </row>
    <row r="36" spans="1:7" ht="15" thickBot="1">
      <c r="A36" s="61" t="s">
        <v>115</v>
      </c>
      <c r="B36" s="68">
        <f>B34+B35</f>
        <v>6000000</v>
      </c>
      <c r="C36" s="68">
        <f t="shared" ref="C36:G36" si="13">C34+C35</f>
        <v>11775630</v>
      </c>
      <c r="D36" s="68">
        <f t="shared" si="13"/>
        <v>11609330.120505806</v>
      </c>
      <c r="E36" s="68">
        <f t="shared" si="13"/>
        <v>10562073.944952192</v>
      </c>
      <c r="F36" s="68">
        <f t="shared" si="13"/>
        <v>8774205.2491208557</v>
      </c>
      <c r="G36" s="68">
        <f t="shared" si="13"/>
        <v>4787503.5994486213</v>
      </c>
    </row>
    <row r="37" spans="1:7" ht="15" thickTop="1"/>
    <row r="38" spans="1:7" ht="15" thickBot="1">
      <c r="A38" s="61" t="s">
        <v>116</v>
      </c>
      <c r="B38" s="68">
        <f>B32+B36</f>
        <v>18209500</v>
      </c>
      <c r="C38" s="68">
        <f t="shared" ref="C38:G38" si="14">C32+C36</f>
        <v>25835664.658236556</v>
      </c>
      <c r="D38" s="68">
        <f t="shared" si="14"/>
        <v>23358624.316473112</v>
      </c>
      <c r="E38" s="68">
        <f t="shared" si="14"/>
        <v>19193336.093683321</v>
      </c>
      <c r="F38" s="68">
        <f t="shared" si="14"/>
        <v>13551707.544077283</v>
      </c>
      <c r="G38" s="68">
        <f t="shared" si="14"/>
        <v>4787503.5994486213</v>
      </c>
    </row>
    <row r="39" spans="1:7" ht="15" thickTop="1">
      <c r="A39" s="57" t="s">
        <v>117</v>
      </c>
      <c r="B39" s="69">
        <f>B27-B38</f>
        <v>0</v>
      </c>
      <c r="C39" s="69">
        <f t="shared" ref="C39:G39" si="15">C27-C38</f>
        <v>0</v>
      </c>
      <c r="D39" s="69">
        <f t="shared" si="15"/>
        <v>0</v>
      </c>
      <c r="E39" s="69">
        <f t="shared" si="15"/>
        <v>0</v>
      </c>
      <c r="F39" s="69">
        <f t="shared" si="15"/>
        <v>0</v>
      </c>
      <c r="G39" s="69">
        <f t="shared" si="15"/>
        <v>0</v>
      </c>
    </row>
    <row r="41" spans="1:7" ht="15.5">
      <c r="A41" s="154" t="s">
        <v>118</v>
      </c>
      <c r="B41" s="154"/>
      <c r="C41" s="154"/>
      <c r="D41" s="154"/>
      <c r="E41" s="154"/>
      <c r="F41" s="154"/>
      <c r="G41" s="154"/>
    </row>
    <row r="42" spans="1:7">
      <c r="A42" s="153" t="s">
        <v>119</v>
      </c>
      <c r="B42" s="153"/>
      <c r="C42" s="153"/>
      <c r="D42" s="153"/>
      <c r="E42" s="153"/>
      <c r="F42" s="153"/>
      <c r="G42" s="153"/>
    </row>
    <row r="43" spans="1:7" ht="23">
      <c r="A43" s="11"/>
      <c r="B43" s="67" t="s">
        <v>78</v>
      </c>
      <c r="C43" s="59">
        <f>C20</f>
        <v>2024</v>
      </c>
      <c r="D43" s="59">
        <f t="shared" ref="D43:G43" si="16">D20</f>
        <v>2025</v>
      </c>
      <c r="E43" s="59">
        <f t="shared" si="16"/>
        <v>2026</v>
      </c>
      <c r="F43" s="59">
        <f t="shared" si="16"/>
        <v>2027</v>
      </c>
      <c r="G43" s="59">
        <f t="shared" si="16"/>
        <v>2028</v>
      </c>
    </row>
    <row r="44" spans="1:7">
      <c r="A44" s="1" t="s">
        <v>120</v>
      </c>
      <c r="B44" s="2">
        <f>B22</f>
        <v>9159500</v>
      </c>
      <c r="C44" s="2">
        <f t="shared" ref="C44:G44" si="17">C22</f>
        <v>18195664.658236556</v>
      </c>
      <c r="D44" s="2">
        <f t="shared" si="17"/>
        <v>17128624.316473112</v>
      </c>
      <c r="E44" s="2">
        <f t="shared" si="17"/>
        <v>14373336.093683321</v>
      </c>
      <c r="F44" s="2">
        <f t="shared" si="17"/>
        <v>10141707.544077283</v>
      </c>
      <c r="G44" s="2">
        <f t="shared" si="17"/>
        <v>2787503.5994486213</v>
      </c>
    </row>
    <row r="45" spans="1:7" ht="15" thickBot="1">
      <c r="A45" s="1" t="s">
        <v>121</v>
      </c>
      <c r="B45" s="3">
        <f>B29</f>
        <v>0</v>
      </c>
      <c r="C45" s="3">
        <f t="shared" ref="C45:G45" si="18">C29</f>
        <v>3850420</v>
      </c>
      <c r="D45" s="3">
        <f t="shared" si="18"/>
        <v>3739553.413670538</v>
      </c>
      <c r="E45" s="3">
        <f t="shared" si="18"/>
        <v>3041382.6299681286</v>
      </c>
      <c r="F45" s="3">
        <f t="shared" si="18"/>
        <v>1849470.1660805708</v>
      </c>
      <c r="G45" s="3">
        <f t="shared" si="18"/>
        <v>0</v>
      </c>
    </row>
    <row r="46" spans="1:7" ht="15" thickTop="1">
      <c r="A46" s="4" t="s">
        <v>122</v>
      </c>
      <c r="B46" s="5">
        <f t="shared" ref="B46:G46" si="19">B44-B45</f>
        <v>9159500</v>
      </c>
      <c r="C46" s="5">
        <f t="shared" si="19"/>
        <v>14345244.658236556</v>
      </c>
      <c r="D46" s="5">
        <f t="shared" si="19"/>
        <v>13389070.902802574</v>
      </c>
      <c r="E46" s="5">
        <f t="shared" si="19"/>
        <v>11331953.463715192</v>
      </c>
      <c r="F46" s="5">
        <f t="shared" si="19"/>
        <v>8292237.377996712</v>
      </c>
      <c r="G46" s="5">
        <f t="shared" si="19"/>
        <v>2787503.5994486213</v>
      </c>
    </row>
    <row r="47" spans="1:7">
      <c r="A47" s="1"/>
      <c r="B47" s="2"/>
      <c r="C47" s="2"/>
      <c r="D47" s="2"/>
      <c r="E47" s="2"/>
      <c r="F47" s="2"/>
      <c r="G47" s="2"/>
    </row>
    <row r="48" spans="1:7">
      <c r="A48" s="4" t="s">
        <v>123</v>
      </c>
      <c r="B48" s="2">
        <f>B26</f>
        <v>9050000</v>
      </c>
      <c r="C48" s="2">
        <f t="shared" ref="C48:G48" si="20">C26</f>
        <v>7640000</v>
      </c>
      <c r="D48" s="2">
        <f t="shared" si="20"/>
        <v>6230000</v>
      </c>
      <c r="E48" s="2">
        <f t="shared" si="20"/>
        <v>4820000</v>
      </c>
      <c r="F48" s="2">
        <f t="shared" si="20"/>
        <v>3410000</v>
      </c>
      <c r="G48" s="2">
        <f t="shared" si="20"/>
        <v>2000000</v>
      </c>
    </row>
    <row r="49" spans="1:7" ht="15" thickBot="1">
      <c r="A49" s="1" t="s">
        <v>124</v>
      </c>
      <c r="B49" s="3">
        <f>B25</f>
        <v>0</v>
      </c>
      <c r="C49" s="3">
        <f t="shared" ref="C49:G49" si="21">C25</f>
        <v>1410000</v>
      </c>
      <c r="D49" s="3">
        <f t="shared" si="21"/>
        <v>2820000</v>
      </c>
      <c r="E49" s="3">
        <f t="shared" si="21"/>
        <v>4230000</v>
      </c>
      <c r="F49" s="3">
        <f t="shared" si="21"/>
        <v>5640000</v>
      </c>
      <c r="G49" s="3">
        <f t="shared" si="21"/>
        <v>7050000</v>
      </c>
    </row>
    <row r="50" spans="1:7" ht="15" thickTop="1">
      <c r="A50" s="4" t="s">
        <v>125</v>
      </c>
      <c r="B50" s="5">
        <f t="shared" ref="B50:G50" si="22">B48+B49</f>
        <v>9050000</v>
      </c>
      <c r="C50" s="5">
        <f t="shared" si="22"/>
        <v>9050000</v>
      </c>
      <c r="D50" s="5">
        <f t="shared" si="22"/>
        <v>9050000</v>
      </c>
      <c r="E50" s="5">
        <f t="shared" si="22"/>
        <v>9050000</v>
      </c>
      <c r="F50" s="5">
        <f t="shared" si="22"/>
        <v>9050000</v>
      </c>
      <c r="G50" s="5">
        <f t="shared" si="22"/>
        <v>9050000</v>
      </c>
    </row>
    <row r="51" spans="1:7">
      <c r="A51" s="1"/>
      <c r="B51" s="2"/>
      <c r="C51" s="2"/>
      <c r="D51" s="2"/>
      <c r="E51" s="2"/>
      <c r="F51" s="2"/>
      <c r="G51" s="2"/>
    </row>
    <row r="52" spans="1:7" ht="15" thickBot="1">
      <c r="A52" s="12" t="s">
        <v>126</v>
      </c>
      <c r="B52" s="6">
        <f t="shared" ref="B52:G52" si="23">B46+B48</f>
        <v>18209500</v>
      </c>
      <c r="C52" s="6">
        <f t="shared" si="23"/>
        <v>21985244.658236556</v>
      </c>
      <c r="D52" s="6">
        <f t="shared" si="23"/>
        <v>19619070.902802572</v>
      </c>
      <c r="E52" s="6">
        <f t="shared" si="23"/>
        <v>16151953.463715192</v>
      </c>
      <c r="F52" s="6">
        <f t="shared" si="23"/>
        <v>11702237.377996713</v>
      </c>
      <c r="G52" s="6">
        <f t="shared" si="23"/>
        <v>4787503.5994486213</v>
      </c>
    </row>
    <row r="53" spans="1:7" ht="15" thickTop="1">
      <c r="A53" s="7"/>
      <c r="B53" s="2"/>
      <c r="C53" s="2"/>
      <c r="D53" s="2"/>
      <c r="E53" s="2"/>
      <c r="F53" s="2"/>
      <c r="G53" s="2"/>
    </row>
    <row r="54" spans="1:7">
      <c r="A54" s="152" t="s">
        <v>127</v>
      </c>
      <c r="B54" s="152"/>
      <c r="C54" s="152"/>
      <c r="D54" s="152"/>
      <c r="E54" s="152"/>
      <c r="F54" s="152"/>
      <c r="G54" s="152"/>
    </row>
    <row r="55" spans="1:7">
      <c r="A55" s="1" t="s">
        <v>128</v>
      </c>
      <c r="C55" s="9">
        <f>C13</f>
        <v>10847000</v>
      </c>
      <c r="D55" s="9">
        <f t="shared" ref="D55:G55" si="24">D13</f>
        <v>10369845</v>
      </c>
      <c r="E55" s="9">
        <f t="shared" si="24"/>
        <v>8404430.6531499978</v>
      </c>
      <c r="F55" s="9">
        <f t="shared" si="24"/>
        <v>5182663.3670777269</v>
      </c>
      <c r="G55" s="9">
        <f t="shared" si="24"/>
        <v>-919693.18766379356</v>
      </c>
    </row>
    <row r="56" spans="1:7" ht="15" thickBot="1">
      <c r="A56" s="1" t="s">
        <v>129</v>
      </c>
      <c r="C56" s="10">
        <f>C55*'1'!$AB$7</f>
        <v>4338800</v>
      </c>
      <c r="D56" s="10">
        <f>D55*'1'!$AB$7</f>
        <v>4147938</v>
      </c>
      <c r="E56" s="10">
        <f>E55*'1'!$AB$7</f>
        <v>3361772.2612599991</v>
      </c>
      <c r="F56" s="10">
        <f>F55*'1'!$AB$7</f>
        <v>2073065.3468310907</v>
      </c>
      <c r="G56" s="10">
        <f>G55*'1'!$AB$7</f>
        <v>-367877.27506551746</v>
      </c>
    </row>
    <row r="57" spans="1:7" ht="15" thickTop="1">
      <c r="A57" s="4" t="s">
        <v>130</v>
      </c>
      <c r="C57" s="9">
        <f>C55-C56</f>
        <v>6508200</v>
      </c>
      <c r="D57" s="9">
        <f>D55-D56</f>
        <v>6221907</v>
      </c>
      <c r="E57" s="9">
        <f>E55-E56</f>
        <v>5042658.3918899987</v>
      </c>
      <c r="F57" s="9">
        <f>F55-F56</f>
        <v>3109598.0202466361</v>
      </c>
      <c r="G57" s="9">
        <f>G55-G56</f>
        <v>-551815.91259827605</v>
      </c>
    </row>
    <row r="58" spans="1:7" ht="15" thickBot="1">
      <c r="A58" s="1" t="s">
        <v>131</v>
      </c>
      <c r="C58" s="10">
        <f>-(C52-B52)</f>
        <v>-3775744.6582365558</v>
      </c>
      <c r="D58" s="10">
        <f t="shared" ref="D58:G58" si="25">-(D52-C52)</f>
        <v>2366173.7554339841</v>
      </c>
      <c r="E58" s="10">
        <f t="shared" si="25"/>
        <v>3467117.4390873797</v>
      </c>
      <c r="F58" s="10">
        <f t="shared" si="25"/>
        <v>4449716.085718479</v>
      </c>
      <c r="G58" s="10">
        <f t="shared" si="25"/>
        <v>6914733.7785480917</v>
      </c>
    </row>
    <row r="59" spans="1:7" ht="15.5" thickTop="1" thickBot="1">
      <c r="A59" s="56" t="s">
        <v>132</v>
      </c>
      <c r="B59" s="57"/>
      <c r="C59" s="58">
        <f>SUM(C57:C58)</f>
        <v>2732455.3417634442</v>
      </c>
      <c r="D59" s="58">
        <f t="shared" ref="D59:G59" si="26">SUM(D57:D58)</f>
        <v>8588080.7554339841</v>
      </c>
      <c r="E59" s="58">
        <f t="shared" si="26"/>
        <v>8509775.8309773784</v>
      </c>
      <c r="F59" s="58">
        <f t="shared" si="26"/>
        <v>7559314.1059651151</v>
      </c>
      <c r="G59" s="58">
        <f t="shared" si="26"/>
        <v>6362917.8659498151</v>
      </c>
    </row>
    <row r="60" spans="1:7" ht="15" thickTop="1"/>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F19" sqref="F19"/>
    </sheetView>
  </sheetViews>
  <sheetFormatPr baseColWidth="10" defaultColWidth="11.453125" defaultRowHeight="14.5"/>
  <cols>
    <col min="1" max="1" width="11.453125" style="8"/>
    <col min="2" max="2" width="32.54296875" style="8" customWidth="1"/>
    <col min="3" max="3" width="24.26953125" style="8" bestFit="1" customWidth="1"/>
    <col min="4" max="4" width="36.26953125" style="8" bestFit="1" customWidth="1"/>
    <col min="5" max="5" width="32.453125" style="8" customWidth="1"/>
    <col min="6" max="6" width="26" style="8" customWidth="1"/>
    <col min="7" max="8" width="20.7265625" style="8" bestFit="1" customWidth="1"/>
    <col min="9" max="9" width="11.453125" style="8"/>
    <col min="10" max="10" width="12" style="8" bestFit="1" customWidth="1"/>
    <col min="11" max="14" width="11.453125" style="8"/>
    <col min="15" max="15" width="15.26953125" style="8" bestFit="1" customWidth="1"/>
    <col min="16" max="16" width="21.54296875" style="8" bestFit="1" customWidth="1"/>
    <col min="17" max="16384" width="11.453125" style="8"/>
  </cols>
  <sheetData>
    <row r="2" spans="2:16" ht="38.25" customHeight="1">
      <c r="B2" s="141" t="s">
        <v>133</v>
      </c>
      <c r="C2" s="141"/>
      <c r="D2" s="141"/>
      <c r="E2" s="141"/>
      <c r="F2" s="141"/>
      <c r="G2" s="141"/>
      <c r="H2" s="141"/>
    </row>
    <row r="3" spans="2:16" ht="15.75" customHeight="1">
      <c r="B3" s="160" t="s">
        <v>134</v>
      </c>
      <c r="C3" s="160"/>
      <c r="D3" s="160"/>
      <c r="E3" s="161">
        <v>0.1</v>
      </c>
      <c r="F3" s="161"/>
    </row>
    <row r="4" spans="2:16" ht="16.5" customHeight="1">
      <c r="B4" s="160"/>
      <c r="C4" s="160"/>
      <c r="D4" s="160"/>
      <c r="E4" s="161"/>
      <c r="F4" s="161"/>
      <c r="O4" s="99"/>
    </row>
    <row r="5" spans="2:16" ht="16.5" customHeight="1">
      <c r="B5" s="158"/>
      <c r="C5" s="158"/>
      <c r="D5" s="158"/>
      <c r="E5" s="133"/>
      <c r="F5" s="133"/>
      <c r="O5" s="99"/>
    </row>
    <row r="6" spans="2:16" ht="15" thickBot="1">
      <c r="O6" s="99"/>
      <c r="P6" s="102"/>
    </row>
    <row r="7" spans="2:16" ht="23">
      <c r="B7" s="98" t="s">
        <v>135</v>
      </c>
      <c r="C7" s="82" t="s">
        <v>136</v>
      </c>
      <c r="D7" s="83">
        <f>'4'!C20</f>
        <v>2024</v>
      </c>
      <c r="E7" s="83">
        <f>'4'!D20</f>
        <v>2025</v>
      </c>
      <c r="F7" s="83">
        <f>'4'!E20</f>
        <v>2026</v>
      </c>
      <c r="G7" s="83">
        <f>'4'!F20</f>
        <v>2027</v>
      </c>
      <c r="H7" s="84">
        <f>'4'!G20</f>
        <v>2028</v>
      </c>
      <c r="O7" s="99"/>
      <c r="P7" s="101"/>
    </row>
    <row r="8" spans="2:16" ht="19" thickBot="1">
      <c r="B8" s="85"/>
      <c r="C8" s="106">
        <f>-'3'!D14</f>
        <v>-18209500</v>
      </c>
      <c r="D8" s="106">
        <f>'4'!C59</f>
        <v>2732455.3417634442</v>
      </c>
      <c r="E8" s="106">
        <f>'4'!D59</f>
        <v>8588080.7554339841</v>
      </c>
      <c r="F8" s="106">
        <f>'4'!E59</f>
        <v>8509775.8309773784</v>
      </c>
      <c r="G8" s="106">
        <f>'4'!F59</f>
        <v>7559314.1059651151</v>
      </c>
      <c r="H8" s="107">
        <f>'4'!G59</f>
        <v>6362917.8659498151</v>
      </c>
      <c r="O8" s="99"/>
      <c r="P8" s="101"/>
    </row>
    <row r="9" spans="2:16" ht="15" thickBot="1">
      <c r="C9" s="70">
        <f>C8/(1+$E$3)^0</f>
        <v>-18209500</v>
      </c>
      <c r="D9" s="70">
        <f>D8/(1+$E$3)^1</f>
        <v>2484050.3106940398</v>
      </c>
      <c r="E9" s="70">
        <f>E8/(1+$E$3)^2</f>
        <v>7097587.4011851093</v>
      </c>
      <c r="F9" s="70">
        <f>F8/(1+$E$3)^3</f>
        <v>6393520.5341678252</v>
      </c>
      <c r="G9" s="70">
        <f>G8/(1+$E$3)^4</f>
        <v>5163113.2477051523</v>
      </c>
      <c r="H9" s="70">
        <f>H8/(1+$E$3)^5</f>
        <v>3950871.3798422939</v>
      </c>
      <c r="O9" s="99"/>
      <c r="P9" s="101"/>
    </row>
    <row r="10" spans="2:16" ht="24" thickBot="1">
      <c r="B10" s="30" t="s">
        <v>137</v>
      </c>
      <c r="C10" s="31"/>
      <c r="D10" s="108">
        <f>NPV(E3,D8:H8)+$C$8</f>
        <v>6879642.8735944219</v>
      </c>
      <c r="O10" s="99"/>
      <c r="P10" s="101"/>
    </row>
    <row r="11" spans="2:16" ht="28.5" thickBot="1">
      <c r="B11" s="138" t="s">
        <v>138</v>
      </c>
      <c r="C11" s="31"/>
      <c r="D11" s="109">
        <f>IF(ISERROR(IRR(C8:H8)),"NO_APLICA",(IRR(C8:H8)))</f>
        <v>0.22586042899975234</v>
      </c>
      <c r="F11" s="103" t="s">
        <v>139</v>
      </c>
      <c r="G11" s="31"/>
      <c r="H11" s="104">
        <f>IF(ISERROR(-C9/AVERAGE(D9:H9)),"NO_APLICA",(-C9/AVERAGE(D9:H9)))</f>
        <v>3.6289601625181382</v>
      </c>
      <c r="I11" s="105" t="s">
        <v>140</v>
      </c>
      <c r="P11" s="100"/>
    </row>
    <row r="13" spans="2:16" ht="18">
      <c r="B13" s="162" t="s">
        <v>141</v>
      </c>
      <c r="C13" s="162"/>
      <c r="D13" s="162"/>
      <c r="E13" s="162"/>
      <c r="F13" s="162"/>
      <c r="G13" s="162"/>
      <c r="H13" s="162"/>
    </row>
    <row r="14" spans="2:16" ht="36.5">
      <c r="B14" s="86" t="str">
        <f>'1'!B2</f>
        <v>NOMBRE DEL PRODUCTO O SERVICIO</v>
      </c>
      <c r="C14" s="86" t="s">
        <v>142</v>
      </c>
      <c r="D14" s="86" t="s">
        <v>143</v>
      </c>
      <c r="E14" s="86" t="s">
        <v>144</v>
      </c>
      <c r="F14" s="86" t="s">
        <v>145</v>
      </c>
      <c r="H14" s="70"/>
      <c r="I14" s="70"/>
      <c r="J14" s="70" t="s">
        <v>146</v>
      </c>
    </row>
    <row r="15" spans="2:16">
      <c r="B15" s="91" t="str">
        <f>'1'!B3</f>
        <v xml:space="preserve">TOMATE CHERRY </v>
      </c>
      <c r="C15" s="87">
        <f>'1'!D3-'1'!D17</f>
        <v>4500</v>
      </c>
      <c r="D15" s="88">
        <f>'1'!F3</f>
        <v>0.99396666325800187</v>
      </c>
      <c r="E15" s="87">
        <f>C15*D15</f>
        <v>4472.8499846610084</v>
      </c>
      <c r="F15" s="89">
        <f t="shared" ref="F15:F24" si="0">$E$28*D15</f>
        <v>3780.2582143589048</v>
      </c>
      <c r="G15" s="38" t="s">
        <v>147</v>
      </c>
      <c r="H15" s="71">
        <f>'1'!D3</f>
        <v>7500</v>
      </c>
      <c r="I15" s="90">
        <f t="shared" ref="I15:I24" si="1">$B$35*D15</f>
        <v>7560.5164287178104</v>
      </c>
      <c r="J15" s="71">
        <f>'1'!D17</f>
        <v>3000</v>
      </c>
    </row>
    <row r="16" spans="2:16">
      <c r="B16" s="91" t="str">
        <f>'1'!B4</f>
        <v xml:space="preserve">AJO </v>
      </c>
      <c r="C16" s="87">
        <f>'1'!D4-'1'!D18</f>
        <v>3000</v>
      </c>
      <c r="D16" s="88">
        <f>'1'!F4</f>
        <v>6.0333367419981593E-3</v>
      </c>
      <c r="E16" s="87">
        <f t="shared" ref="E16:E24" si="2">C16*D16</f>
        <v>18.100010225994478</v>
      </c>
      <c r="F16" s="89">
        <f t="shared" si="0"/>
        <v>22.94601179497689</v>
      </c>
      <c r="G16" s="38" t="str">
        <f>G15</f>
        <v>UNIDADES</v>
      </c>
      <c r="H16" s="71">
        <f>'1'!D4</f>
        <v>5000</v>
      </c>
      <c r="I16" s="90">
        <f t="shared" si="1"/>
        <v>45.892023589953787</v>
      </c>
      <c r="J16" s="71">
        <f>'1'!D18</f>
        <v>2000</v>
      </c>
    </row>
    <row r="17" spans="2:10">
      <c r="B17" s="91">
        <f>'1'!B5</f>
        <v>0</v>
      </c>
      <c r="C17" s="87">
        <f>'1'!D5-'1'!D19</f>
        <v>0</v>
      </c>
      <c r="D17" s="88">
        <f>'1'!F5</f>
        <v>0</v>
      </c>
      <c r="E17" s="87">
        <f t="shared" si="2"/>
        <v>0</v>
      </c>
      <c r="F17" s="89">
        <f t="shared" si="0"/>
        <v>0</v>
      </c>
      <c r="G17" s="38" t="str">
        <f t="shared" ref="G17:G24" si="3">G16</f>
        <v>UNIDADES</v>
      </c>
      <c r="H17" s="71">
        <f>'1'!D5</f>
        <v>0</v>
      </c>
      <c r="I17" s="90">
        <f t="shared" si="1"/>
        <v>0</v>
      </c>
      <c r="J17" s="71">
        <f>'1'!D19</f>
        <v>0</v>
      </c>
    </row>
    <row r="18" spans="2:10">
      <c r="B18" s="91">
        <f>'1'!B6</f>
        <v>0</v>
      </c>
      <c r="C18" s="87">
        <f>'1'!D6-'1'!D20</f>
        <v>0</v>
      </c>
      <c r="D18" s="88">
        <f>'1'!F6</f>
        <v>0</v>
      </c>
      <c r="E18" s="87">
        <f t="shared" si="2"/>
        <v>0</v>
      </c>
      <c r="F18" s="89">
        <f t="shared" si="0"/>
        <v>0</v>
      </c>
      <c r="G18" s="38" t="str">
        <f t="shared" si="3"/>
        <v>UNIDADES</v>
      </c>
      <c r="H18" s="71">
        <f>'1'!D6</f>
        <v>0</v>
      </c>
      <c r="I18" s="90">
        <f t="shared" si="1"/>
        <v>0</v>
      </c>
      <c r="J18" s="71">
        <f>'1'!D20</f>
        <v>0</v>
      </c>
    </row>
    <row r="19" spans="2:10">
      <c r="B19" s="91">
        <f>'1'!B7</f>
        <v>0</v>
      </c>
      <c r="C19" s="87">
        <f>'1'!D7-'1'!D21</f>
        <v>0</v>
      </c>
      <c r="D19" s="88">
        <f>'1'!F7</f>
        <v>0</v>
      </c>
      <c r="E19" s="87">
        <f t="shared" si="2"/>
        <v>0</v>
      </c>
      <c r="F19" s="89">
        <f t="shared" si="0"/>
        <v>0</v>
      </c>
      <c r="G19" s="38" t="str">
        <f t="shared" si="3"/>
        <v>UNIDADES</v>
      </c>
      <c r="H19" s="71">
        <f>'1'!D7</f>
        <v>0</v>
      </c>
      <c r="I19" s="90">
        <f t="shared" si="1"/>
        <v>0</v>
      </c>
      <c r="J19" s="71">
        <f>'1'!D21</f>
        <v>0</v>
      </c>
    </row>
    <row r="20" spans="2:10">
      <c r="B20" s="91">
        <f>'1'!B8</f>
        <v>0</v>
      </c>
      <c r="C20" s="87">
        <f>'1'!D8-'1'!D22</f>
        <v>0</v>
      </c>
      <c r="D20" s="88">
        <f>'1'!F8</f>
        <v>0</v>
      </c>
      <c r="E20" s="87">
        <f t="shared" si="2"/>
        <v>0</v>
      </c>
      <c r="F20" s="89">
        <f t="shared" si="0"/>
        <v>0</v>
      </c>
      <c r="G20" s="38" t="str">
        <f t="shared" si="3"/>
        <v>UNIDADES</v>
      </c>
      <c r="H20" s="71">
        <f>'1'!D8</f>
        <v>0</v>
      </c>
      <c r="I20" s="90">
        <f t="shared" si="1"/>
        <v>0</v>
      </c>
      <c r="J20" s="71">
        <f>'1'!D22</f>
        <v>0</v>
      </c>
    </row>
    <row r="21" spans="2:10">
      <c r="B21" s="91">
        <f>'1'!B9</f>
        <v>0</v>
      </c>
      <c r="C21" s="87">
        <f>'1'!D9-'1'!D23</f>
        <v>0</v>
      </c>
      <c r="D21" s="88">
        <f>'1'!F9</f>
        <v>0</v>
      </c>
      <c r="E21" s="87">
        <f t="shared" si="2"/>
        <v>0</v>
      </c>
      <c r="F21" s="89">
        <f t="shared" si="0"/>
        <v>0</v>
      </c>
      <c r="G21" s="38" t="str">
        <f t="shared" si="3"/>
        <v>UNIDADES</v>
      </c>
      <c r="H21" s="71">
        <f>'1'!D9</f>
        <v>0</v>
      </c>
      <c r="I21" s="90">
        <f t="shared" si="1"/>
        <v>0</v>
      </c>
      <c r="J21" s="71">
        <f>'1'!D23</f>
        <v>0</v>
      </c>
    </row>
    <row r="22" spans="2:10">
      <c r="B22" s="91">
        <f>'1'!B10</f>
        <v>0</v>
      </c>
      <c r="C22" s="87">
        <f>'1'!D10-'1'!D24</f>
        <v>0</v>
      </c>
      <c r="D22" s="88">
        <f>'1'!F10</f>
        <v>0</v>
      </c>
      <c r="E22" s="87">
        <f t="shared" si="2"/>
        <v>0</v>
      </c>
      <c r="F22" s="89">
        <f t="shared" si="0"/>
        <v>0</v>
      </c>
      <c r="G22" s="38" t="str">
        <f t="shared" si="3"/>
        <v>UNIDADES</v>
      </c>
      <c r="H22" s="71">
        <f>'1'!D10</f>
        <v>0</v>
      </c>
      <c r="I22" s="90">
        <f t="shared" si="1"/>
        <v>0</v>
      </c>
      <c r="J22" s="71">
        <f>'1'!D24</f>
        <v>0</v>
      </c>
    </row>
    <row r="23" spans="2:10">
      <c r="B23" s="91">
        <f>'1'!B11</f>
        <v>0</v>
      </c>
      <c r="C23" s="87">
        <f>'1'!D11-'1'!D25</f>
        <v>0</v>
      </c>
      <c r="D23" s="88">
        <f>'1'!F11</f>
        <v>0</v>
      </c>
      <c r="E23" s="87">
        <f t="shared" si="2"/>
        <v>0</v>
      </c>
      <c r="F23" s="89">
        <f t="shared" si="0"/>
        <v>0</v>
      </c>
      <c r="G23" s="38" t="str">
        <f t="shared" si="3"/>
        <v>UNIDADES</v>
      </c>
      <c r="H23" s="71">
        <f>'1'!D11</f>
        <v>0</v>
      </c>
      <c r="I23" s="90">
        <f t="shared" si="1"/>
        <v>0</v>
      </c>
      <c r="J23" s="71">
        <f>'1'!D25</f>
        <v>0</v>
      </c>
    </row>
    <row r="24" spans="2:10">
      <c r="B24" s="91">
        <f>'1'!B12</f>
        <v>0</v>
      </c>
      <c r="C24" s="87">
        <f>'1'!D12-'1'!D26</f>
        <v>0</v>
      </c>
      <c r="D24" s="88">
        <f>'1'!F12</f>
        <v>0</v>
      </c>
      <c r="E24" s="87">
        <f t="shared" si="2"/>
        <v>0</v>
      </c>
      <c r="F24" s="89">
        <f t="shared" si="0"/>
        <v>0</v>
      </c>
      <c r="G24" s="38" t="str">
        <f t="shared" si="3"/>
        <v>UNIDADES</v>
      </c>
      <c r="H24" s="71">
        <f>'1'!D12</f>
        <v>0</v>
      </c>
      <c r="I24" s="90">
        <f t="shared" si="1"/>
        <v>0</v>
      </c>
      <c r="J24" s="71">
        <f>'1'!D26</f>
        <v>0</v>
      </c>
    </row>
    <row r="25" spans="2:10" ht="25.5">
      <c r="C25" s="26"/>
      <c r="D25" s="92"/>
      <c r="E25" s="26"/>
      <c r="F25" s="93">
        <f>SUM(F15:F24)</f>
        <v>3803.2042261538818</v>
      </c>
      <c r="G25" s="8" t="str">
        <f>G24</f>
        <v>UNIDADES</v>
      </c>
      <c r="H25" s="71"/>
      <c r="I25" s="90"/>
      <c r="J25" s="71"/>
    </row>
    <row r="26" spans="2:10" ht="12.75" customHeight="1">
      <c r="C26" s="26"/>
      <c r="D26" s="92"/>
      <c r="E26" s="26"/>
      <c r="F26" s="93"/>
      <c r="H26" s="71"/>
      <c r="I26" s="90"/>
      <c r="J26" s="71"/>
    </row>
    <row r="27" spans="2:10" ht="21" customHeight="1">
      <c r="B27" s="159" t="s">
        <v>148</v>
      </c>
      <c r="C27" s="159"/>
      <c r="D27" s="159"/>
      <c r="E27" s="94">
        <f>SUM(E15:E24)</f>
        <v>4490.9499948870025</v>
      </c>
      <c r="H27" s="70"/>
      <c r="I27" s="70"/>
      <c r="J27" s="70"/>
    </row>
    <row r="28" spans="2:10" ht="19.5" customHeight="1">
      <c r="B28" s="159" t="s">
        <v>149</v>
      </c>
      <c r="C28" s="159"/>
      <c r="D28" s="159"/>
      <c r="E28" s="93">
        <f>IF(E27=0,0,('2'!C23+'2'!F31+'2'!C25)/'5'!E27)</f>
        <v>3803.2042261538813</v>
      </c>
      <c r="F28" s="95" t="s">
        <v>147</v>
      </c>
      <c r="H28" s="96"/>
    </row>
    <row r="29" spans="2:10" ht="25.5">
      <c r="B29" s="159" t="s">
        <v>150</v>
      </c>
      <c r="C29" s="159"/>
      <c r="D29" s="159"/>
      <c r="E29" s="94">
        <f>E49</f>
        <v>28466666.666666672</v>
      </c>
    </row>
    <row r="30" spans="2:10">
      <c r="B30" s="128"/>
      <c r="C30" s="128"/>
      <c r="D30" s="128"/>
      <c r="E30" s="128"/>
      <c r="F30" s="128"/>
      <c r="G30" s="128"/>
    </row>
    <row r="31" spans="2:10" s="70" customFormat="1"/>
    <row r="32" spans="2:10" s="70" customFormat="1">
      <c r="C32" s="70" t="s">
        <v>151</v>
      </c>
      <c r="D32" s="70" t="s">
        <v>152</v>
      </c>
      <c r="E32" s="70" t="s">
        <v>153</v>
      </c>
      <c r="F32" s="70" t="s">
        <v>154</v>
      </c>
    </row>
    <row r="33" spans="2:6" s="70" customFormat="1">
      <c r="B33" s="70">
        <v>0</v>
      </c>
      <c r="C33" s="71">
        <f>'2'!C25+'2'!F31+'2'!C23</f>
        <v>17080000</v>
      </c>
      <c r="D33" s="70">
        <f>0</f>
        <v>0</v>
      </c>
      <c r="E33" s="70">
        <v>0</v>
      </c>
      <c r="F33" s="71">
        <f>C33+E33</f>
        <v>17080000</v>
      </c>
    </row>
    <row r="34" spans="2:6" s="70" customFormat="1">
      <c r="B34" s="90">
        <f>F25</f>
        <v>3803.2042261538818</v>
      </c>
      <c r="C34" s="71">
        <f>C33</f>
        <v>17080000</v>
      </c>
      <c r="D34" s="129">
        <f>SUMPRODUCT(F15:F24,H15:H24)</f>
        <v>28466666.666666672</v>
      </c>
      <c r="E34" s="129">
        <f>SUMPRODUCT(F15:F24,J15:J24)</f>
        <v>11386666.666666668</v>
      </c>
      <c r="F34" s="71">
        <f t="shared" ref="F34:F35" si="4">C34+E34</f>
        <v>28466666.666666668</v>
      </c>
    </row>
    <row r="35" spans="2:6" s="70" customFormat="1">
      <c r="B35" s="90">
        <f>B34*2</f>
        <v>7606.4084523077636</v>
      </c>
      <c r="C35" s="71">
        <f>C34</f>
        <v>17080000</v>
      </c>
      <c r="D35" s="129">
        <f>SUMPRODUCT(H15:H24,I15:I24)</f>
        <v>56933333.333333351</v>
      </c>
      <c r="E35" s="129">
        <f>SUMPRODUCT(I15:I24,J15:J24)</f>
        <v>22773333.33333334</v>
      </c>
      <c r="F35" s="71">
        <f t="shared" si="4"/>
        <v>39853333.333333343</v>
      </c>
    </row>
    <row r="36" spans="2:6" s="70" customFormat="1">
      <c r="C36" s="71"/>
    </row>
    <row r="37" spans="2:6" s="70" customFormat="1">
      <c r="C37" s="71"/>
    </row>
    <row r="38" spans="2:6" s="70" customFormat="1">
      <c r="C38" s="130" t="s">
        <v>155</v>
      </c>
      <c r="D38" s="70" t="s">
        <v>147</v>
      </c>
      <c r="E38" s="70" t="s">
        <v>156</v>
      </c>
    </row>
    <row r="39" spans="2:6" s="70" customFormat="1">
      <c r="B39" s="70">
        <v>1</v>
      </c>
      <c r="C39" s="71">
        <f>'1'!D3</f>
        <v>7500</v>
      </c>
      <c r="D39" s="90">
        <f>F15</f>
        <v>3780.2582143589048</v>
      </c>
      <c r="E39" s="70">
        <f>C39*D39</f>
        <v>28351936.607691787</v>
      </c>
    </row>
    <row r="40" spans="2:6" s="70" customFormat="1">
      <c r="B40" s="70">
        <f>B39+1</f>
        <v>2</v>
      </c>
      <c r="C40" s="71">
        <f>'1'!D4</f>
        <v>5000</v>
      </c>
      <c r="D40" s="90">
        <f t="shared" ref="D40:D48" si="5">F16</f>
        <v>22.94601179497689</v>
      </c>
      <c r="E40" s="70">
        <f t="shared" ref="E40:E48" si="6">C40*D40</f>
        <v>114730.05897488445</v>
      </c>
    </row>
    <row r="41" spans="2:6" s="70" customFormat="1">
      <c r="B41" s="70">
        <f t="shared" ref="B41:B48" si="7">B40+1</f>
        <v>3</v>
      </c>
      <c r="C41" s="71">
        <f>'1'!D5</f>
        <v>0</v>
      </c>
      <c r="D41" s="90">
        <f t="shared" si="5"/>
        <v>0</v>
      </c>
      <c r="E41" s="70">
        <f t="shared" si="6"/>
        <v>0</v>
      </c>
    </row>
    <row r="42" spans="2:6" s="70" customFormat="1">
      <c r="B42" s="70">
        <f t="shared" si="7"/>
        <v>4</v>
      </c>
      <c r="C42" s="71">
        <f>'1'!D6</f>
        <v>0</v>
      </c>
      <c r="D42" s="90">
        <f t="shared" si="5"/>
        <v>0</v>
      </c>
      <c r="E42" s="70">
        <f t="shared" si="6"/>
        <v>0</v>
      </c>
    </row>
    <row r="43" spans="2:6" s="70" customFormat="1">
      <c r="B43" s="70">
        <f t="shared" si="7"/>
        <v>5</v>
      </c>
      <c r="C43" s="71">
        <f>'1'!D7</f>
        <v>0</v>
      </c>
      <c r="D43" s="90">
        <f t="shared" si="5"/>
        <v>0</v>
      </c>
      <c r="E43" s="70">
        <f t="shared" si="6"/>
        <v>0</v>
      </c>
    </row>
    <row r="44" spans="2:6" s="70" customFormat="1">
      <c r="B44" s="70">
        <f t="shared" si="7"/>
        <v>6</v>
      </c>
      <c r="C44" s="71">
        <f>'1'!D8</f>
        <v>0</v>
      </c>
      <c r="D44" s="90">
        <f t="shared" si="5"/>
        <v>0</v>
      </c>
      <c r="E44" s="70">
        <f t="shared" si="6"/>
        <v>0</v>
      </c>
    </row>
    <row r="45" spans="2:6" s="70" customFormat="1">
      <c r="B45" s="70">
        <f t="shared" si="7"/>
        <v>7</v>
      </c>
      <c r="C45" s="71">
        <f>'1'!D9</f>
        <v>0</v>
      </c>
      <c r="D45" s="90">
        <f t="shared" si="5"/>
        <v>0</v>
      </c>
      <c r="E45" s="70">
        <f t="shared" si="6"/>
        <v>0</v>
      </c>
    </row>
    <row r="46" spans="2:6" s="70" customFormat="1">
      <c r="B46" s="70">
        <f t="shared" si="7"/>
        <v>8</v>
      </c>
      <c r="C46" s="71">
        <f>'1'!D10</f>
        <v>0</v>
      </c>
      <c r="D46" s="90">
        <f t="shared" si="5"/>
        <v>0</v>
      </c>
      <c r="E46" s="70">
        <f t="shared" si="6"/>
        <v>0</v>
      </c>
    </row>
    <row r="47" spans="2:6" s="70" customFormat="1">
      <c r="B47" s="70">
        <f t="shared" si="7"/>
        <v>9</v>
      </c>
      <c r="C47" s="71">
        <f>'1'!D11</f>
        <v>0</v>
      </c>
      <c r="D47" s="90">
        <f t="shared" si="5"/>
        <v>0</v>
      </c>
      <c r="E47" s="70">
        <f t="shared" si="6"/>
        <v>0</v>
      </c>
    </row>
    <row r="48" spans="2:6" s="70" customFormat="1">
      <c r="B48" s="70">
        <f t="shared" si="7"/>
        <v>10</v>
      </c>
      <c r="C48" s="71">
        <f>'1'!D12</f>
        <v>0</v>
      </c>
      <c r="D48" s="90">
        <f t="shared" si="5"/>
        <v>0</v>
      </c>
      <c r="E48" s="70">
        <f t="shared" si="6"/>
        <v>0</v>
      </c>
    </row>
    <row r="49" spans="2:8" s="70" customFormat="1">
      <c r="C49" s="71"/>
      <c r="E49" s="131">
        <f>SUM(E39:E48)</f>
        <v>28466666.666666672</v>
      </c>
    </row>
    <row r="50" spans="2:8" s="70" customFormat="1"/>
    <row r="51" spans="2:8" s="70" customFormat="1">
      <c r="C51" s="71"/>
    </row>
    <row r="52" spans="2:8" s="70" customFormat="1">
      <c r="B52" s="157"/>
      <c r="C52" s="157"/>
      <c r="D52" s="157"/>
      <c r="G52" s="70" t="s">
        <v>157</v>
      </c>
      <c r="H52" s="132">
        <f>'4'!B32/'4'!B27</f>
        <v>0.67050166122079136</v>
      </c>
    </row>
    <row r="53" spans="2:8" s="70" customFormat="1">
      <c r="C53" s="71"/>
      <c r="G53" s="70" t="s">
        <v>158</v>
      </c>
      <c r="H53" s="132">
        <f>'4'!B36/'4'!B27</f>
        <v>0.32949833877920864</v>
      </c>
    </row>
    <row r="54" spans="2:8" s="70" customFormat="1">
      <c r="G54" s="70" t="s">
        <v>159</v>
      </c>
      <c r="H54" s="70">
        <f>'1'!AB7</f>
        <v>0.4</v>
      </c>
    </row>
    <row r="55" spans="2:8" s="70" customFormat="1">
      <c r="G55" s="70" t="s">
        <v>160</v>
      </c>
      <c r="H55" s="132">
        <f>'3'!F4</f>
        <v>0.1</v>
      </c>
    </row>
    <row r="56" spans="2:8" s="70" customFormat="1">
      <c r="G56" s="70" t="s">
        <v>161</v>
      </c>
    </row>
    <row r="57" spans="2:8" s="70" customFormat="1"/>
    <row r="58" spans="2:8" s="70" customFormat="1"/>
    <row r="59" spans="2:8" s="70" customFormat="1"/>
    <row r="60" spans="2:8" s="70" customFormat="1"/>
    <row r="61" spans="2:8" s="70" customFormat="1"/>
    <row r="62" spans="2:8">
      <c r="B62" s="128"/>
      <c r="C62" s="128"/>
      <c r="D62" s="128"/>
      <c r="E62" s="128"/>
      <c r="F62" s="128"/>
      <c r="G62" s="128"/>
    </row>
    <row r="63" spans="2:8">
      <c r="B63" s="128"/>
      <c r="C63" s="128"/>
      <c r="D63" s="128"/>
      <c r="E63" s="128"/>
      <c r="F63" s="128"/>
      <c r="G63" s="128"/>
    </row>
    <row r="64" spans="2:8">
      <c r="B64" s="128"/>
      <c r="C64" s="128"/>
      <c r="D64" s="128"/>
      <c r="E64" s="128"/>
      <c r="F64" s="128"/>
      <c r="G64" s="128"/>
    </row>
    <row r="65" spans="2:7">
      <c r="B65" s="128"/>
      <c r="C65" s="128"/>
      <c r="D65" s="128"/>
      <c r="E65" s="128"/>
      <c r="F65" s="128"/>
      <c r="G65" s="128"/>
    </row>
    <row r="66" spans="2:7">
      <c r="B66" s="128"/>
      <c r="C66" s="128"/>
      <c r="D66" s="128"/>
      <c r="E66" s="128"/>
      <c r="F66" s="128"/>
      <c r="G66" s="128"/>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bureau veritas</cp:lastModifiedBy>
  <cp:revision/>
  <dcterms:created xsi:type="dcterms:W3CDTF">2013-07-30T17:19:59Z</dcterms:created>
  <dcterms:modified xsi:type="dcterms:W3CDTF">2024-05-09T20:50:26Z</dcterms:modified>
  <cp:category/>
  <cp:contentStatus/>
</cp:coreProperties>
</file>