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DagmarAlbarracinBarr\Documents\Personal\Universidad\Proyecto de Grado\"/>
    </mc:Choice>
  </mc:AlternateContent>
  <xr:revisionPtr revIDLastSave="0" documentId="13_ncr:1_{9E77FEFC-81DF-4F61-B439-058BE913FAE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Menú" sheetId="1" r:id="rId1"/>
    <sheet name="1" sheetId="2" r:id="rId2"/>
    <sheet name="2" sheetId="3" r:id="rId3"/>
    <sheet name="3" sheetId="4" r:id="rId4"/>
    <sheet name="4" sheetId="5" r:id="rId5"/>
    <sheet name="5" sheetId="6" r:id="rId6"/>
    <sheet name="Hoja1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3" l="1"/>
  <c r="C22" i="3"/>
  <c r="C20" i="3" l="1"/>
  <c r="F22" i="3"/>
  <c r="C11" i="3" l="1"/>
  <c r="F19" i="3" l="1"/>
  <c r="D32" i="6" l="1"/>
  <c r="J23" i="6"/>
  <c r="H23" i="6"/>
  <c r="C23" i="6"/>
  <c r="B23" i="6"/>
  <c r="J22" i="6"/>
  <c r="H22" i="6"/>
  <c r="C22" i="6"/>
  <c r="B22" i="6"/>
  <c r="J21" i="6"/>
  <c r="H21" i="6"/>
  <c r="C21" i="6"/>
  <c r="B21" i="6"/>
  <c r="J20" i="6"/>
  <c r="H20" i="6"/>
  <c r="C20" i="6"/>
  <c r="B20" i="6"/>
  <c r="J19" i="6"/>
  <c r="H19" i="6"/>
  <c r="C19" i="6"/>
  <c r="B19" i="6"/>
  <c r="J18" i="6"/>
  <c r="H18" i="6"/>
  <c r="C18" i="6"/>
  <c r="B18" i="6"/>
  <c r="J17" i="6"/>
  <c r="H17" i="6"/>
  <c r="C17" i="6"/>
  <c r="B17" i="6"/>
  <c r="J16" i="6"/>
  <c r="H16" i="6"/>
  <c r="C16" i="6"/>
  <c r="B16" i="6"/>
  <c r="J15" i="6"/>
  <c r="H15" i="6"/>
  <c r="G15" i="6"/>
  <c r="G16" i="6" s="1"/>
  <c r="G17" i="6" s="1"/>
  <c r="G18" i="6" s="1"/>
  <c r="G19" i="6" s="1"/>
  <c r="G20" i="6" s="1"/>
  <c r="G21" i="6" s="1"/>
  <c r="G22" i="6" s="1"/>
  <c r="G23" i="6" s="1"/>
  <c r="G24" i="6" s="1"/>
  <c r="C15" i="6"/>
  <c r="B15" i="6"/>
  <c r="J14" i="6"/>
  <c r="H14" i="6"/>
  <c r="C14" i="6"/>
  <c r="B14" i="6"/>
  <c r="B13" i="6"/>
  <c r="B49" i="5"/>
  <c r="B45" i="5"/>
  <c r="B34" i="5"/>
  <c r="C34" i="5" s="1"/>
  <c r="B30" i="5"/>
  <c r="B23" i="5"/>
  <c r="C11" i="5"/>
  <c r="D11" i="5" s="1"/>
  <c r="E11" i="5" s="1"/>
  <c r="F11" i="5" s="1"/>
  <c r="G11" i="5" s="1"/>
  <c r="D10" i="4"/>
  <c r="F31" i="3"/>
  <c r="C23" i="3"/>
  <c r="D9" i="4" s="1"/>
  <c r="F17" i="3"/>
  <c r="C12" i="3"/>
  <c r="B24" i="5" s="1"/>
  <c r="C24" i="5" s="1"/>
  <c r="D24" i="5" s="1"/>
  <c r="E24" i="5" s="1"/>
  <c r="F24" i="5" s="1"/>
  <c r="G24" i="5" s="1"/>
  <c r="G11" i="3"/>
  <c r="G10" i="3"/>
  <c r="G9" i="3"/>
  <c r="G8" i="3"/>
  <c r="G7" i="3"/>
  <c r="G6" i="3"/>
  <c r="G5" i="3"/>
  <c r="B31" i="2"/>
  <c r="D27" i="2"/>
  <c r="P26" i="2"/>
  <c r="Q26" i="2" s="1"/>
  <c r="R26" i="2" s="1"/>
  <c r="S26" i="2" s="1"/>
  <c r="C26" i="2"/>
  <c r="L26" i="2" s="1"/>
  <c r="B26" i="2"/>
  <c r="P25" i="2"/>
  <c r="Q25" i="2" s="1"/>
  <c r="R25" i="2" s="1"/>
  <c r="S25" i="2" s="1"/>
  <c r="C25" i="2"/>
  <c r="B25" i="2"/>
  <c r="P24" i="2"/>
  <c r="Q24" i="2" s="1"/>
  <c r="R24" i="2" s="1"/>
  <c r="S24" i="2" s="1"/>
  <c r="C24" i="2"/>
  <c r="B24" i="2"/>
  <c r="P23" i="2"/>
  <c r="Q23" i="2" s="1"/>
  <c r="R23" i="2" s="1"/>
  <c r="S23" i="2" s="1"/>
  <c r="C23" i="2"/>
  <c r="B23" i="2"/>
  <c r="P22" i="2"/>
  <c r="Q22" i="2" s="1"/>
  <c r="R22" i="2" s="1"/>
  <c r="S22" i="2" s="1"/>
  <c r="C22" i="2"/>
  <c r="B22" i="2"/>
  <c r="P21" i="2"/>
  <c r="Q21" i="2" s="1"/>
  <c r="R21" i="2" s="1"/>
  <c r="S21" i="2" s="1"/>
  <c r="C21" i="2"/>
  <c r="E21" i="2" s="1"/>
  <c r="B21" i="2"/>
  <c r="P20" i="2"/>
  <c r="Q20" i="2" s="1"/>
  <c r="R20" i="2" s="1"/>
  <c r="S20" i="2" s="1"/>
  <c r="C20" i="2"/>
  <c r="E20" i="2" s="1"/>
  <c r="B20" i="2"/>
  <c r="P19" i="2"/>
  <c r="Q19" i="2" s="1"/>
  <c r="R19" i="2" s="1"/>
  <c r="S19" i="2" s="1"/>
  <c r="C19" i="2"/>
  <c r="L19" i="2" s="1"/>
  <c r="M19" i="2" s="1"/>
  <c r="B19" i="2"/>
  <c r="P18" i="2"/>
  <c r="Q18" i="2" s="1"/>
  <c r="R18" i="2" s="1"/>
  <c r="S18" i="2" s="1"/>
  <c r="L18" i="2"/>
  <c r="P17" i="2"/>
  <c r="Q17" i="2" s="1"/>
  <c r="R17" i="2" s="1"/>
  <c r="S17" i="2" s="1"/>
  <c r="E17" i="2"/>
  <c r="B17" i="2"/>
  <c r="A17" i="2"/>
  <c r="W16" i="2"/>
  <c r="V16" i="2"/>
  <c r="U16" i="2"/>
  <c r="T16" i="2"/>
  <c r="S16" i="2"/>
  <c r="R16" i="2"/>
  <c r="Q16" i="2"/>
  <c r="P16" i="2"/>
  <c r="P12" i="2"/>
  <c r="Q12" i="2" s="1"/>
  <c r="R12" i="2" s="1"/>
  <c r="S12" i="2" s="1"/>
  <c r="L12" i="2"/>
  <c r="M12" i="2" s="1"/>
  <c r="E12" i="2"/>
  <c r="P11" i="2"/>
  <c r="Q11" i="2" s="1"/>
  <c r="R11" i="2" s="1"/>
  <c r="S11" i="2" s="1"/>
  <c r="L11" i="2"/>
  <c r="E11" i="2"/>
  <c r="P10" i="2"/>
  <c r="Q10" i="2" s="1"/>
  <c r="R10" i="2" s="1"/>
  <c r="S10" i="2" s="1"/>
  <c r="L10" i="2"/>
  <c r="M10" i="2" s="1"/>
  <c r="E10" i="2"/>
  <c r="P9" i="2"/>
  <c r="Q9" i="2" s="1"/>
  <c r="R9" i="2" s="1"/>
  <c r="S9" i="2" s="1"/>
  <c r="L9" i="2"/>
  <c r="M9" i="2" s="1"/>
  <c r="E9" i="2"/>
  <c r="P8" i="2"/>
  <c r="Q8" i="2" s="1"/>
  <c r="R8" i="2" s="1"/>
  <c r="S8" i="2" s="1"/>
  <c r="L8" i="2"/>
  <c r="E8" i="2"/>
  <c r="P7" i="2"/>
  <c r="Q7" i="2" s="1"/>
  <c r="R7" i="2" s="1"/>
  <c r="S7" i="2" s="1"/>
  <c r="L7" i="2"/>
  <c r="M7" i="2" s="1"/>
  <c r="E7" i="2"/>
  <c r="P6" i="2"/>
  <c r="Q6" i="2" s="1"/>
  <c r="R6" i="2" s="1"/>
  <c r="S6" i="2" s="1"/>
  <c r="L6" i="2"/>
  <c r="E6" i="2"/>
  <c r="P5" i="2"/>
  <c r="Q5" i="2" s="1"/>
  <c r="R5" i="2" s="1"/>
  <c r="S5" i="2" s="1"/>
  <c r="L5" i="2"/>
  <c r="E5" i="2"/>
  <c r="P4" i="2"/>
  <c r="Q4" i="2" s="1"/>
  <c r="R4" i="2" s="1"/>
  <c r="S4" i="2" s="1"/>
  <c r="L4" i="2"/>
  <c r="M4" i="2" s="1"/>
  <c r="E4" i="2"/>
  <c r="A4" i="2"/>
  <c r="A18" i="2" s="1"/>
  <c r="P3" i="2"/>
  <c r="Q3" i="2" s="1"/>
  <c r="R3" i="2" s="1"/>
  <c r="S3" i="2" s="1"/>
  <c r="L3" i="2"/>
  <c r="M3" i="2" s="1"/>
  <c r="E3" i="2"/>
  <c r="G2" i="2"/>
  <c r="L2" i="2" s="1"/>
  <c r="L16" i="2" s="1"/>
  <c r="T26" i="2" l="1"/>
  <c r="U12" i="2"/>
  <c r="T6" i="2"/>
  <c r="L23" i="2"/>
  <c r="E23" i="2"/>
  <c r="L25" i="2"/>
  <c r="E25" i="2"/>
  <c r="C31" i="2"/>
  <c r="F10" i="4" s="1"/>
  <c r="F9" i="4"/>
  <c r="T5" i="2"/>
  <c r="M6" i="2"/>
  <c r="U6" i="2" s="1"/>
  <c r="A5" i="2"/>
  <c r="T19" i="2"/>
  <c r="L21" i="2"/>
  <c r="M21" i="2" s="1"/>
  <c r="N21" i="2" s="1"/>
  <c r="O21" i="2" s="1"/>
  <c r="W21" i="2" s="1"/>
  <c r="G12" i="3"/>
  <c r="C12" i="5" s="1"/>
  <c r="C25" i="5" s="1"/>
  <c r="C49" i="5" s="1"/>
  <c r="U19" i="2"/>
  <c r="T11" i="2"/>
  <c r="E26" i="2"/>
  <c r="E13" i="2"/>
  <c r="F6" i="2" s="1"/>
  <c r="D17" i="6" s="1"/>
  <c r="E17" i="6" s="1"/>
  <c r="M11" i="2"/>
  <c r="L17" i="2"/>
  <c r="M17" i="2" s="1"/>
  <c r="U17" i="2" s="1"/>
  <c r="E18" i="2"/>
  <c r="E19" i="2"/>
  <c r="N10" i="2"/>
  <c r="U10" i="2"/>
  <c r="U3" i="2"/>
  <c r="N3" i="2"/>
  <c r="N4" i="2"/>
  <c r="U4" i="2"/>
  <c r="U7" i="2"/>
  <c r="N7" i="2"/>
  <c r="D34" i="5"/>
  <c r="H2" i="2"/>
  <c r="T4" i="2"/>
  <c r="M5" i="2"/>
  <c r="N12" i="2"/>
  <c r="E24" i="2"/>
  <c r="L24" i="2"/>
  <c r="T3" i="2"/>
  <c r="Z3" i="2"/>
  <c r="AA3" i="2" s="1"/>
  <c r="AB3" i="2" s="1"/>
  <c r="AC3" i="2" s="1"/>
  <c r="T7" i="2"/>
  <c r="N9" i="2"/>
  <c r="U9" i="2"/>
  <c r="T9" i="2"/>
  <c r="T10" i="2"/>
  <c r="N19" i="2"/>
  <c r="L20" i="2"/>
  <c r="M25" i="2"/>
  <c r="T25" i="2"/>
  <c r="C32" i="6"/>
  <c r="C10" i="5"/>
  <c r="D10" i="5" s="1"/>
  <c r="E10" i="5" s="1"/>
  <c r="F10" i="5" s="1"/>
  <c r="G10" i="5" s="1"/>
  <c r="D11" i="4"/>
  <c r="B36" i="5"/>
  <c r="M8" i="2"/>
  <c r="T8" i="2"/>
  <c r="M18" i="2"/>
  <c r="T18" i="2"/>
  <c r="L22" i="2"/>
  <c r="E22" i="2"/>
  <c r="T23" i="2"/>
  <c r="M23" i="2"/>
  <c r="C4" i="4"/>
  <c r="T12" i="2"/>
  <c r="M26" i="2"/>
  <c r="C9" i="5"/>
  <c r="D9" i="5" s="1"/>
  <c r="E9" i="5" s="1"/>
  <c r="F9" i="5" s="1"/>
  <c r="G9" i="5" s="1"/>
  <c r="C5" i="5"/>
  <c r="C20" i="5" s="1"/>
  <c r="B26" i="5"/>
  <c r="B48" i="5" s="1"/>
  <c r="B50" i="5" s="1"/>
  <c r="C23" i="5"/>
  <c r="D12" i="5" l="1"/>
  <c r="D25" i="5" s="1"/>
  <c r="D49" i="5" s="1"/>
  <c r="T21" i="2"/>
  <c r="N6" i="2"/>
  <c r="V6" i="2" s="1"/>
  <c r="U21" i="2"/>
  <c r="D5" i="5"/>
  <c r="D20" i="5" s="1"/>
  <c r="D31" i="2"/>
  <c r="N17" i="2"/>
  <c r="O17" i="2" s="1"/>
  <c r="W17" i="2" s="1"/>
  <c r="B32" i="2"/>
  <c r="C6" i="5" s="1"/>
  <c r="F9" i="2"/>
  <c r="D20" i="6" s="1"/>
  <c r="E20" i="6" s="1"/>
  <c r="F7" i="2"/>
  <c r="D18" i="6" s="1"/>
  <c r="E18" i="6" s="1"/>
  <c r="F12" i="2"/>
  <c r="D23" i="6" s="1"/>
  <c r="E23" i="6" s="1"/>
  <c r="F8" i="2"/>
  <c r="D19" i="6" s="1"/>
  <c r="E19" i="6" s="1"/>
  <c r="F11" i="2"/>
  <c r="D22" i="6" s="1"/>
  <c r="E22" i="6" s="1"/>
  <c r="F5" i="2"/>
  <c r="D16" i="6" s="1"/>
  <c r="E16" i="6" s="1"/>
  <c r="F4" i="2"/>
  <c r="D15" i="6" s="1"/>
  <c r="E15" i="6" s="1"/>
  <c r="F3" i="2"/>
  <c r="D14" i="6" s="1"/>
  <c r="E14" i="6" s="1"/>
  <c r="F10" i="2"/>
  <c r="D21" i="6" s="1"/>
  <c r="E21" i="6" s="1"/>
  <c r="E27" i="2"/>
  <c r="F20" i="2" s="1"/>
  <c r="V21" i="2"/>
  <c r="U11" i="2"/>
  <c r="N11" i="2"/>
  <c r="A19" i="2"/>
  <c r="A6" i="2"/>
  <c r="T17" i="2"/>
  <c r="D23" i="5"/>
  <c r="C26" i="5"/>
  <c r="C48" i="5" s="1"/>
  <c r="C50" i="5" s="1"/>
  <c r="D6" i="6"/>
  <c r="C43" i="5"/>
  <c r="U18" i="2"/>
  <c r="N18" i="2"/>
  <c r="U25" i="2"/>
  <c r="N25" i="2"/>
  <c r="E34" i="5"/>
  <c r="V4" i="2"/>
  <c r="O4" i="2"/>
  <c r="W4" i="2" s="1"/>
  <c r="O10" i="2"/>
  <c r="W10" i="2" s="1"/>
  <c r="V10" i="2"/>
  <c r="U8" i="2"/>
  <c r="N8" i="2"/>
  <c r="V7" i="2"/>
  <c r="O7" i="2"/>
  <c r="W7" i="2" s="1"/>
  <c r="V3" i="2"/>
  <c r="O3" i="2"/>
  <c r="W3" i="2" s="1"/>
  <c r="N26" i="2"/>
  <c r="U26" i="2"/>
  <c r="N23" i="2"/>
  <c r="U23" i="2"/>
  <c r="T22" i="2"/>
  <c r="M22" i="2"/>
  <c r="C33" i="6"/>
  <c r="F32" i="6"/>
  <c r="T20" i="2"/>
  <c r="M20" i="2"/>
  <c r="T13" i="2"/>
  <c r="C32" i="2" s="1"/>
  <c r="V12" i="2"/>
  <c r="O12" i="2"/>
  <c r="W12" i="2" s="1"/>
  <c r="O6" i="2"/>
  <c r="W6" i="2" s="1"/>
  <c r="I2" i="2"/>
  <c r="J2" i="2" s="1"/>
  <c r="M2" i="2"/>
  <c r="O19" i="2"/>
  <c r="W19" i="2" s="1"/>
  <c r="V19" i="2"/>
  <c r="V9" i="2"/>
  <c r="O9" i="2"/>
  <c r="W9" i="2" s="1"/>
  <c r="M24" i="2"/>
  <c r="T24" i="2"/>
  <c r="N5" i="2"/>
  <c r="U5" i="2"/>
  <c r="E12" i="5" l="1"/>
  <c r="E25" i="5" s="1"/>
  <c r="E49" i="5" s="1"/>
  <c r="V17" i="2"/>
  <c r="E5" i="5"/>
  <c r="E20" i="5" s="1"/>
  <c r="E31" i="2"/>
  <c r="F11" i="4"/>
  <c r="D43" i="5"/>
  <c r="E6" i="6"/>
  <c r="E26" i="6"/>
  <c r="E27" i="6" s="1"/>
  <c r="F18" i="6" s="1"/>
  <c r="F13" i="2"/>
  <c r="F17" i="2"/>
  <c r="B33" i="2"/>
  <c r="B34" i="2" s="1"/>
  <c r="F21" i="2"/>
  <c r="F25" i="2"/>
  <c r="F18" i="2"/>
  <c r="F22" i="2"/>
  <c r="F24" i="2"/>
  <c r="F19" i="2"/>
  <c r="F23" i="2"/>
  <c r="F26" i="2"/>
  <c r="T27" i="2"/>
  <c r="C33" i="2" s="1"/>
  <c r="D7" i="5" s="1"/>
  <c r="U13" i="2"/>
  <c r="D32" i="2" s="1"/>
  <c r="E6" i="5" s="1"/>
  <c r="A20" i="2"/>
  <c r="A7" i="2"/>
  <c r="O11" i="2"/>
  <c r="W11" i="2" s="1"/>
  <c r="V11" i="2"/>
  <c r="O23" i="2"/>
  <c r="W23" i="2" s="1"/>
  <c r="V23" i="2"/>
  <c r="D26" i="5"/>
  <c r="D48" i="5" s="1"/>
  <c r="D50" i="5" s="1"/>
  <c r="E23" i="5"/>
  <c r="O5" i="2"/>
  <c r="W5" i="2" s="1"/>
  <c r="V5" i="2"/>
  <c r="U22" i="2"/>
  <c r="N22" i="2"/>
  <c r="V25" i="2"/>
  <c r="O25" i="2"/>
  <c r="W25" i="2" s="1"/>
  <c r="M16" i="2"/>
  <c r="N2" i="2"/>
  <c r="D6" i="5"/>
  <c r="C34" i="6"/>
  <c r="V26" i="2"/>
  <c r="O26" i="2"/>
  <c r="W26" i="2" s="1"/>
  <c r="N24" i="2"/>
  <c r="U24" i="2"/>
  <c r="N20" i="2"/>
  <c r="U20" i="2"/>
  <c r="V8" i="2"/>
  <c r="O8" i="2"/>
  <c r="W8" i="2" s="1"/>
  <c r="F34" i="5"/>
  <c r="V18" i="2"/>
  <c r="O18" i="2"/>
  <c r="W18" i="2" s="1"/>
  <c r="F12" i="5" l="1"/>
  <c r="G12" i="5" s="1"/>
  <c r="D8" i="5"/>
  <c r="D13" i="5" s="1"/>
  <c r="D55" i="5" s="1"/>
  <c r="W13" i="2"/>
  <c r="F32" i="2" s="1"/>
  <c r="G6" i="5" s="1"/>
  <c r="F5" i="5"/>
  <c r="F20" i="5" s="1"/>
  <c r="F31" i="2"/>
  <c r="F12" i="4"/>
  <c r="F6" i="6"/>
  <c r="E43" i="5"/>
  <c r="F15" i="6"/>
  <c r="F22" i="6"/>
  <c r="F17" i="6"/>
  <c r="F14" i="6"/>
  <c r="F16" i="6"/>
  <c r="F19" i="6"/>
  <c r="F21" i="6"/>
  <c r="F20" i="6"/>
  <c r="F23" i="6"/>
  <c r="C7" i="5"/>
  <c r="C8" i="5" s="1"/>
  <c r="C13" i="5" s="1"/>
  <c r="C55" i="5" s="1"/>
  <c r="D8" i="4"/>
  <c r="D12" i="4" s="1"/>
  <c r="C34" i="2"/>
  <c r="F27" i="2"/>
  <c r="A8" i="2"/>
  <c r="A21" i="2"/>
  <c r="U27" i="2"/>
  <c r="D33" i="2" s="1"/>
  <c r="E7" i="5" s="1"/>
  <c r="E8" i="5" s="1"/>
  <c r="E13" i="5" s="1"/>
  <c r="V13" i="2"/>
  <c r="E32" i="2" s="1"/>
  <c r="F6" i="5" s="1"/>
  <c r="V24" i="2"/>
  <c r="O24" i="2"/>
  <c r="W24" i="2" s="1"/>
  <c r="O22" i="2"/>
  <c r="W22" i="2" s="1"/>
  <c r="V22" i="2"/>
  <c r="V20" i="2"/>
  <c r="O20" i="2"/>
  <c r="W20" i="2" s="1"/>
  <c r="W27" i="2" s="1"/>
  <c r="F33" i="2" s="1"/>
  <c r="G7" i="5" s="1"/>
  <c r="N16" i="2"/>
  <c r="O2" i="2"/>
  <c r="O16" i="2" s="1"/>
  <c r="G34" i="5"/>
  <c r="E26" i="5"/>
  <c r="E48" i="5" s="1"/>
  <c r="E50" i="5" s="1"/>
  <c r="F23" i="5"/>
  <c r="F25" i="5" l="1"/>
  <c r="F49" i="5" s="1"/>
  <c r="V27" i="2"/>
  <c r="E33" i="2" s="1"/>
  <c r="F7" i="5" s="1"/>
  <c r="F8" i="5" s="1"/>
  <c r="F13" i="5" s="1"/>
  <c r="D14" i="4"/>
  <c r="C7" i="6" s="1"/>
  <c r="C8" i="6" s="1"/>
  <c r="D34" i="2"/>
  <c r="F13" i="4"/>
  <c r="G5" i="5"/>
  <c r="G20" i="5" s="1"/>
  <c r="G6" i="6"/>
  <c r="F43" i="5"/>
  <c r="F24" i="6"/>
  <c r="B33" i="6" s="1"/>
  <c r="B34" i="6" s="1"/>
  <c r="I23" i="6" s="1"/>
  <c r="E33" i="6"/>
  <c r="F33" i="6" s="1"/>
  <c r="D33" i="6"/>
  <c r="A22" i="2"/>
  <c r="A9" i="2"/>
  <c r="G23" i="5"/>
  <c r="D56" i="5"/>
  <c r="D57" i="5" s="1"/>
  <c r="C56" i="5"/>
  <c r="C57" i="5" s="1"/>
  <c r="F34" i="2"/>
  <c r="E55" i="5"/>
  <c r="G8" i="5"/>
  <c r="G13" i="5" s="1"/>
  <c r="E34" i="2" l="1"/>
  <c r="G25" i="5"/>
  <c r="G49" i="5" s="1"/>
  <c r="F26" i="5"/>
  <c r="F48" i="5" s="1"/>
  <c r="F50" i="5" s="1"/>
  <c r="D16" i="4"/>
  <c r="J8" i="4" s="1"/>
  <c r="I9" i="4" s="1"/>
  <c r="C14" i="5" s="1"/>
  <c r="C15" i="5" s="1"/>
  <c r="C16" i="5" s="1"/>
  <c r="I17" i="6"/>
  <c r="I21" i="6"/>
  <c r="I16" i="6"/>
  <c r="I19" i="6"/>
  <c r="I14" i="6"/>
  <c r="I18" i="6"/>
  <c r="I20" i="6"/>
  <c r="I22" i="6"/>
  <c r="I15" i="6"/>
  <c r="H6" i="6"/>
  <c r="G43" i="5"/>
  <c r="A23" i="2"/>
  <c r="A10" i="2"/>
  <c r="G26" i="5"/>
  <c r="G48" i="5" s="1"/>
  <c r="G50" i="5" s="1"/>
  <c r="G55" i="5"/>
  <c r="E56" i="5"/>
  <c r="E57" i="5" s="1"/>
  <c r="F55" i="5"/>
  <c r="G9" i="4" l="1"/>
  <c r="G10" i="4" s="1"/>
  <c r="G11" i="4" s="1"/>
  <c r="G12" i="4" s="1"/>
  <c r="G13" i="4" s="1"/>
  <c r="B31" i="5"/>
  <c r="B32" i="5" s="1"/>
  <c r="B38" i="5" s="1"/>
  <c r="B22" i="5" s="1"/>
  <c r="D34" i="6"/>
  <c r="E34" i="6"/>
  <c r="F34" i="6" s="1"/>
  <c r="A24" i="2"/>
  <c r="A11" i="2"/>
  <c r="F56" i="5"/>
  <c r="F57" i="5" s="1"/>
  <c r="G56" i="5"/>
  <c r="G57" i="5" s="1"/>
  <c r="B44" i="5" l="1"/>
  <c r="B46" i="5" s="1"/>
  <c r="B52" i="5" s="1"/>
  <c r="B27" i="5"/>
  <c r="B39" i="5" s="1"/>
  <c r="H9" i="4"/>
  <c r="J9" i="4" s="1"/>
  <c r="C29" i="5"/>
  <c r="C45" i="5" s="1"/>
  <c r="C17" i="5"/>
  <c r="C35" i="5" s="1"/>
  <c r="C36" i="5" s="1"/>
  <c r="A25" i="2"/>
  <c r="A12" i="2"/>
  <c r="A26" i="2" s="1"/>
  <c r="I10" i="4" l="1"/>
  <c r="C31" i="5"/>
  <c r="C30" i="5"/>
  <c r="C32" i="5" l="1"/>
  <c r="C38" i="5" s="1"/>
  <c r="C22" i="5" s="1"/>
  <c r="C44" i="5" s="1"/>
  <c r="C46" i="5" s="1"/>
  <c r="C52" i="5" s="1"/>
  <c r="C58" i="5" s="1"/>
  <c r="C59" i="5" s="1"/>
  <c r="D7" i="6" s="1"/>
  <c r="H10" i="4"/>
  <c r="J10" i="4" s="1"/>
  <c r="D14" i="5"/>
  <c r="D15" i="5" s="1"/>
  <c r="D16" i="5" s="1"/>
  <c r="D29" i="5" s="1"/>
  <c r="D30" i="5" s="1"/>
  <c r="C27" i="5" l="1"/>
  <c r="C39" i="5" s="1"/>
  <c r="D17" i="5"/>
  <c r="D35" i="5" s="1"/>
  <c r="D36" i="5" s="1"/>
  <c r="D45" i="5"/>
  <c r="D31" i="5"/>
  <c r="D32" i="5" s="1"/>
  <c r="I11" i="4"/>
  <c r="D8" i="6"/>
  <c r="D38" i="5" l="1"/>
  <c r="D22" i="5" s="1"/>
  <c r="D44" i="5" s="1"/>
  <c r="D46" i="5" s="1"/>
  <c r="D52" i="5" s="1"/>
  <c r="D58" i="5" s="1"/>
  <c r="D59" i="5" s="1"/>
  <c r="E7" i="6" s="1"/>
  <c r="E8" i="6" s="1"/>
  <c r="E14" i="5"/>
  <c r="E15" i="5" s="1"/>
  <c r="E16" i="5" s="1"/>
  <c r="E29" i="5" s="1"/>
  <c r="E30" i="5" s="1"/>
  <c r="H11" i="4"/>
  <c r="J11" i="4" s="1"/>
  <c r="D27" i="5" l="1"/>
  <c r="D39" i="5" s="1"/>
  <c r="E45" i="5"/>
  <c r="E17" i="5"/>
  <c r="E35" i="5" s="1"/>
  <c r="E36" i="5" s="1"/>
  <c r="I12" i="4"/>
  <c r="E31" i="5"/>
  <c r="E32" i="5" s="1"/>
  <c r="E38" i="5" l="1"/>
  <c r="E22" i="5" s="1"/>
  <c r="E44" i="5" s="1"/>
  <c r="E46" i="5" s="1"/>
  <c r="E52" i="5" s="1"/>
  <c r="E58" i="5" s="1"/>
  <c r="E59" i="5" s="1"/>
  <c r="F7" i="6" s="1"/>
  <c r="F8" i="6" s="1"/>
  <c r="F14" i="5"/>
  <c r="F15" i="5" s="1"/>
  <c r="F16" i="5" s="1"/>
  <c r="F29" i="5" s="1"/>
  <c r="F45" i="5" s="1"/>
  <c r="H12" i="4"/>
  <c r="J12" i="4" s="1"/>
  <c r="E27" i="5" l="1"/>
  <c r="E39" i="5" s="1"/>
  <c r="F30" i="5"/>
  <c r="F17" i="5"/>
  <c r="F35" i="5" s="1"/>
  <c r="F36" i="5" s="1"/>
  <c r="F31" i="5"/>
  <c r="I13" i="4"/>
  <c r="F32" i="5" l="1"/>
  <c r="F38" i="5" s="1"/>
  <c r="F22" i="5" s="1"/>
  <c r="F27" i="5" s="1"/>
  <c r="F39" i="5" s="1"/>
  <c r="G14" i="5"/>
  <c r="G15" i="5" s="1"/>
  <c r="G16" i="5" s="1"/>
  <c r="G29" i="5" s="1"/>
  <c r="G45" i="5" s="1"/>
  <c r="H13" i="4"/>
  <c r="J13" i="4" s="1"/>
  <c r="G31" i="5" s="1"/>
  <c r="F44" i="5" l="1"/>
  <c r="F46" i="5" s="1"/>
  <c r="F52" i="5" s="1"/>
  <c r="F58" i="5" s="1"/>
  <c r="F59" i="5" s="1"/>
  <c r="G7" i="6" s="1"/>
  <c r="G8" i="6" s="1"/>
  <c r="G30" i="5"/>
  <c r="G32" i="5" s="1"/>
  <c r="G17" i="5"/>
  <c r="G35" i="5" s="1"/>
  <c r="G36" i="5" s="1"/>
  <c r="G38" i="5" l="1"/>
  <c r="G22" i="5" s="1"/>
  <c r="G27" i="5" s="1"/>
  <c r="G39" i="5" s="1"/>
  <c r="D9" i="6" a="1"/>
  <c r="G44" i="5" l="1"/>
  <c r="G46" i="5" s="1"/>
  <c r="G52" i="5" s="1"/>
  <c r="G58" i="5" s="1"/>
  <c r="G59" i="5" s="1"/>
  <c r="H7" i="6" s="1"/>
  <c r="H8" i="6" s="1"/>
  <c r="H10" i="6" s="1"/>
  <c r="D10" i="6" l="1"/>
  <c r="D9" i="6"/>
</calcChain>
</file>

<file path=xl/sharedStrings.xml><?xml version="1.0" encoding="utf-8"?>
<sst xmlns="http://schemas.openxmlformats.org/spreadsheetml/2006/main" count="155" uniqueCount="147">
  <si>
    <t>TUTORIAL</t>
  </si>
  <si>
    <t>INGRESOS/VENTAS DEL PRIMER AÑO</t>
  </si>
  <si>
    <t>CRECIMIENTO PORCENTUAL  EN VTAS (CANTIDADES)</t>
  </si>
  <si>
    <t>INCREMENTO EN PRECIO</t>
  </si>
  <si>
    <t>AÑO BASE</t>
  </si>
  <si>
    <t>NOMBRE DEL PRODUCTO O SERVICIO</t>
  </si>
  <si>
    <t>CANTIDADES</t>
  </si>
  <si>
    <t>PRECIO DE VENTA UNITARIO SIN IVA</t>
  </si>
  <si>
    <t>INGRESOS TOTALES</t>
  </si>
  <si>
    <t>AÑO:</t>
  </si>
  <si>
    <t>AÑO 2</t>
  </si>
  <si>
    <t>AÑO 3</t>
  </si>
  <si>
    <t>AÑO 4</t>
  </si>
  <si>
    <t>AÑO 5</t>
  </si>
  <si>
    <t>año 2</t>
  </si>
  <si>
    <t>año 3</t>
  </si>
  <si>
    <t>año 4</t>
  </si>
  <si>
    <t>año 5</t>
  </si>
  <si>
    <t>AÑO</t>
  </si>
  <si>
    <t>INFLACIÓN</t>
  </si>
  <si>
    <t>IPP</t>
  </si>
  <si>
    <t>TASA IMPTO RENTA</t>
  </si>
  <si>
    <t>TOTAL</t>
  </si>
  <si>
    <t>COSTOS DE CADA PRODUCTO O SERVICIO</t>
  </si>
  <si>
    <t>NOMBRE DEL PRODUCTO SERVICIO</t>
  </si>
  <si>
    <r>
      <t xml:space="preserve">COSTO UNITARIO DEL PDTO O </t>
    </r>
    <r>
      <rPr>
        <b/>
        <u/>
        <sz val="8"/>
        <color theme="1"/>
        <rFont val="Antique Olive"/>
      </rPr>
      <t>SERVICIO</t>
    </r>
  </si>
  <si>
    <t>COSTOS TOTALES</t>
  </si>
  <si>
    <t>PROYECCIONES</t>
  </si>
  <si>
    <t>VENTAS ANUALES</t>
  </si>
  <si>
    <t>COSTOS ANUALES</t>
  </si>
  <si>
    <t>MARGEN OPERATIVO</t>
  </si>
  <si>
    <t>DEFINA LA INVERISIÓN INICIAL QUE REALIZARÁN PARA LA PUESTA EN MARCHA DEL NEGOCIO:</t>
  </si>
  <si>
    <t>INVERSIÓN INICIAL</t>
  </si>
  <si>
    <t>DEP</t>
  </si>
  <si>
    <t>TERRENOS</t>
  </si>
  <si>
    <t>PROPIEDAD PLANTA Y EQUIPO</t>
  </si>
  <si>
    <t>MUEBLES Y ENSERES</t>
  </si>
  <si>
    <t>EQUIPO DE OFICINA</t>
  </si>
  <si>
    <t>EQUIPO DE TRANSPORTE</t>
  </si>
  <si>
    <t>FRANQUICIAS</t>
  </si>
  <si>
    <t>PATENTES /INV en INTANGIBLES</t>
  </si>
  <si>
    <t>GASTOS DE PUESTA EN MARCHA</t>
  </si>
  <si>
    <t>TOTAL INVERSIONES</t>
  </si>
  <si>
    <t>INCLUYA EN CADA CATEGORÍA LOS COSTOS Y GASTOS FIJOS DEL PRIMER AÑO, EN LOS QUE DEBERÁN INCURRRIR PARA LA OPERACIÓN DEL NEGOCIO</t>
  </si>
  <si>
    <t>NÓMINAS:</t>
  </si>
  <si>
    <t>GASTOS FIJOS:</t>
  </si>
  <si>
    <t>VALOR AÑO 1</t>
  </si>
  <si>
    <t>ADMINISTRATIVA:</t>
  </si>
  <si>
    <t>ARRIENDO:</t>
  </si>
  <si>
    <t>VENTAS:</t>
  </si>
  <si>
    <t>TELEFONÍA CELULAR:</t>
  </si>
  <si>
    <t>PRODUCCIÓN/SERVICIO:</t>
  </si>
  <si>
    <t>PAPELERÍA:</t>
  </si>
  <si>
    <t>TOTAL NÓMINAS</t>
  </si>
  <si>
    <t>PRESUPUESTO DEL MARKETING MIX</t>
  </si>
  <si>
    <t>TOTAL GASTOS FIJOS</t>
  </si>
  <si>
    <t>INVERSIÓN TOTAL Y NECESIDADES DE FINANCIACIÓN</t>
  </si>
  <si>
    <t>TASA DE INT ANUAL CRÉDITO</t>
  </si>
  <si>
    <t>CALCULO DEL CAPITAL DE TRABAJO INICIAL</t>
  </si>
  <si>
    <t xml:space="preserve">CALCULO DEL PRÉSTAMO </t>
  </si>
  <si>
    <t>MESES</t>
  </si>
  <si>
    <t>VALOR</t>
  </si>
  <si>
    <t>AÑOS</t>
  </si>
  <si>
    <t>CUOTA A PAGAR</t>
  </si>
  <si>
    <t>ABONO A CAPITAL</t>
  </si>
  <si>
    <t>INTERESES</t>
  </si>
  <si>
    <t>SALDO DE LA DEUDA</t>
  </si>
  <si>
    <t>COSTOS OPERATIVOS</t>
  </si>
  <si>
    <t>NÓMINAS</t>
  </si>
  <si>
    <t>MARKETING MIX</t>
  </si>
  <si>
    <t>GASTOS FIJOS</t>
  </si>
  <si>
    <t>TOTAL INVERSIÓN</t>
  </si>
  <si>
    <t>APORTE DE LOS EMPRENDEDORES</t>
  </si>
  <si>
    <t>PRÉSTAMO A SOLICITAR</t>
  </si>
  <si>
    <t>ESTADOS FINANCIEROS BÁSICOS PROYECTADOS</t>
  </si>
  <si>
    <t>Todos los datos de los Estados financieros se generan de forma automática.</t>
  </si>
  <si>
    <t>ESTADO DE RESULTADOS</t>
  </si>
  <si>
    <t>VENTAS</t>
  </si>
  <si>
    <t>COSTO VENTAS</t>
  </si>
  <si>
    <t>UTILIDAD BRUTA</t>
  </si>
  <si>
    <t>GASTOS ADTIVOS Y VTAS</t>
  </si>
  <si>
    <t>GASTOS FIJOS DEL PERIODO</t>
  </si>
  <si>
    <t>OTROS GASTOS</t>
  </si>
  <si>
    <t>DEPRECIACIÓN</t>
  </si>
  <si>
    <t>UTILIDAD OPERATIVA</t>
  </si>
  <si>
    <t>GASTOS FINACIEROS</t>
  </si>
  <si>
    <t>UTILIDAD ANTES DE IMPTOS</t>
  </si>
  <si>
    <t>IMPUESTOS</t>
  </si>
  <si>
    <t>UTILIDAD NETA</t>
  </si>
  <si>
    <t>BALANCE</t>
  </si>
  <si>
    <t>AÑO 0</t>
  </si>
  <si>
    <t xml:space="preserve">ACTIVO </t>
  </si>
  <si>
    <t>CAJA/BANCOS</t>
  </si>
  <si>
    <t>FIJO NO DEPRECIABLE</t>
  </si>
  <si>
    <t>FIJO DEPRECIABLE</t>
  </si>
  <si>
    <t>DEPRECIACIÓN ACUMULADA</t>
  </si>
  <si>
    <t>ACTIVO FIJO NETO</t>
  </si>
  <si>
    <t>TOTAL ACTIVO</t>
  </si>
  <si>
    <t>PASIVO</t>
  </si>
  <si>
    <t>Impuestos X Pagar</t>
  </si>
  <si>
    <t>TOTAL PASIVO CORRIENTE</t>
  </si>
  <si>
    <t>Obligaciones Financieras</t>
  </si>
  <si>
    <t>PATRIMONIO</t>
  </si>
  <si>
    <t>Capital Social</t>
  </si>
  <si>
    <t>Utilidades del Ejercicio</t>
  </si>
  <si>
    <t>TOTAL PATRIMONIO</t>
  </si>
  <si>
    <t>TOTAL PAS + PAT</t>
  </si>
  <si>
    <t>CUADRE (ACT = PAS+PAT)</t>
  </si>
  <si>
    <t>FLUJO DE CAJA DEL PROYECTO:</t>
  </si>
  <si>
    <t>CAPITAL INVERTIDO</t>
  </si>
  <si>
    <t>Activos Corrientes</t>
  </si>
  <si>
    <t>Pasivos Corrientes</t>
  </si>
  <si>
    <t>KTNO</t>
  </si>
  <si>
    <t>Activo Fijo Neto</t>
  </si>
  <si>
    <t>Depreciación Acumulada</t>
  </si>
  <si>
    <t>Activo Fijo Bruto</t>
  </si>
  <si>
    <t>Total Capital Operativo Neto</t>
  </si>
  <si>
    <t>CALCULO DEL FLUJO DE CAJA LIBRE</t>
  </si>
  <si>
    <t>EBIT</t>
  </si>
  <si>
    <t>Impuestos</t>
  </si>
  <si>
    <t>NOPLAT</t>
  </si>
  <si>
    <t>Inversión Neta</t>
  </si>
  <si>
    <t>Flujo de Caja Libre del periódo</t>
  </si>
  <si>
    <t>EVALUACIÓN FINANCIERA Y PUNTO DE EQULIBRIO</t>
  </si>
  <si>
    <t xml:space="preserve">Tasa mínima de rentabilidad esperada por los emprendedores (TMR):  </t>
  </si>
  <si>
    <t>FLUJO DE CAJA DE PROYECTO</t>
  </si>
  <si>
    <t>INVERSIÓN AÑO 0</t>
  </si>
  <si>
    <t>VALOR PRESENTE NETO DEL PROYECTO =</t>
  </si>
  <si>
    <t>TASA INTERNA DE RETORNO =</t>
  </si>
  <si>
    <t>PERIODO DE RECUPERACIÓN:</t>
  </si>
  <si>
    <t>PUNTO DE EQULIBRIO</t>
  </si>
  <si>
    <t>MARGEN DE CONTRIBUCIÓN UNITARIO</t>
  </si>
  <si>
    <t>PARTICIPACIÓN % EN VENTAS TOTALES</t>
  </si>
  <si>
    <t>MARGEN DE CONTRIBUCIÓN PONDERADO</t>
  </si>
  <si>
    <t>PTO EQUILIBRIO POR REFERENCIA DE PDTO O SERVICIO</t>
  </si>
  <si>
    <t>COSTO</t>
  </si>
  <si>
    <t>UNIDADES</t>
  </si>
  <si>
    <t>TOTAL MARGEN DE CONTRIBUCIÓN PROMEDIO PONDERADO  =</t>
  </si>
  <si>
    <t>PUNTO DE EQULIBRIO = COSTOS Y GTOS FIJO/MCPP    =</t>
  </si>
  <si>
    <t>COSTOS FIJO</t>
  </si>
  <si>
    <t>INGRESOS</t>
  </si>
  <si>
    <t>COSTO VAR</t>
  </si>
  <si>
    <t>COSTO TOTAL</t>
  </si>
  <si>
    <t>0</t>
  </si>
  <si>
    <t>Servicio de acompañamiento al adulto mayor</t>
  </si>
  <si>
    <t>MNTENIMEINTO SOFTWARE</t>
  </si>
  <si>
    <t>EMPRESA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</si>
</sst>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(* #,##0.0_);_(* \(#,##0.0\);_(* &quot;-&quot;??_);_(@_)"/>
    <numFmt numFmtId="168" formatCode="_ &quot;$&quot;\ * #,##0_ ;_ &quot;$&quot;\ * \-#,##0_ ;_ &quot;$&quot;\ * &quot;-&quot;??_ ;_ @_ "/>
    <numFmt numFmtId="169" formatCode="_(&quot;$&quot;\ * #,##0.00000_);_(&quot;$&quot;\ * \(#,##0.00000\);_(&quot;$&quot;\ * &quot;-&quot;??_);_(@_)"/>
    <numFmt numFmtId="170" formatCode="0.0%"/>
    <numFmt numFmtId="171" formatCode="_([$$-240A]\ * #,##0.00_);_([$$-240A]\ * \(#,##0.00\);_([$$-240A]\ * &quot;-&quot;??_);_(@_)"/>
    <numFmt numFmtId="172" formatCode="_(&quot;$&quot;\ * #,##0.0_);_(&quot;$&quot;\ * \(#,##0.0\);_(&quot;$&quot;\ * &quot;-&quot;??_);_(@_)"/>
    <numFmt numFmtId="173" formatCode="_(&quot;$&quot;\ * #,##0.0_);_(&quot;$&quot;\ * \(#,##0.0\);_(&quot;$&quot;\ * &quot;-&quot;?_);_(@_)"/>
    <numFmt numFmtId="174" formatCode="&quot;$&quot;#,##0.00;[Red]\-&quot;$&quot;#,##0.00"/>
    <numFmt numFmtId="175" formatCode="_ * #,##0.00_ ;_ * \-#,##0.00_ ;_ * &quot;-&quot;??_ ;_ @_ "/>
    <numFmt numFmtId="176" formatCode="&quot;$&quot;#,##0.00"/>
    <numFmt numFmtId="177" formatCode="&quot;$&quot;\ #,##0.00_);[Red]\(&quot;$&quot;\ #,##0.00\)"/>
    <numFmt numFmtId="178" formatCode="_(* #,##0_);_(* \(#,##0\);_(* &quot;-&quot;??_);_(@_)"/>
    <numFmt numFmtId="179" formatCode="_ &quot;$&quot;\ * #,##0.0_ ;_ &quot;$&quot;\ * \-#,##0.0_ ;_ &quot;$&quot;\ * &quot;-&quot;??_ ;_ @_ "/>
  </numFmts>
  <fonts count="42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Aharoni"/>
    </font>
    <font>
      <u/>
      <sz val="16"/>
      <color rgb="FF0070C0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</font>
    <font>
      <sz val="10"/>
      <color theme="1"/>
      <name val="Aharoni"/>
    </font>
    <font>
      <sz val="11"/>
      <color theme="0"/>
      <name val="Arial"/>
      <family val="2"/>
    </font>
    <font>
      <sz val="11"/>
      <name val="Arial"/>
      <family val="2"/>
    </font>
    <font>
      <b/>
      <sz val="10"/>
      <color theme="1"/>
      <name val="Aharoni"/>
    </font>
    <font>
      <sz val="12"/>
      <color theme="0"/>
      <name val="Aharoni"/>
    </font>
    <font>
      <sz val="18"/>
      <color theme="0"/>
      <name val="Aharoni"/>
    </font>
    <font>
      <sz val="11"/>
      <color theme="1"/>
      <name val="Aharoni"/>
    </font>
    <font>
      <b/>
      <sz val="8"/>
      <color theme="1"/>
      <name val="Antique olive"/>
    </font>
    <font>
      <b/>
      <sz val="18"/>
      <color theme="1"/>
      <name val="Aharoni"/>
    </font>
    <font>
      <b/>
      <sz val="12"/>
      <color theme="1"/>
      <name val="Calibri"/>
      <family val="2"/>
    </font>
    <font>
      <b/>
      <sz val="11"/>
      <color theme="1"/>
      <name val="Aharoni"/>
    </font>
    <font>
      <b/>
      <sz val="9"/>
      <color theme="1"/>
      <name val="Aharoni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2"/>
      <color theme="1"/>
      <name val="Aharoni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haroni"/>
    </font>
    <font>
      <sz val="20"/>
      <color theme="1"/>
      <name val="Aharoni"/>
    </font>
    <font>
      <sz val="9"/>
      <color theme="1"/>
      <name val="Arial"/>
      <family val="2"/>
    </font>
    <font>
      <sz val="18"/>
      <color theme="1"/>
      <name val="Aharoni"/>
    </font>
    <font>
      <b/>
      <sz val="16"/>
      <color theme="0"/>
      <name val="Arial"/>
      <family val="2"/>
    </font>
    <font>
      <sz val="14"/>
      <color theme="1"/>
      <name val="Aharoni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Aharoni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9"/>
      <color theme="1"/>
      <name val="Aharoni"/>
    </font>
    <font>
      <b/>
      <sz val="20"/>
      <color theme="1"/>
      <name val="Aharoni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8"/>
      <color theme="1"/>
      <name val="Antique Olive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2060"/>
        <bgColor rgb="FF002060"/>
      </patternFill>
    </fill>
    <fill>
      <patternFill patternType="solid">
        <fgColor rgb="FF1F497D"/>
        <bgColor rgb="FF1F497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4" fillId="0" borderId="0" xfId="0" applyFont="1"/>
    <xf numFmtId="165" fontId="15" fillId="0" borderId="0" xfId="0" applyNumberFormat="1" applyFont="1"/>
    <xf numFmtId="166" fontId="0" fillId="0" borderId="0" xfId="0" applyNumberFormat="1" applyFont="1"/>
    <xf numFmtId="9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6" fillId="0" borderId="0" xfId="0" applyFont="1" applyAlignment="1">
      <alignment horizontal="center"/>
    </xf>
    <xf numFmtId="165" fontId="1" fillId="0" borderId="0" xfId="0" applyNumberFormat="1" applyFont="1"/>
    <xf numFmtId="0" fontId="16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Font="1"/>
    <xf numFmtId="0" fontId="2" fillId="0" borderId="7" xfId="0" applyFont="1" applyBorder="1"/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6" xfId="0" applyFont="1" applyBorder="1" applyAlignment="1">
      <alignment horizontal="center"/>
    </xf>
    <xf numFmtId="168" fontId="19" fillId="0" borderId="6" xfId="0" applyNumberFormat="1" applyFont="1" applyBorder="1"/>
    <xf numFmtId="169" fontId="1" fillId="0" borderId="0" xfId="0" applyNumberFormat="1" applyFont="1"/>
    <xf numFmtId="168" fontId="20" fillId="0" borderId="6" xfId="0" applyNumberFormat="1" applyFont="1" applyBorder="1"/>
    <xf numFmtId="168" fontId="21" fillId="0" borderId="6" xfId="0" applyNumberFormat="1" applyFont="1" applyBorder="1"/>
    <xf numFmtId="0" fontId="16" fillId="0" borderId="8" xfId="0" applyFont="1" applyBorder="1" applyAlignment="1">
      <alignment wrapText="1"/>
    </xf>
    <xf numFmtId="168" fontId="18" fillId="0" borderId="6" xfId="0" applyNumberFormat="1" applyFont="1" applyBorder="1"/>
    <xf numFmtId="170" fontId="11" fillId="4" borderId="9" xfId="0" applyNumberFormat="1" applyFont="1" applyFill="1" applyBorder="1"/>
    <xf numFmtId="0" fontId="16" fillId="0" borderId="5" xfId="0" applyFont="1" applyBorder="1"/>
    <xf numFmtId="170" fontId="11" fillId="4" borderId="10" xfId="0" applyNumberFormat="1" applyFont="1" applyFill="1" applyBorder="1"/>
    <xf numFmtId="170" fontId="11" fillId="4" borderId="11" xfId="0" applyNumberFormat="1" applyFont="1" applyFill="1" applyBorder="1"/>
    <xf numFmtId="165" fontId="23" fillId="0" borderId="0" xfId="0" applyNumberFormat="1" applyFont="1"/>
    <xf numFmtId="0" fontId="16" fillId="0" borderId="7" xfId="0" applyFont="1" applyBorder="1"/>
    <xf numFmtId="170" fontId="11" fillId="4" borderId="12" xfId="0" applyNumberFormat="1" applyFont="1" applyFill="1" applyBorder="1"/>
    <xf numFmtId="165" fontId="24" fillId="0" borderId="0" xfId="0" applyNumberFormat="1" applyFont="1"/>
    <xf numFmtId="0" fontId="13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171" fontId="1" fillId="0" borderId="0" xfId="0" applyNumberFormat="1" applyFont="1"/>
    <xf numFmtId="49" fontId="0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172" fontId="0" fillId="0" borderId="0" xfId="0" applyNumberFormat="1" applyFont="1"/>
    <xf numFmtId="0" fontId="28" fillId="0" borderId="0" xfId="0" applyFont="1" applyAlignment="1">
      <alignment horizontal="center" vertical="center"/>
    </xf>
    <xf numFmtId="172" fontId="1" fillId="0" borderId="0" xfId="0" applyNumberFormat="1" applyFont="1"/>
    <xf numFmtId="0" fontId="24" fillId="0" borderId="13" xfId="0" applyFont="1" applyBorder="1"/>
    <xf numFmtId="172" fontId="1" fillId="0" borderId="13" xfId="0" applyNumberFormat="1" applyFont="1" applyBorder="1"/>
    <xf numFmtId="173" fontId="1" fillId="0" borderId="13" xfId="0" applyNumberFormat="1" applyFont="1" applyBorder="1"/>
    <xf numFmtId="174" fontId="1" fillId="0" borderId="0" xfId="0" applyNumberFormat="1" applyFont="1"/>
    <xf numFmtId="174" fontId="19" fillId="0" borderId="0" xfId="0" applyNumberFormat="1" applyFont="1"/>
    <xf numFmtId="0" fontId="15" fillId="0" borderId="1" xfId="0" applyFont="1" applyBorder="1"/>
    <xf numFmtId="0" fontId="30" fillId="0" borderId="2" xfId="0" applyFont="1" applyBorder="1" applyAlignment="1">
      <alignment horizontal="center" vertical="center"/>
    </xf>
    <xf numFmtId="173" fontId="1" fillId="0" borderId="0" xfId="0" applyNumberFormat="1" applyFont="1"/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75" fontId="19" fillId="0" borderId="0" xfId="0" applyNumberFormat="1" applyFont="1"/>
    <xf numFmtId="0" fontId="1" fillId="0" borderId="5" xfId="0" applyFont="1" applyBorder="1"/>
    <xf numFmtId="0" fontId="24" fillId="0" borderId="15" xfId="0" applyFont="1" applyBorder="1"/>
    <xf numFmtId="173" fontId="24" fillId="0" borderId="15" xfId="0" applyNumberFormat="1" applyFont="1" applyBorder="1"/>
    <xf numFmtId="0" fontId="30" fillId="0" borderId="0" xfId="0" applyFont="1" applyAlignment="1">
      <alignment horizontal="center" vertical="center"/>
    </xf>
    <xf numFmtId="177" fontId="32" fillId="7" borderId="16" xfId="0" applyNumberFormat="1" applyFont="1" applyFill="1" applyBorder="1"/>
    <xf numFmtId="0" fontId="25" fillId="0" borderId="7" xfId="0" applyFont="1" applyBorder="1"/>
    <xf numFmtId="0" fontId="34" fillId="0" borderId="7" xfId="0" applyFont="1" applyBorder="1"/>
    <xf numFmtId="2" fontId="32" fillId="2" borderId="12" xfId="0" applyNumberFormat="1" applyFont="1" applyFill="1" applyBorder="1"/>
    <xf numFmtId="0" fontId="19" fillId="0" borderId="0" xfId="0" applyFont="1"/>
    <xf numFmtId="0" fontId="36" fillId="0" borderId="0" xfId="0" applyFont="1" applyAlignment="1">
      <alignment wrapText="1"/>
    </xf>
    <xf numFmtId="165" fontId="24" fillId="0" borderId="13" xfId="0" applyNumberFormat="1" applyFont="1" applyBorder="1"/>
    <xf numFmtId="165" fontId="0" fillId="0" borderId="0" xfId="0" applyNumberFormat="1" applyFont="1"/>
    <xf numFmtId="9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9" fontId="1" fillId="0" borderId="0" xfId="0" applyNumberFormat="1" applyFont="1"/>
    <xf numFmtId="178" fontId="19" fillId="0" borderId="0" xfId="0" applyNumberFormat="1" applyFont="1"/>
    <xf numFmtId="164" fontId="37" fillId="0" borderId="0" xfId="0" applyNumberFormat="1" applyFont="1"/>
    <xf numFmtId="168" fontId="1" fillId="0" borderId="0" xfId="0" applyNumberFormat="1" applyFont="1"/>
    <xf numFmtId="165" fontId="37" fillId="0" borderId="0" xfId="0" applyNumberFormat="1" applyFont="1"/>
    <xf numFmtId="168" fontId="1" fillId="0" borderId="17" xfId="0" applyNumberFormat="1" applyFont="1" applyBorder="1"/>
    <xf numFmtId="0" fontId="24" fillId="0" borderId="0" xfId="0" applyFont="1"/>
    <xf numFmtId="164" fontId="24" fillId="0" borderId="0" xfId="0" applyNumberFormat="1" applyFont="1"/>
    <xf numFmtId="168" fontId="38" fillId="0" borderId="0" xfId="0" applyNumberFormat="1" applyFont="1"/>
    <xf numFmtId="0" fontId="39" fillId="0" borderId="0" xfId="0" applyFont="1"/>
    <xf numFmtId="168" fontId="38" fillId="0" borderId="13" xfId="0" applyNumberFormat="1" applyFont="1" applyBorder="1"/>
    <xf numFmtId="179" fontId="1" fillId="0" borderId="0" xfId="0" applyNumberFormat="1" applyFont="1"/>
    <xf numFmtId="179" fontId="1" fillId="0" borderId="17" xfId="0" applyNumberFormat="1" applyFont="1" applyBorder="1"/>
    <xf numFmtId="0" fontId="10" fillId="4" borderId="14" xfId="0" applyFont="1" applyFill="1" applyBorder="1"/>
    <xf numFmtId="0" fontId="11" fillId="4" borderId="14" xfId="0" applyFont="1" applyFill="1" applyBorder="1"/>
    <xf numFmtId="0" fontId="14" fillId="5" borderId="14" xfId="0" applyFont="1" applyFill="1" applyBorder="1" applyAlignment="1">
      <alignment wrapText="1"/>
    </xf>
    <xf numFmtId="0" fontId="7" fillId="3" borderId="14" xfId="0" applyFont="1" applyFill="1" applyBorder="1"/>
    <xf numFmtId="164" fontId="7" fillId="3" borderId="14" xfId="0" applyNumberFormat="1" applyFont="1" applyFill="1" applyBorder="1"/>
    <xf numFmtId="165" fontId="7" fillId="3" borderId="14" xfId="0" applyNumberFormat="1" applyFont="1" applyFill="1" applyBorder="1"/>
    <xf numFmtId="9" fontId="7" fillId="3" borderId="14" xfId="0" applyNumberFormat="1" applyFont="1" applyFill="1" applyBorder="1"/>
    <xf numFmtId="0" fontId="14" fillId="0" borderId="12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70" fontId="11" fillId="4" borderId="14" xfId="0" applyNumberFormat="1" applyFont="1" applyFill="1" applyBorder="1"/>
    <xf numFmtId="0" fontId="1" fillId="0" borderId="12" xfId="0" applyFont="1" applyBorder="1"/>
    <xf numFmtId="0" fontId="1" fillId="0" borderId="16" xfId="0" applyFont="1" applyBorder="1"/>
    <xf numFmtId="166" fontId="4" fillId="7" borderId="14" xfId="0" applyNumberFormat="1" applyFont="1" applyFill="1" applyBorder="1"/>
    <xf numFmtId="9" fontId="4" fillId="7" borderId="14" xfId="0" applyNumberFormat="1" applyFont="1" applyFill="1" applyBorder="1" applyAlignment="1">
      <alignment horizontal="center"/>
    </xf>
    <xf numFmtId="172" fontId="4" fillId="7" borderId="13" xfId="0" applyNumberFormat="1" applyFont="1" applyFill="1" applyBorder="1"/>
    <xf numFmtId="167" fontId="7" fillId="3" borderId="14" xfId="0" applyNumberFormat="1" applyFont="1" applyFill="1" applyBorder="1" applyAlignment="1">
      <alignment horizontal="center"/>
    </xf>
    <xf numFmtId="0" fontId="22" fillId="7" borderId="14" xfId="0" applyFont="1" applyFill="1" applyBorder="1"/>
    <xf numFmtId="0" fontId="1" fillId="7" borderId="14" xfId="0" applyFont="1" applyFill="1" applyBorder="1"/>
    <xf numFmtId="165" fontId="15" fillId="7" borderId="14" xfId="0" applyNumberFormat="1" applyFont="1" applyFill="1" applyBorder="1"/>
    <xf numFmtId="165" fontId="7" fillId="3" borderId="14" xfId="0" applyNumberFormat="1" applyFont="1" applyFill="1" applyBorder="1" applyAlignment="1">
      <alignment horizontal="center"/>
    </xf>
    <xf numFmtId="165" fontId="1" fillId="7" borderId="14" xfId="0" applyNumberFormat="1" applyFont="1" applyFill="1" applyBorder="1"/>
    <xf numFmtId="0" fontId="4" fillId="7" borderId="14" xfId="0" applyFont="1" applyFill="1" applyBorder="1"/>
    <xf numFmtId="168" fontId="38" fillId="7" borderId="13" xfId="0" applyNumberFormat="1" applyFont="1" applyFill="1" applyBorder="1"/>
    <xf numFmtId="176" fontId="31" fillId="0" borderId="10" xfId="0" applyNumberFormat="1" applyFont="1" applyBorder="1"/>
    <xf numFmtId="176" fontId="31" fillId="0" borderId="11" xfId="0" applyNumberFormat="1" applyFont="1" applyBorder="1"/>
    <xf numFmtId="10" fontId="33" fillId="0" borderId="16" xfId="0" applyNumberFormat="1" applyFont="1" applyBorder="1" applyAlignment="1">
      <alignment horizontal="center" vertical="center"/>
    </xf>
    <xf numFmtId="0" fontId="35" fillId="0" borderId="16" xfId="0" applyFont="1" applyBorder="1"/>
    <xf numFmtId="0" fontId="0" fillId="0" borderId="0" xfId="0" applyFont="1" applyAlignment="1"/>
    <xf numFmtId="0" fontId="14" fillId="0" borderId="0" xfId="0" applyFont="1" applyAlignment="1">
      <alignment horizontal="center" vertical="center"/>
    </xf>
    <xf numFmtId="49" fontId="41" fillId="0" borderId="0" xfId="0" applyNumberFormat="1" applyFont="1"/>
    <xf numFmtId="0" fontId="3" fillId="2" borderId="14" xfId="0" applyFont="1" applyFill="1" applyBorder="1" applyAlignment="1">
      <alignment horizontal="center"/>
    </xf>
    <xf numFmtId="0" fontId="8" fillId="0" borderId="14" xfId="0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6" fillId="6" borderId="1" xfId="0" applyFont="1" applyFill="1" applyBorder="1" applyAlignment="1">
      <alignment horizontal="left" wrapText="1"/>
    </xf>
    <xf numFmtId="0" fontId="8" fillId="0" borderId="2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1" fillId="0" borderId="0" xfId="0" applyFont="1" applyAlignment="1">
      <alignment horizontal="center"/>
    </xf>
    <xf numFmtId="10" fontId="7" fillId="3" borderId="14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3" xfId="0" applyFont="1" applyBorder="1" applyAlignment="1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wrapText="1"/>
    </xf>
    <xf numFmtId="10" fontId="29" fillId="3" borderId="14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/>
    </xf>
  </cellXfs>
  <cellStyles count="1">
    <cellStyle name="Normal" xfId="0" builtinId="0"/>
  </cellStyles>
  <dxfs count="1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C0C0C"/>
      </font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20978299507161174"/>
          <c:y val="4.2355815040486793E-2"/>
          <c:w val="0.70800194207522693"/>
          <c:h val="0.80141434497983832"/>
        </c:manualLayout>
      </c:layout>
      <c:lineChart>
        <c:grouping val="standard"/>
        <c:varyColors val="1"/>
        <c:ser>
          <c:idx val="0"/>
          <c:order val="0"/>
          <c:tx>
            <c:strRef>
              <c:f>'5'!$C$31</c:f>
              <c:strCache>
                <c:ptCount val="1"/>
                <c:pt idx="0">
                  <c:v>COSTOS FIJO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9140</c:v>
                </c:pt>
                <c:pt idx="2">
                  <c:v>18280</c:v>
                </c:pt>
              </c:numCache>
            </c:numRef>
          </c:cat>
          <c:val>
            <c:numRef>
              <c:f>'5'!$C$32:$C$34</c:f>
              <c:numCache>
                <c:formatCode>_("$"\ * #,##0.00_);_("$"\ * \(#,##0.00\);_("$"\ * "-"??_);_(@_)</c:formatCode>
                <c:ptCount val="3"/>
                <c:pt idx="0">
                  <c:v>182800000</c:v>
                </c:pt>
                <c:pt idx="1">
                  <c:v>182800000</c:v>
                </c:pt>
                <c:pt idx="2">
                  <c:v>182800000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D-4C56-9B61-C9466B06F6DF}"/>
            </c:ext>
          </c:extLst>
        </c:ser>
        <c:ser>
          <c:idx val="1"/>
          <c:order val="1"/>
          <c:tx>
            <c:strRef>
              <c:f>'5'!$D$31</c:f>
              <c:strCache>
                <c:ptCount val="1"/>
                <c:pt idx="0">
                  <c:v>INGRESOS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9140</c:v>
                </c:pt>
                <c:pt idx="2">
                  <c:v>18280</c:v>
                </c:pt>
              </c:numCache>
            </c:numRef>
          </c:cat>
          <c:val>
            <c:numRef>
              <c:f>'5'!$D$32:$D$34</c:f>
              <c:numCache>
                <c:formatCode>_("$"\ * #,##0.00_);_("$"\ * \(#,##0.00\);_("$"\ * "-"??_);_(@_)</c:formatCode>
                <c:ptCount val="3"/>
                <c:pt idx="0" formatCode="General">
                  <c:v>0</c:v>
                </c:pt>
                <c:pt idx="1">
                  <c:v>228500000</c:v>
                </c:pt>
                <c:pt idx="2">
                  <c:v>457000000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D-4C56-9B61-C9466B06F6DF}"/>
            </c:ext>
          </c:extLst>
        </c:ser>
        <c:ser>
          <c:idx val="2"/>
          <c:order val="2"/>
          <c:tx>
            <c:strRef>
              <c:f>'5'!$F$31</c:f>
              <c:strCache>
                <c:ptCount val="1"/>
                <c:pt idx="0">
                  <c:v>COSTO TOTAL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9140</c:v>
                </c:pt>
                <c:pt idx="2">
                  <c:v>18280</c:v>
                </c:pt>
              </c:numCache>
            </c:numRef>
          </c:cat>
          <c:val>
            <c:numRef>
              <c:f>'5'!$F$32:$F$34</c:f>
              <c:numCache>
                <c:formatCode>_("$"\ * #,##0.00_);_("$"\ * \(#,##0.00\);_("$"\ * "-"??_);_(@_)</c:formatCode>
                <c:ptCount val="3"/>
                <c:pt idx="0">
                  <c:v>182800000</c:v>
                </c:pt>
                <c:pt idx="1">
                  <c:v>228500000</c:v>
                </c:pt>
                <c:pt idx="2">
                  <c:v>274200000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D-4C56-9B61-C9466B06F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674825"/>
        <c:axId val="1423166763"/>
      </c:lineChart>
      <c:catAx>
        <c:axId val="5526748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23166763"/>
        <c:crosses val="autoZero"/>
        <c:auto val="1"/>
        <c:lblAlgn val="ctr"/>
        <c:lblOffset val="100"/>
        <c:noMultiLvlLbl val="1"/>
      </c:catAx>
      <c:valAx>
        <c:axId val="14231667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(&quot;$&quot;\ * #,##0.00_);_(&quot;$&quot;\ * \(#,##0.00\);_(&quot;$&quot;\ 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55267482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2698594538394731E-2"/>
          <c:y val="0.938247299179210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'3'!A1"/><Relationship Id="rId7" Type="http://schemas.openxmlformats.org/officeDocument/2006/relationships/image" Target="../media/image1.jpg"/><Relationship Id="rId2" Type="http://schemas.openxmlformats.org/officeDocument/2006/relationships/hyperlink" Target="#'2'!A1"/><Relationship Id="rId1" Type="http://schemas.openxmlformats.org/officeDocument/2006/relationships/hyperlink" Target="#'1'!A1"/><Relationship Id="rId6" Type="http://schemas.openxmlformats.org/officeDocument/2006/relationships/hyperlink" Target="mailto:dmreyes@ean.edu.co" TargetMode="External"/><Relationship Id="rId5" Type="http://schemas.openxmlformats.org/officeDocument/2006/relationships/hyperlink" Target="#'5'!A1"/><Relationship Id="rId4" Type="http://schemas.openxmlformats.org/officeDocument/2006/relationships/hyperlink" Target="#'4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mailto:dmreyes@ean.edu.co" TargetMode="External"/><Relationship Id="rId2" Type="http://schemas.openxmlformats.org/officeDocument/2006/relationships/hyperlink" Target="#Men&#250;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9525</xdr:rowOff>
    </xdr:from>
    <xdr:ext cx="2857500" cy="407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22013" y="1741650"/>
          <a:ext cx="2847975" cy="407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BIENVENIDO A LA SIMULACIÓN FINANCIERA BÁSICA DE TU MODELO DE NEGOCIO.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ANTES DE DIGITAR LA INFORMACIÓN EN ESTE SIMULADOR, TEN EN CUENTA QUE: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1.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SOLO SE PODRÁN MODIFICAR LAS CELDAS RESALTAS CON COLOR AZUL</a:t>
          </a: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2.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REVISA LOS COMENTARIOS DE LAS CELDAS, TE DARÁN CLAVES PARA EL CORRECTO DILIGENCIAMIENTO DE LA INFORMACIÓN.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3.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LOS ESTADOS FINANCIEROS SE ELABORAN DE FORMA AUTÓMATICA Y NO REQUIEREN NINGUNA INTERVENCIÓN DEL EMPRENDEDOR.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247650</xdr:colOff>
      <xdr:row>19</xdr:row>
      <xdr:rowOff>57150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2</xdr:row>
      <xdr:rowOff>161925</xdr:rowOff>
    </xdr:from>
    <xdr:ext cx="2419350" cy="590550"/>
    <xdr:sp macro="" textlink="">
      <xdr:nvSpPr>
        <xdr:cNvPr id="5" name="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PROYECCIÓN DE VENTAS Y PREMISAS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219075</xdr:colOff>
      <xdr:row>6</xdr:row>
      <xdr:rowOff>161925</xdr:rowOff>
    </xdr:from>
    <xdr:ext cx="2419350" cy="590550"/>
    <xdr:sp macro="" textlink="">
      <xdr:nvSpPr>
        <xdr:cNvPr id="6" name="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INFRAESTRUCTURA  Y GASTOS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200025</xdr:colOff>
      <xdr:row>10</xdr:row>
      <xdr:rowOff>114300</xdr:rowOff>
    </xdr:from>
    <xdr:ext cx="2419350" cy="590550"/>
    <xdr:sp macro="" textlink="">
      <xdr:nvSpPr>
        <xdr:cNvPr id="7" name="Shap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INVERSIÓN TOTAL Y FINANCIACIÓN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190500</xdr:colOff>
      <xdr:row>14</xdr:row>
      <xdr:rowOff>28575</xdr:rowOff>
    </xdr:from>
    <xdr:ext cx="2419350" cy="590550"/>
    <xdr:sp macro="" textlink="">
      <xdr:nvSpPr>
        <xdr:cNvPr id="8" name="Shap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ESTADOS FINANCIEROS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171450</xdr:colOff>
      <xdr:row>18</xdr:row>
      <xdr:rowOff>9525</xdr:rowOff>
    </xdr:from>
    <xdr:ext cx="2419350" cy="590550"/>
    <xdr:sp macro="" textlink="">
      <xdr:nvSpPr>
        <xdr:cNvPr id="9" name="Shap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RESULTADOS DE LA SIMULACIÓN 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20</xdr:row>
      <xdr:rowOff>28575</xdr:rowOff>
    </xdr:from>
    <xdr:ext cx="2857500" cy="742950"/>
    <xdr:sp macro="" textlink="">
      <xdr:nvSpPr>
        <xdr:cNvPr id="10" name="Shap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22013" y="3413288"/>
          <a:ext cx="28479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  <xdr:oneCellAnchor>
    <xdr:from>
      <xdr:col>8</xdr:col>
      <xdr:colOff>666750</xdr:colOff>
      <xdr:row>1</xdr:row>
      <xdr:rowOff>47625</xdr:rowOff>
    </xdr:from>
    <xdr:ext cx="790575" cy="8763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476250</xdr:colOff>
      <xdr:row>18</xdr:row>
      <xdr:rowOff>171450</xdr:rowOff>
    </xdr:from>
    <xdr:ext cx="971550" cy="923925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</xdr:colOff>
      <xdr:row>13</xdr:row>
      <xdr:rowOff>123825</xdr:rowOff>
    </xdr:from>
    <xdr:ext cx="1133475" cy="45624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0800000">
          <a:off x="4788788" y="1508288"/>
          <a:ext cx="1114425" cy="4543425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390525</xdr:colOff>
      <xdr:row>13</xdr:row>
      <xdr:rowOff>142875</xdr:rowOff>
    </xdr:from>
    <xdr:ext cx="295275" cy="40386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03125" y="1765463"/>
          <a:ext cx="285750" cy="40290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 Black"/>
              <a:ea typeface="Arial Black"/>
              <a:cs typeface="Arial Black"/>
              <a:sym typeface="Arial Black"/>
            </a:rPr>
            <a:t>REVISA LAS PROYECCIONES</a:t>
          </a:r>
          <a:endParaRPr sz="900">
            <a:latin typeface="Arial Black"/>
            <a:ea typeface="Arial Black"/>
            <a:cs typeface="Arial Black"/>
            <a:sym typeface="Arial Black"/>
          </a:endParaRPr>
        </a:p>
      </xdr:txBody>
    </xdr:sp>
    <xdr:clientData fLocksWithSheet="0"/>
  </xdr:oneCellAnchor>
  <xdr:oneCellAnchor>
    <xdr:from>
      <xdr:col>10</xdr:col>
      <xdr:colOff>247650</xdr:colOff>
      <xdr:row>9</xdr:row>
      <xdr:rowOff>66675</xdr:rowOff>
    </xdr:from>
    <xdr:ext cx="13830300" cy="428625"/>
    <xdr:sp macro="" textlink="">
      <xdr:nvSpPr>
        <xdr:cNvPr id="15" name="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0" y="3565688"/>
          <a:ext cx="10692000" cy="4286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6</xdr:col>
      <xdr:colOff>285750</xdr:colOff>
      <xdr:row>12</xdr:row>
      <xdr:rowOff>123825</xdr:rowOff>
    </xdr:from>
    <xdr:ext cx="476250" cy="14478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17400" y="3065625"/>
          <a:ext cx="457200" cy="1428750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37</xdr:row>
      <xdr:rowOff>0</xdr:rowOff>
    </xdr:from>
    <xdr:ext cx="14639925" cy="742950"/>
    <xdr:sp macro="" textlink="">
      <xdr:nvSpPr>
        <xdr:cNvPr id="17" name="Shap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0" y="3413288"/>
          <a:ext cx="10692000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</xdr:row>
      <xdr:rowOff>0</xdr:rowOff>
    </xdr:from>
    <xdr:ext cx="2562225" cy="428625"/>
    <xdr:sp macro="" textlink="">
      <xdr:nvSpPr>
        <xdr:cNvPr id="11" name="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4064888" y="3565688"/>
          <a:ext cx="2562225" cy="4286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676275</xdr:colOff>
      <xdr:row>19</xdr:row>
      <xdr:rowOff>161925</xdr:rowOff>
    </xdr:from>
    <xdr:ext cx="3048000" cy="752475"/>
    <xdr:sp macro="" textlink="">
      <xdr:nvSpPr>
        <xdr:cNvPr id="13" name="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3826763" y="3408525"/>
          <a:ext cx="3038475" cy="7429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771525</xdr:colOff>
      <xdr:row>13</xdr:row>
      <xdr:rowOff>142875</xdr:rowOff>
    </xdr:from>
    <xdr:ext cx="2638425" cy="390525"/>
    <xdr:sp macro="" textlink="">
      <xdr:nvSpPr>
        <xdr:cNvPr id="18" name="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4031550" y="3589500"/>
          <a:ext cx="2628900" cy="38100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628650</xdr:colOff>
      <xdr:row>17</xdr:row>
      <xdr:rowOff>9525</xdr:rowOff>
    </xdr:from>
    <xdr:ext cx="3048000" cy="742950"/>
    <xdr:sp macro="" textlink="">
      <xdr:nvSpPr>
        <xdr:cNvPr id="19" name="Shape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3826763" y="3413288"/>
          <a:ext cx="30384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66675</xdr:colOff>
      <xdr:row>0</xdr:row>
      <xdr:rowOff>57150</xdr:rowOff>
    </xdr:from>
    <xdr:ext cx="2114550" cy="304800"/>
    <xdr:sp macro="" textlink="">
      <xdr:nvSpPr>
        <xdr:cNvPr id="20" name="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4293488" y="3627600"/>
          <a:ext cx="2105025" cy="30480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180975</xdr:colOff>
      <xdr:row>51</xdr:row>
      <xdr:rowOff>152400</xdr:rowOff>
    </xdr:from>
    <xdr:ext cx="3048000" cy="742950"/>
    <xdr:sp macro="" textlink="">
      <xdr:nvSpPr>
        <xdr:cNvPr id="21" name="Shap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3826763" y="3413288"/>
          <a:ext cx="30384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847725</xdr:colOff>
      <xdr:row>12</xdr:row>
      <xdr:rowOff>123825</xdr:rowOff>
    </xdr:from>
    <xdr:ext cx="5181600" cy="246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552450</xdr:colOff>
      <xdr:row>1</xdr:row>
      <xdr:rowOff>190500</xdr:rowOff>
    </xdr:from>
    <xdr:ext cx="2876550" cy="371475"/>
    <xdr:sp macro="" textlink="">
      <xdr:nvSpPr>
        <xdr:cNvPr id="22" name="Shape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3907725" y="3599025"/>
          <a:ext cx="2876550" cy="36195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6</xdr:col>
      <xdr:colOff>857250</xdr:colOff>
      <xdr:row>25</xdr:row>
      <xdr:rowOff>152400</xdr:rowOff>
    </xdr:from>
    <xdr:ext cx="2886075" cy="371475"/>
    <xdr:sp macro="" textlink="">
      <xdr:nvSpPr>
        <xdr:cNvPr id="23" name="Shape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3907725" y="3599025"/>
          <a:ext cx="2876550" cy="36195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8</xdr:col>
      <xdr:colOff>47625</xdr:colOff>
      <xdr:row>29</xdr:row>
      <xdr:rowOff>142875</xdr:rowOff>
    </xdr:from>
    <xdr:ext cx="3057525" cy="762000"/>
    <xdr:sp macro="" textlink="">
      <xdr:nvSpPr>
        <xdr:cNvPr id="24" name="Shape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3822000" y="3403763"/>
          <a:ext cx="3048000" cy="752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watch?v=m2meVNuuAN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1:H1000"/>
  <sheetViews>
    <sheetView showGridLines="0" tabSelected="1" zoomScale="138" workbookViewId="0"/>
  </sheetViews>
  <sheetFormatPr defaultColWidth="12.58203125" defaultRowHeight="15" customHeight="1"/>
  <cols>
    <col min="1" max="26" width="9.33203125" customWidth="1"/>
  </cols>
  <sheetData>
    <row r="21" spans="7:8" ht="15.75" customHeight="1">
      <c r="G21" s="116"/>
      <c r="H21" s="116"/>
    </row>
    <row r="22" spans="7:8" ht="15.75" customHeight="1">
      <c r="G22" s="116"/>
      <c r="H22" s="116"/>
    </row>
    <row r="23" spans="7:8" ht="15.75" customHeight="1">
      <c r="G23" s="119" t="s">
        <v>0</v>
      </c>
      <c r="H23" s="120"/>
    </row>
    <row r="24" spans="7:8" ht="15.75" customHeight="1">
      <c r="G24" s="116"/>
      <c r="H24" s="116"/>
    </row>
    <row r="25" spans="7:8" ht="15.75" customHeight="1">
      <c r="G25" s="116"/>
      <c r="H25" s="116"/>
    </row>
    <row r="26" spans="7:8" ht="15.75" customHeight="1">
      <c r="G26" s="116"/>
      <c r="H26" s="116"/>
    </row>
    <row r="27" spans="7:8" ht="15.75" customHeight="1">
      <c r="G27" s="116"/>
      <c r="H27" s="116"/>
    </row>
    <row r="28" spans="7:8" ht="15.75" customHeight="1">
      <c r="G28" s="116"/>
      <c r="H28" s="116"/>
    </row>
    <row r="29" spans="7:8" ht="15.75" customHeight="1">
      <c r="G29" s="116"/>
      <c r="H29" s="116"/>
    </row>
    <row r="30" spans="7:8" ht="15.75" customHeight="1">
      <c r="G30" s="116"/>
      <c r="H30" s="116"/>
    </row>
    <row r="31" spans="7:8" ht="15.75" customHeight="1">
      <c r="G31" s="116"/>
      <c r="H31" s="116"/>
    </row>
    <row r="32" spans="7:8" ht="15.75" customHeight="1">
      <c r="G32" s="116"/>
      <c r="H32" s="11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23:H23"/>
  </mergeCells>
  <hyperlinks>
    <hyperlink ref="G23" r:id="rId1" xr:uid="{00000000-0004-0000-0000-000000000000}"/>
  </hyperlinks>
  <pageMargins left="0.7" right="0.7" top="0.75" bottom="0.75" header="0" footer="0"/>
  <pageSetup paperSize="9" scale="6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showGridLines="0" zoomScale="85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B21" sqref="AB21"/>
    </sheetView>
  </sheetViews>
  <sheetFormatPr defaultColWidth="12.58203125" defaultRowHeight="15" customHeight="1"/>
  <cols>
    <col min="1" max="1" width="19.58203125" customWidth="1"/>
    <col min="2" max="2" width="38.4140625" bestFit="1" customWidth="1"/>
    <col min="3" max="3" width="16" bestFit="1" customWidth="1"/>
    <col min="4" max="4" width="18.33203125" customWidth="1"/>
    <col min="5" max="6" width="16" bestFit="1" customWidth="1"/>
    <col min="7" max="7" width="7.58203125" customWidth="1"/>
    <col min="8" max="8" width="7.33203125" customWidth="1"/>
    <col min="9" max="9" width="7.75" customWidth="1"/>
    <col min="10" max="10" width="13" customWidth="1"/>
    <col min="11" max="11" width="3.58203125" customWidth="1"/>
    <col min="12" max="15" width="10" hidden="1" customWidth="1"/>
    <col min="16" max="19" width="10.5" hidden="1" customWidth="1"/>
    <col min="20" max="24" width="13.58203125" hidden="1" customWidth="1"/>
    <col min="25" max="25" width="10.83203125" customWidth="1"/>
    <col min="26" max="26" width="8.08203125" customWidth="1"/>
    <col min="27" max="27" width="6.08203125" customWidth="1"/>
    <col min="28" max="28" width="7.33203125" customWidth="1"/>
    <col min="29" max="29" width="6.08203125" customWidth="1"/>
    <col min="30" max="30" width="10" customWidth="1"/>
  </cols>
  <sheetData>
    <row r="1" spans="1:30" ht="30.75" customHeight="1">
      <c r="A1" s="121" t="s">
        <v>1</v>
      </c>
      <c r="B1" s="122"/>
      <c r="C1" s="122"/>
      <c r="D1" s="122"/>
      <c r="E1" s="122"/>
      <c r="F1" s="1"/>
      <c r="G1" s="123" t="s">
        <v>2</v>
      </c>
      <c r="H1" s="122"/>
      <c r="I1" s="122"/>
      <c r="J1" s="122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/>
      <c r="Y1" s="89" t="s">
        <v>4</v>
      </c>
      <c r="Z1" s="90">
        <v>2021</v>
      </c>
      <c r="AA1" s="6"/>
      <c r="AB1" s="1"/>
      <c r="AC1" s="1"/>
      <c r="AD1" s="1"/>
    </row>
    <row r="2" spans="1:30" ht="32.25" customHeight="1">
      <c r="A2" s="1"/>
      <c r="B2" s="7" t="s">
        <v>5</v>
      </c>
      <c r="C2" s="8" t="s">
        <v>6</v>
      </c>
      <c r="D2" s="7" t="s">
        <v>7</v>
      </c>
      <c r="E2" s="8" t="s">
        <v>8</v>
      </c>
      <c r="F2" s="9" t="s">
        <v>9</v>
      </c>
      <c r="G2" s="91">
        <f>'1'!Z1+1</f>
        <v>2022</v>
      </c>
      <c r="H2" s="91">
        <f t="shared" ref="H2:J2" si="0">G2+1</f>
        <v>2023</v>
      </c>
      <c r="I2" s="91">
        <f t="shared" si="0"/>
        <v>2024</v>
      </c>
      <c r="J2" s="91">
        <f t="shared" si="0"/>
        <v>2025</v>
      </c>
      <c r="K2" s="1"/>
      <c r="L2" s="1">
        <f t="shared" ref="L2:M2" si="1">G2</f>
        <v>2022</v>
      </c>
      <c r="M2" s="1">
        <f t="shared" si="1"/>
        <v>2023</v>
      </c>
      <c r="N2" s="1">
        <f t="shared" ref="N2:O2" si="2">M2+1</f>
        <v>2024</v>
      </c>
      <c r="O2" s="1">
        <f t="shared" si="2"/>
        <v>2025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/>
      <c r="Y2" s="6"/>
      <c r="Z2" s="6"/>
      <c r="AA2" s="6"/>
      <c r="AB2" s="1"/>
      <c r="AC2" s="1"/>
      <c r="AD2" s="1"/>
    </row>
    <row r="3" spans="1:30" ht="23">
      <c r="A3" s="2">
        <v>1</v>
      </c>
      <c r="B3" s="92" t="s">
        <v>144</v>
      </c>
      <c r="C3" s="93">
        <v>10000</v>
      </c>
      <c r="D3" s="94">
        <v>25000</v>
      </c>
      <c r="E3" s="12">
        <f t="shared" ref="E3:E12" si="3">C3*D3</f>
        <v>250000000</v>
      </c>
      <c r="F3" s="13">
        <f t="shared" ref="F3:F12" si="4">IF($E$13=0,0,E3/$E$13)</f>
        <v>1</v>
      </c>
      <c r="G3" s="95">
        <v>0.1</v>
      </c>
      <c r="H3" s="95">
        <v>0.15</v>
      </c>
      <c r="I3" s="95">
        <v>0.2</v>
      </c>
      <c r="J3" s="95">
        <v>0.25</v>
      </c>
      <c r="K3" s="14"/>
      <c r="L3" s="1">
        <f t="shared" ref="L3:L12" si="5">C3*(1+G3)</f>
        <v>11000</v>
      </c>
      <c r="M3" s="1">
        <f t="shared" ref="M3:O3" si="6">L3*(1+H3)</f>
        <v>12649.999999999998</v>
      </c>
      <c r="N3" s="1">
        <f t="shared" si="6"/>
        <v>15179.999999999996</v>
      </c>
      <c r="O3" s="1">
        <f t="shared" si="6"/>
        <v>18974.999999999996</v>
      </c>
      <c r="P3" s="16">
        <f>D3*(1+'1'!$Z$4)</f>
        <v>25742.5</v>
      </c>
      <c r="Q3" s="16">
        <f>P3*(1+'1'!$AA$4)</f>
        <v>26617.744999999999</v>
      </c>
      <c r="R3" s="16">
        <f>Q3*(1+'1'!$AB$4)</f>
        <v>27629.21931</v>
      </c>
      <c r="S3" s="16">
        <f>R3*(1+'1'!$AC$4)</f>
        <v>28789.64652102</v>
      </c>
      <c r="T3" s="16">
        <f t="shared" ref="T3:W3" si="7">L3*P3</f>
        <v>283167500</v>
      </c>
      <c r="U3" s="16">
        <f t="shared" si="7"/>
        <v>336714474.24999994</v>
      </c>
      <c r="V3" s="16">
        <f t="shared" si="7"/>
        <v>419411549.12579989</v>
      </c>
      <c r="W3" s="16">
        <f t="shared" si="7"/>
        <v>546283542.73635435</v>
      </c>
      <c r="X3" s="16"/>
      <c r="Y3" s="20" t="s">
        <v>18</v>
      </c>
      <c r="Z3" s="96">
        <f>G2</f>
        <v>2022</v>
      </c>
      <c r="AA3" s="96">
        <f t="shared" ref="AA3:AC3" si="8">Z3+1</f>
        <v>2023</v>
      </c>
      <c r="AB3" s="96">
        <f t="shared" si="8"/>
        <v>2024</v>
      </c>
      <c r="AC3" s="97">
        <f t="shared" si="8"/>
        <v>2025</v>
      </c>
      <c r="AD3" s="1"/>
    </row>
    <row r="4" spans="1:30" ht="23">
      <c r="A4" s="2">
        <f t="shared" ref="A4:A12" si="9">A3+1</f>
        <v>2</v>
      </c>
      <c r="B4" s="92"/>
      <c r="C4" s="93">
        <v>0</v>
      </c>
      <c r="D4" s="94">
        <v>0</v>
      </c>
      <c r="E4" s="12">
        <f t="shared" si="3"/>
        <v>0</v>
      </c>
      <c r="F4" s="13">
        <f t="shared" si="4"/>
        <v>0</v>
      </c>
      <c r="G4" s="95">
        <v>0</v>
      </c>
      <c r="H4" s="95">
        <v>0</v>
      </c>
      <c r="I4" s="95">
        <v>0</v>
      </c>
      <c r="J4" s="95">
        <v>0</v>
      </c>
      <c r="K4" s="14"/>
      <c r="L4" s="1">
        <f t="shared" si="5"/>
        <v>0</v>
      </c>
      <c r="M4" s="1">
        <f t="shared" ref="M4:O4" si="10">L4*(1+H4)</f>
        <v>0</v>
      </c>
      <c r="N4" s="1">
        <f t="shared" si="10"/>
        <v>0</v>
      </c>
      <c r="O4" s="1">
        <f t="shared" si="10"/>
        <v>0</v>
      </c>
      <c r="P4" s="16">
        <f>D4*(1+'1'!$Z$4)</f>
        <v>0</v>
      </c>
      <c r="Q4" s="16">
        <f>P4*(1+'1'!$AA$4)</f>
        <v>0</v>
      </c>
      <c r="R4" s="16">
        <f>Q4*(1+'1'!$AB$4)</f>
        <v>0</v>
      </c>
      <c r="S4" s="16">
        <f>R4*(1+'1'!$AC$4)</f>
        <v>0</v>
      </c>
      <c r="T4" s="16">
        <f t="shared" ref="T4:W4" si="11">L4*P4</f>
        <v>0</v>
      </c>
      <c r="U4" s="16">
        <f t="shared" si="11"/>
        <v>0</v>
      </c>
      <c r="V4" s="16">
        <f t="shared" si="11"/>
        <v>0</v>
      </c>
      <c r="W4" s="16">
        <f t="shared" si="11"/>
        <v>0</v>
      </c>
      <c r="X4" s="16"/>
      <c r="Y4" s="28" t="s">
        <v>19</v>
      </c>
      <c r="Z4" s="98">
        <v>2.9700000000000001E-2</v>
      </c>
      <c r="AA4" s="98">
        <v>3.4000000000000002E-2</v>
      </c>
      <c r="AB4" s="98">
        <v>3.7999999999999999E-2</v>
      </c>
      <c r="AC4" s="30">
        <v>4.2000000000000003E-2</v>
      </c>
      <c r="AD4" s="1"/>
    </row>
    <row r="5" spans="1:30" ht="23">
      <c r="A5" s="2">
        <f t="shared" si="9"/>
        <v>3</v>
      </c>
      <c r="B5" s="92"/>
      <c r="C5" s="93">
        <v>0</v>
      </c>
      <c r="D5" s="94">
        <v>0</v>
      </c>
      <c r="E5" s="12">
        <f t="shared" si="3"/>
        <v>0</v>
      </c>
      <c r="F5" s="13">
        <f t="shared" si="4"/>
        <v>0</v>
      </c>
      <c r="G5" s="95">
        <v>0</v>
      </c>
      <c r="H5" s="95">
        <v>0</v>
      </c>
      <c r="I5" s="95">
        <v>0</v>
      </c>
      <c r="J5" s="95">
        <v>0</v>
      </c>
      <c r="K5" s="14"/>
      <c r="L5" s="1">
        <f t="shared" si="5"/>
        <v>0</v>
      </c>
      <c r="M5" s="1">
        <f t="shared" ref="M5:O5" si="12">L5*(1+H5)</f>
        <v>0</v>
      </c>
      <c r="N5" s="1">
        <f t="shared" si="12"/>
        <v>0</v>
      </c>
      <c r="O5" s="1">
        <f t="shared" si="12"/>
        <v>0</v>
      </c>
      <c r="P5" s="16">
        <f>D5*(1+'1'!$Z$4)</f>
        <v>0</v>
      </c>
      <c r="Q5" s="16">
        <f>P5*(1+'1'!$AA$4)</f>
        <v>0</v>
      </c>
      <c r="R5" s="16">
        <f>Q5*(1+'1'!$AB$4)</f>
        <v>0</v>
      </c>
      <c r="S5" s="16">
        <f>R5*(1+'1'!$AC$4)</f>
        <v>0</v>
      </c>
      <c r="T5" s="16">
        <f t="shared" ref="T5:W5" si="13">L5*P5</f>
        <v>0</v>
      </c>
      <c r="U5" s="16">
        <f t="shared" si="13"/>
        <v>0</v>
      </c>
      <c r="V5" s="16">
        <f t="shared" si="13"/>
        <v>0</v>
      </c>
      <c r="W5" s="16">
        <f t="shared" si="13"/>
        <v>0</v>
      </c>
      <c r="X5" s="16"/>
      <c r="Y5" s="31" t="s">
        <v>20</v>
      </c>
      <c r="Z5" s="32">
        <v>1.6799999999999999E-2</v>
      </c>
      <c r="AA5" s="32">
        <v>2.5000000000000001E-2</v>
      </c>
      <c r="AB5" s="32">
        <v>0.03</v>
      </c>
      <c r="AC5" s="33">
        <v>3.5000000000000003E-2</v>
      </c>
      <c r="AD5" s="1"/>
    </row>
    <row r="6" spans="1:30" ht="14.5">
      <c r="A6" s="2">
        <f t="shared" si="9"/>
        <v>4</v>
      </c>
      <c r="B6" s="92"/>
      <c r="C6" s="93">
        <v>0</v>
      </c>
      <c r="D6" s="94">
        <v>0</v>
      </c>
      <c r="E6" s="12">
        <f t="shared" si="3"/>
        <v>0</v>
      </c>
      <c r="F6" s="13">
        <f t="shared" si="4"/>
        <v>0</v>
      </c>
      <c r="G6" s="95">
        <v>0</v>
      </c>
      <c r="H6" s="95">
        <v>0</v>
      </c>
      <c r="I6" s="95">
        <v>0</v>
      </c>
      <c r="J6" s="95">
        <v>0</v>
      </c>
      <c r="K6" s="14"/>
      <c r="L6" s="1">
        <f t="shared" si="5"/>
        <v>0</v>
      </c>
      <c r="M6" s="1">
        <f t="shared" ref="M6:O6" si="14">L6*(1+H6)</f>
        <v>0</v>
      </c>
      <c r="N6" s="1">
        <f t="shared" si="14"/>
        <v>0</v>
      </c>
      <c r="O6" s="1">
        <f t="shared" si="14"/>
        <v>0</v>
      </c>
      <c r="P6" s="16">
        <f>D6*(1+'1'!$Z$4)</f>
        <v>0</v>
      </c>
      <c r="Q6" s="16">
        <f>P6*(1+'1'!$AA$4)</f>
        <v>0</v>
      </c>
      <c r="R6" s="16">
        <f>Q6*(1+'1'!$AB$4)</f>
        <v>0</v>
      </c>
      <c r="S6" s="16">
        <f>R6*(1+'1'!$AC$4)</f>
        <v>0</v>
      </c>
      <c r="T6" s="16">
        <f t="shared" ref="T6:W6" si="15">L6*P6</f>
        <v>0</v>
      </c>
      <c r="U6" s="16">
        <f t="shared" si="15"/>
        <v>0</v>
      </c>
      <c r="V6" s="16">
        <f t="shared" si="15"/>
        <v>0</v>
      </c>
      <c r="W6" s="16">
        <f t="shared" si="15"/>
        <v>0</v>
      </c>
      <c r="X6" s="16"/>
      <c r="Y6" s="1"/>
      <c r="Z6" s="1"/>
      <c r="AA6" s="1"/>
      <c r="AB6" s="1"/>
      <c r="AC6" s="1"/>
      <c r="AD6" s="1"/>
    </row>
    <row r="7" spans="1:30" ht="23">
      <c r="A7" s="2">
        <f t="shared" si="9"/>
        <v>5</v>
      </c>
      <c r="B7" s="92"/>
      <c r="C7" s="93">
        <v>0</v>
      </c>
      <c r="D7" s="94">
        <v>0</v>
      </c>
      <c r="E7" s="12">
        <f t="shared" si="3"/>
        <v>0</v>
      </c>
      <c r="F7" s="13">
        <f t="shared" si="4"/>
        <v>0</v>
      </c>
      <c r="G7" s="95">
        <v>0</v>
      </c>
      <c r="H7" s="95">
        <v>0</v>
      </c>
      <c r="I7" s="95">
        <v>0</v>
      </c>
      <c r="J7" s="95">
        <v>0</v>
      </c>
      <c r="K7" s="14"/>
      <c r="L7" s="1">
        <f t="shared" si="5"/>
        <v>0</v>
      </c>
      <c r="M7" s="1">
        <f t="shared" ref="M7:O7" si="16">L7*(1+H7)</f>
        <v>0</v>
      </c>
      <c r="N7" s="1">
        <f t="shared" si="16"/>
        <v>0</v>
      </c>
      <c r="O7" s="1">
        <f t="shared" si="16"/>
        <v>0</v>
      </c>
      <c r="P7" s="16">
        <f>D7*(1+'1'!$Z$4)</f>
        <v>0</v>
      </c>
      <c r="Q7" s="16">
        <f>P7*(1+'1'!$AA$4)</f>
        <v>0</v>
      </c>
      <c r="R7" s="16">
        <f>Q7*(1+'1'!$AB$4)</f>
        <v>0</v>
      </c>
      <c r="S7" s="16">
        <f>R7*(1+'1'!$AC$4)</f>
        <v>0</v>
      </c>
      <c r="T7" s="16">
        <f t="shared" ref="T7:W7" si="17">L7*P7</f>
        <v>0</v>
      </c>
      <c r="U7" s="16">
        <f t="shared" si="17"/>
        <v>0</v>
      </c>
      <c r="V7" s="16">
        <f t="shared" si="17"/>
        <v>0</v>
      </c>
      <c r="W7" s="16">
        <f t="shared" si="17"/>
        <v>0</v>
      </c>
      <c r="X7" s="16"/>
      <c r="Y7" s="35" t="s">
        <v>21</v>
      </c>
      <c r="Z7" s="99"/>
      <c r="AA7" s="99"/>
      <c r="AB7" s="36">
        <v>0.32</v>
      </c>
      <c r="AC7" s="100"/>
      <c r="AD7" s="1"/>
    </row>
    <row r="8" spans="1:30" ht="14.5">
      <c r="A8" s="2">
        <f t="shared" si="9"/>
        <v>6</v>
      </c>
      <c r="B8" s="92"/>
      <c r="C8" s="93">
        <v>0</v>
      </c>
      <c r="D8" s="94">
        <v>0</v>
      </c>
      <c r="E8" s="12">
        <f t="shared" si="3"/>
        <v>0</v>
      </c>
      <c r="F8" s="13">
        <f t="shared" si="4"/>
        <v>0</v>
      </c>
      <c r="G8" s="95">
        <v>0</v>
      </c>
      <c r="H8" s="95">
        <v>0</v>
      </c>
      <c r="I8" s="95">
        <v>0</v>
      </c>
      <c r="J8" s="95">
        <v>0</v>
      </c>
      <c r="K8" s="14"/>
      <c r="L8" s="1">
        <f t="shared" si="5"/>
        <v>0</v>
      </c>
      <c r="M8" s="1">
        <f t="shared" ref="M8:O8" si="18">L8*(1+H8)</f>
        <v>0</v>
      </c>
      <c r="N8" s="1">
        <f t="shared" si="18"/>
        <v>0</v>
      </c>
      <c r="O8" s="1">
        <f t="shared" si="18"/>
        <v>0</v>
      </c>
      <c r="P8" s="16">
        <f>D8*(1+'1'!$Z$4)</f>
        <v>0</v>
      </c>
      <c r="Q8" s="16">
        <f>P8*(1+'1'!$AA$4)</f>
        <v>0</v>
      </c>
      <c r="R8" s="16">
        <f>Q8*(1+'1'!$AB$4)</f>
        <v>0</v>
      </c>
      <c r="S8" s="16">
        <f>R8*(1+'1'!$AC$4)</f>
        <v>0</v>
      </c>
      <c r="T8" s="16">
        <f t="shared" ref="T8:W8" si="19">L8*P8</f>
        <v>0</v>
      </c>
      <c r="U8" s="16">
        <f t="shared" si="19"/>
        <v>0</v>
      </c>
      <c r="V8" s="16">
        <f t="shared" si="19"/>
        <v>0</v>
      </c>
      <c r="W8" s="16">
        <f t="shared" si="19"/>
        <v>0</v>
      </c>
      <c r="X8" s="16"/>
      <c r="Y8" s="1"/>
      <c r="Z8" s="1"/>
      <c r="AA8" s="1"/>
      <c r="AB8" s="1"/>
      <c r="AC8" s="1"/>
      <c r="AD8" s="1"/>
    </row>
    <row r="9" spans="1:30" ht="14.5">
      <c r="A9" s="2">
        <f t="shared" si="9"/>
        <v>7</v>
      </c>
      <c r="B9" s="92"/>
      <c r="C9" s="93">
        <v>0</v>
      </c>
      <c r="D9" s="94">
        <v>0</v>
      </c>
      <c r="E9" s="12">
        <f t="shared" si="3"/>
        <v>0</v>
      </c>
      <c r="F9" s="13">
        <f t="shared" si="4"/>
        <v>0</v>
      </c>
      <c r="G9" s="95">
        <v>0</v>
      </c>
      <c r="H9" s="95">
        <v>0</v>
      </c>
      <c r="I9" s="95">
        <v>0</v>
      </c>
      <c r="J9" s="95">
        <v>0</v>
      </c>
      <c r="K9" s="14"/>
      <c r="L9" s="1">
        <f t="shared" si="5"/>
        <v>0</v>
      </c>
      <c r="M9" s="1">
        <f t="shared" ref="M9:O9" si="20">L9*(1+H9)</f>
        <v>0</v>
      </c>
      <c r="N9" s="1">
        <f t="shared" si="20"/>
        <v>0</v>
      </c>
      <c r="O9" s="1">
        <f t="shared" si="20"/>
        <v>0</v>
      </c>
      <c r="P9" s="16">
        <f>D9*(1+'1'!$Z$4)</f>
        <v>0</v>
      </c>
      <c r="Q9" s="16">
        <f>P9*(1+'1'!$AA$4)</f>
        <v>0</v>
      </c>
      <c r="R9" s="16">
        <f>Q9*(1+'1'!$AB$4)</f>
        <v>0</v>
      </c>
      <c r="S9" s="16">
        <f>R9*(1+'1'!$AC$4)</f>
        <v>0</v>
      </c>
      <c r="T9" s="16">
        <f t="shared" ref="T9:W9" si="21">L9*P9</f>
        <v>0</v>
      </c>
      <c r="U9" s="16">
        <f t="shared" si="21"/>
        <v>0</v>
      </c>
      <c r="V9" s="16">
        <f t="shared" si="21"/>
        <v>0</v>
      </c>
      <c r="W9" s="16">
        <f t="shared" si="21"/>
        <v>0</v>
      </c>
      <c r="X9" s="16"/>
      <c r="Y9" s="1"/>
      <c r="Z9" s="1"/>
      <c r="AA9" s="1"/>
      <c r="AB9" s="1"/>
      <c r="AC9" s="1"/>
      <c r="AD9" s="1"/>
    </row>
    <row r="10" spans="1:30" ht="14.5">
      <c r="A10" s="2">
        <f t="shared" si="9"/>
        <v>8</v>
      </c>
      <c r="B10" s="92"/>
      <c r="C10" s="93">
        <v>0</v>
      </c>
      <c r="D10" s="94">
        <v>0</v>
      </c>
      <c r="E10" s="12">
        <f t="shared" si="3"/>
        <v>0</v>
      </c>
      <c r="F10" s="13">
        <f t="shared" si="4"/>
        <v>0</v>
      </c>
      <c r="G10" s="95">
        <v>0</v>
      </c>
      <c r="H10" s="95">
        <v>0</v>
      </c>
      <c r="I10" s="95">
        <v>0</v>
      </c>
      <c r="J10" s="95">
        <v>0</v>
      </c>
      <c r="K10" s="14"/>
      <c r="L10" s="1">
        <f t="shared" si="5"/>
        <v>0</v>
      </c>
      <c r="M10" s="1">
        <f t="shared" ref="M10:O10" si="22">L10*(1+H10)</f>
        <v>0</v>
      </c>
      <c r="N10" s="1">
        <f t="shared" si="22"/>
        <v>0</v>
      </c>
      <c r="O10" s="1">
        <f t="shared" si="22"/>
        <v>0</v>
      </c>
      <c r="P10" s="16">
        <f>D10*(1+'1'!$Z$4)</f>
        <v>0</v>
      </c>
      <c r="Q10" s="16">
        <f>P10*(1+'1'!$AA$4)</f>
        <v>0</v>
      </c>
      <c r="R10" s="16">
        <f>Q10*(1+'1'!$AB$4)</f>
        <v>0</v>
      </c>
      <c r="S10" s="16">
        <f>R10*(1+'1'!$AC$4)</f>
        <v>0</v>
      </c>
      <c r="T10" s="16">
        <f t="shared" ref="T10:W10" si="23">L10*P10</f>
        <v>0</v>
      </c>
      <c r="U10" s="16">
        <f t="shared" si="23"/>
        <v>0</v>
      </c>
      <c r="V10" s="16">
        <f t="shared" si="23"/>
        <v>0</v>
      </c>
      <c r="W10" s="16">
        <f t="shared" si="23"/>
        <v>0</v>
      </c>
      <c r="X10" s="16"/>
      <c r="Y10" s="1"/>
      <c r="Z10" s="1"/>
      <c r="AA10" s="1"/>
      <c r="AB10" s="1"/>
      <c r="AC10" s="1"/>
      <c r="AD10" s="1"/>
    </row>
    <row r="11" spans="1:30" ht="14.5">
      <c r="A11" s="2">
        <f t="shared" si="9"/>
        <v>9</v>
      </c>
      <c r="B11" s="92"/>
      <c r="C11" s="93">
        <v>0</v>
      </c>
      <c r="D11" s="94">
        <v>0</v>
      </c>
      <c r="E11" s="12">
        <f t="shared" si="3"/>
        <v>0</v>
      </c>
      <c r="F11" s="13">
        <f t="shared" si="4"/>
        <v>0</v>
      </c>
      <c r="G11" s="95">
        <v>0</v>
      </c>
      <c r="H11" s="95">
        <v>0</v>
      </c>
      <c r="I11" s="95">
        <v>0</v>
      </c>
      <c r="J11" s="95">
        <v>0</v>
      </c>
      <c r="K11" s="14"/>
      <c r="L11" s="1">
        <f t="shared" si="5"/>
        <v>0</v>
      </c>
      <c r="M11" s="1">
        <f t="shared" ref="M11:O11" si="24">L11*(1+H11)</f>
        <v>0</v>
      </c>
      <c r="N11" s="1">
        <f t="shared" si="24"/>
        <v>0</v>
      </c>
      <c r="O11" s="1">
        <f t="shared" si="24"/>
        <v>0</v>
      </c>
      <c r="P11" s="16">
        <f>D11*(1+'1'!$Z$4)</f>
        <v>0</v>
      </c>
      <c r="Q11" s="16">
        <f>P11*(1+'1'!$AA$4)</f>
        <v>0</v>
      </c>
      <c r="R11" s="16">
        <f>Q11*(1+'1'!$AB$4)</f>
        <v>0</v>
      </c>
      <c r="S11" s="16">
        <f>R11*(1+'1'!$AC$4)</f>
        <v>0</v>
      </c>
      <c r="T11" s="16">
        <f t="shared" ref="T11:W11" si="25">L11*P11</f>
        <v>0</v>
      </c>
      <c r="U11" s="16">
        <f t="shared" si="25"/>
        <v>0</v>
      </c>
      <c r="V11" s="16">
        <f t="shared" si="25"/>
        <v>0</v>
      </c>
      <c r="W11" s="16">
        <f t="shared" si="25"/>
        <v>0</v>
      </c>
      <c r="X11" s="16"/>
      <c r="Y11" s="1"/>
      <c r="Z11" s="1"/>
      <c r="AA11" s="1"/>
      <c r="AB11" s="1"/>
      <c r="AC11" s="1"/>
      <c r="AD11" s="1"/>
    </row>
    <row r="12" spans="1:30" ht="14.5">
      <c r="A12" s="2">
        <f t="shared" si="9"/>
        <v>10</v>
      </c>
      <c r="B12" s="92"/>
      <c r="C12" s="93">
        <v>0</v>
      </c>
      <c r="D12" s="94">
        <v>0</v>
      </c>
      <c r="E12" s="12">
        <f t="shared" si="3"/>
        <v>0</v>
      </c>
      <c r="F12" s="13">
        <f t="shared" si="4"/>
        <v>0</v>
      </c>
      <c r="G12" s="95">
        <v>0</v>
      </c>
      <c r="H12" s="95">
        <v>0</v>
      </c>
      <c r="I12" s="95">
        <v>0</v>
      </c>
      <c r="J12" s="95">
        <v>0</v>
      </c>
      <c r="K12" s="14"/>
      <c r="L12" s="1">
        <f t="shared" si="5"/>
        <v>0</v>
      </c>
      <c r="M12" s="1">
        <f t="shared" ref="M12:O12" si="26">L12*(1+H12)</f>
        <v>0</v>
      </c>
      <c r="N12" s="1">
        <f t="shared" si="26"/>
        <v>0</v>
      </c>
      <c r="O12" s="1">
        <f t="shared" si="26"/>
        <v>0</v>
      </c>
      <c r="P12" s="16">
        <f>D12*(1+'1'!$Z$4)</f>
        <v>0</v>
      </c>
      <c r="Q12" s="16">
        <f>P12*(1+'1'!$AA$4)</f>
        <v>0</v>
      </c>
      <c r="R12" s="16">
        <f>Q12*(1+'1'!$AB$4)</f>
        <v>0</v>
      </c>
      <c r="S12" s="16">
        <f>R12*(1+'1'!$AC$4)</f>
        <v>0</v>
      </c>
      <c r="T12" s="16">
        <f t="shared" ref="T12:W12" si="27">L12*P12</f>
        <v>0</v>
      </c>
      <c r="U12" s="16">
        <f t="shared" si="27"/>
        <v>0</v>
      </c>
      <c r="V12" s="16">
        <f t="shared" si="27"/>
        <v>0</v>
      </c>
      <c r="W12" s="16">
        <f t="shared" si="27"/>
        <v>0</v>
      </c>
      <c r="X12" s="16"/>
      <c r="Y12" s="1"/>
      <c r="Z12" s="1"/>
      <c r="AA12" s="1"/>
      <c r="AB12" s="1"/>
      <c r="AC12" s="1"/>
      <c r="AD12" s="1"/>
    </row>
    <row r="13" spans="1:30" ht="14.5">
      <c r="A13" s="1"/>
      <c r="B13" s="1"/>
      <c r="C13" s="1"/>
      <c r="D13" s="1" t="s">
        <v>22</v>
      </c>
      <c r="E13" s="101">
        <f t="shared" ref="E13:F13" si="28">SUM(E3:E12)</f>
        <v>250000000</v>
      </c>
      <c r="F13" s="102">
        <f t="shared" si="28"/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7">
        <f t="shared" ref="T13:W13" si="29">SUM(T3:T12)</f>
        <v>283167500</v>
      </c>
      <c r="U13" s="37">
        <f t="shared" si="29"/>
        <v>336714474.24999994</v>
      </c>
      <c r="V13" s="37">
        <f t="shared" si="29"/>
        <v>419411549.12579989</v>
      </c>
      <c r="W13" s="37">
        <f t="shared" si="29"/>
        <v>546283542.73635435</v>
      </c>
      <c r="X13" s="16"/>
      <c r="Y13" s="1"/>
      <c r="Z13" s="1"/>
      <c r="AA13" s="1"/>
      <c r="AB13" s="1"/>
      <c r="AC13" s="1"/>
      <c r="AD13" s="1"/>
    </row>
    <row r="14" spans="1:30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 customHeight="1">
      <c r="A15" s="121" t="s">
        <v>23</v>
      </c>
      <c r="B15" s="122"/>
      <c r="C15" s="122"/>
      <c r="D15" s="122"/>
      <c r="E15" s="122"/>
      <c r="F15" s="1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5.5" customHeight="1">
      <c r="A16" s="1"/>
      <c r="B16" s="7" t="s">
        <v>24</v>
      </c>
      <c r="C16" s="38" t="s">
        <v>6</v>
      </c>
      <c r="D16" s="7" t="s">
        <v>25</v>
      </c>
      <c r="E16" s="8" t="s">
        <v>26</v>
      </c>
      <c r="F16" s="1"/>
      <c r="G16" s="1"/>
      <c r="H16" s="1"/>
      <c r="I16" s="1"/>
      <c r="J16" s="1"/>
      <c r="K16" s="1"/>
      <c r="L16" s="1">
        <f t="shared" ref="L16:W16" si="30">L2</f>
        <v>2022</v>
      </c>
      <c r="M16" s="1">
        <f t="shared" si="30"/>
        <v>2023</v>
      </c>
      <c r="N16" s="1">
        <f t="shared" si="30"/>
        <v>2024</v>
      </c>
      <c r="O16" s="1">
        <f t="shared" si="30"/>
        <v>2025</v>
      </c>
      <c r="P16" s="1" t="str">
        <f t="shared" si="30"/>
        <v>AÑO 2</v>
      </c>
      <c r="Q16" s="1" t="str">
        <f t="shared" si="30"/>
        <v>AÑO 3</v>
      </c>
      <c r="R16" s="1" t="str">
        <f t="shared" si="30"/>
        <v>AÑO 4</v>
      </c>
      <c r="S16" s="1" t="str">
        <f t="shared" si="30"/>
        <v>AÑO 5</v>
      </c>
      <c r="T16" s="1" t="str">
        <f t="shared" si="30"/>
        <v>año 2</v>
      </c>
      <c r="U16" s="1" t="str">
        <f t="shared" si="30"/>
        <v>año 3</v>
      </c>
      <c r="V16" s="1" t="str">
        <f t="shared" si="30"/>
        <v>año 4</v>
      </c>
      <c r="W16" s="1" t="str">
        <f t="shared" si="30"/>
        <v>año 5</v>
      </c>
      <c r="X16" s="1"/>
      <c r="Y16" s="1"/>
      <c r="Z16" s="1"/>
      <c r="AA16" s="1"/>
      <c r="AB16" s="1"/>
      <c r="AC16" s="1"/>
      <c r="AD16" s="1"/>
    </row>
    <row r="17" spans="1:30" ht="14.5">
      <c r="A17" s="2">
        <f t="shared" ref="A17:B17" si="31">A3</f>
        <v>1</v>
      </c>
      <c r="B17" s="39" t="str">
        <f t="shared" si="31"/>
        <v>Servicio de acompañamiento al adulto mayor</v>
      </c>
      <c r="C17" s="40">
        <v>10000</v>
      </c>
      <c r="D17" s="94">
        <v>5000</v>
      </c>
      <c r="E17" s="12">
        <f t="shared" ref="E17:E26" si="32">C17*D17</f>
        <v>50000000</v>
      </c>
      <c r="F17" s="13">
        <f t="shared" ref="F17:F26" si="33">IF($E$27=0,0,E17/$E$27)</f>
        <v>1</v>
      </c>
      <c r="G17" s="1"/>
      <c r="H17" s="1"/>
      <c r="I17" s="1"/>
      <c r="J17" s="1"/>
      <c r="K17" s="1"/>
      <c r="L17" s="1">
        <f t="shared" ref="L17:L26" si="34">C17*(1+G3)</f>
        <v>11000</v>
      </c>
      <c r="M17" s="1">
        <f t="shared" ref="M17:O17" si="35">L17*(1+H3)</f>
        <v>12649.999999999998</v>
      </c>
      <c r="N17" s="1">
        <f t="shared" si="35"/>
        <v>15179.999999999996</v>
      </c>
      <c r="O17" s="1">
        <f t="shared" si="35"/>
        <v>18974.999999999996</v>
      </c>
      <c r="P17" s="41">
        <f>D17*(1+'1'!$Z$5)</f>
        <v>5084</v>
      </c>
      <c r="Q17" s="16">
        <f>P17*(1+'1'!$AA$5)</f>
        <v>5211.0999999999995</v>
      </c>
      <c r="R17" s="16">
        <f>Q17*(1+'1'!$AB$5)</f>
        <v>5367.433</v>
      </c>
      <c r="S17" s="16">
        <f>R17*(1+'1'!$AC$5)</f>
        <v>5555.2931549999994</v>
      </c>
      <c r="T17" s="41">
        <f t="shared" ref="T17:W17" si="36">L17*P17</f>
        <v>55924000</v>
      </c>
      <c r="U17" s="16">
        <f t="shared" si="36"/>
        <v>65920414.999999985</v>
      </c>
      <c r="V17" s="16">
        <f t="shared" si="36"/>
        <v>81477632.939999983</v>
      </c>
      <c r="W17" s="16">
        <f t="shared" si="36"/>
        <v>105411687.61612497</v>
      </c>
      <c r="X17" s="16"/>
      <c r="Y17" s="1"/>
      <c r="Z17" s="1"/>
      <c r="AA17" s="1"/>
      <c r="AB17" s="1"/>
      <c r="AC17" s="1"/>
      <c r="AD17" s="1"/>
    </row>
    <row r="18" spans="1:30" ht="14.5">
      <c r="A18" s="2">
        <f t="shared" ref="A18" si="37">A4</f>
        <v>2</v>
      </c>
      <c r="B18" s="118" t="s">
        <v>143</v>
      </c>
      <c r="C18" s="40">
        <v>0</v>
      </c>
      <c r="D18" s="94">
        <v>0</v>
      </c>
      <c r="E18" s="12">
        <f t="shared" si="32"/>
        <v>0</v>
      </c>
      <c r="F18" s="13">
        <f t="shared" si="33"/>
        <v>0</v>
      </c>
      <c r="G18" s="1"/>
      <c r="H18" s="1"/>
      <c r="I18" s="1"/>
      <c r="J18" s="1"/>
      <c r="K18" s="1"/>
      <c r="L18" s="1">
        <f t="shared" si="34"/>
        <v>0</v>
      </c>
      <c r="M18" s="1">
        <f t="shared" ref="M18:O18" si="38">L18*(1+H4)</f>
        <v>0</v>
      </c>
      <c r="N18" s="1">
        <f t="shared" si="38"/>
        <v>0</v>
      </c>
      <c r="O18" s="1">
        <f t="shared" si="38"/>
        <v>0</v>
      </c>
      <c r="P18" s="41">
        <f>D18*(1+'1'!$Z$5)</f>
        <v>0</v>
      </c>
      <c r="Q18" s="16">
        <f>P18*(1+'1'!$AA$5)</f>
        <v>0</v>
      </c>
      <c r="R18" s="16">
        <f>Q18*(1+'1'!$AB$5)</f>
        <v>0</v>
      </c>
      <c r="S18" s="16">
        <f>R18*(1+'1'!$AC$5)</f>
        <v>0</v>
      </c>
      <c r="T18" s="41">
        <f t="shared" ref="T18:W18" si="39">L18*P18</f>
        <v>0</v>
      </c>
      <c r="U18" s="16">
        <f t="shared" si="39"/>
        <v>0</v>
      </c>
      <c r="V18" s="16">
        <f t="shared" si="39"/>
        <v>0</v>
      </c>
      <c r="W18" s="16">
        <f t="shared" si="39"/>
        <v>0</v>
      </c>
      <c r="X18" s="16"/>
      <c r="Y18" s="1"/>
      <c r="Z18" s="1"/>
      <c r="AA18" s="1"/>
      <c r="AB18" s="1"/>
      <c r="AC18" s="1"/>
      <c r="AD18" s="1"/>
    </row>
    <row r="19" spans="1:30" ht="14.5">
      <c r="A19" s="2">
        <f t="shared" ref="A19:C19" si="40">A5</f>
        <v>3</v>
      </c>
      <c r="B19" s="42">
        <f t="shared" si="40"/>
        <v>0</v>
      </c>
      <c r="C19" s="40">
        <f t="shared" si="40"/>
        <v>0</v>
      </c>
      <c r="D19" s="94">
        <v>0</v>
      </c>
      <c r="E19" s="12">
        <f t="shared" si="32"/>
        <v>0</v>
      </c>
      <c r="F19" s="13">
        <f t="shared" si="33"/>
        <v>0</v>
      </c>
      <c r="G19" s="1"/>
      <c r="H19" s="1"/>
      <c r="I19" s="1"/>
      <c r="J19" s="1"/>
      <c r="K19" s="1"/>
      <c r="L19" s="1">
        <f t="shared" si="34"/>
        <v>0</v>
      </c>
      <c r="M19" s="1">
        <f t="shared" ref="M19:O19" si="41">L19*(1+H5)</f>
        <v>0</v>
      </c>
      <c r="N19" s="1">
        <f t="shared" si="41"/>
        <v>0</v>
      </c>
      <c r="O19" s="1">
        <f t="shared" si="41"/>
        <v>0</v>
      </c>
      <c r="P19" s="41">
        <f>D19*(1+'1'!$Z$5)</f>
        <v>0</v>
      </c>
      <c r="Q19" s="16">
        <f>P19*(1+'1'!$AA$5)</f>
        <v>0</v>
      </c>
      <c r="R19" s="16">
        <f>Q19*(1+'1'!$AB$5)</f>
        <v>0</v>
      </c>
      <c r="S19" s="16">
        <f>R19*(1+'1'!$AC$5)</f>
        <v>0</v>
      </c>
      <c r="T19" s="41">
        <f t="shared" ref="T19:W19" si="42">L19*P19</f>
        <v>0</v>
      </c>
      <c r="U19" s="16">
        <f t="shared" si="42"/>
        <v>0</v>
      </c>
      <c r="V19" s="16">
        <f t="shared" si="42"/>
        <v>0</v>
      </c>
      <c r="W19" s="16">
        <f t="shared" si="42"/>
        <v>0</v>
      </c>
      <c r="X19" s="16"/>
      <c r="Y19" s="1"/>
      <c r="Z19" s="1"/>
      <c r="AA19" s="1"/>
      <c r="AB19" s="1"/>
      <c r="AC19" s="1"/>
      <c r="AD19" s="1"/>
    </row>
    <row r="20" spans="1:30" ht="14.5">
      <c r="A20" s="2">
        <f t="shared" ref="A20:C20" si="43">A6</f>
        <v>4</v>
      </c>
      <c r="B20" s="42">
        <f t="shared" si="43"/>
        <v>0</v>
      </c>
      <c r="C20" s="40">
        <f t="shared" si="43"/>
        <v>0</v>
      </c>
      <c r="D20" s="94">
        <v>0</v>
      </c>
      <c r="E20" s="12">
        <f t="shared" si="32"/>
        <v>0</v>
      </c>
      <c r="F20" s="13">
        <f t="shared" si="33"/>
        <v>0</v>
      </c>
      <c r="G20" s="1"/>
      <c r="H20" s="1"/>
      <c r="I20" s="1"/>
      <c r="J20" s="1"/>
      <c r="K20" s="1"/>
      <c r="L20" s="1">
        <f t="shared" si="34"/>
        <v>0</v>
      </c>
      <c r="M20" s="1">
        <f t="shared" ref="M20:O20" si="44">L20*(1+H6)</f>
        <v>0</v>
      </c>
      <c r="N20" s="1">
        <f t="shared" si="44"/>
        <v>0</v>
      </c>
      <c r="O20" s="1">
        <f t="shared" si="44"/>
        <v>0</v>
      </c>
      <c r="P20" s="41">
        <f>D20*(1+'1'!$Z$5)</f>
        <v>0</v>
      </c>
      <c r="Q20" s="16">
        <f>P20*(1+'1'!$AA$5)</f>
        <v>0</v>
      </c>
      <c r="R20" s="16">
        <f>Q20*(1+'1'!$AB$5)</f>
        <v>0</v>
      </c>
      <c r="S20" s="16">
        <f>R20*(1+'1'!$AC$5)</f>
        <v>0</v>
      </c>
      <c r="T20" s="41">
        <f t="shared" ref="T20:W20" si="45">L20*P20</f>
        <v>0</v>
      </c>
      <c r="U20" s="16">
        <f t="shared" si="45"/>
        <v>0</v>
      </c>
      <c r="V20" s="16">
        <f t="shared" si="45"/>
        <v>0</v>
      </c>
      <c r="W20" s="16">
        <f t="shared" si="45"/>
        <v>0</v>
      </c>
      <c r="X20" s="16"/>
      <c r="Y20" s="1"/>
      <c r="Z20" s="1"/>
      <c r="AA20" s="1"/>
      <c r="AB20" s="1"/>
      <c r="AC20" s="1"/>
      <c r="AD20" s="1"/>
    </row>
    <row r="21" spans="1:30" ht="15.75" customHeight="1">
      <c r="A21" s="2">
        <f t="shared" ref="A21:C21" si="46">A7</f>
        <v>5</v>
      </c>
      <c r="B21" s="42">
        <f t="shared" si="46"/>
        <v>0</v>
      </c>
      <c r="C21" s="40">
        <f t="shared" si="46"/>
        <v>0</v>
      </c>
      <c r="D21" s="94">
        <v>0</v>
      </c>
      <c r="E21" s="12">
        <f t="shared" si="32"/>
        <v>0</v>
      </c>
      <c r="F21" s="13">
        <f t="shared" si="33"/>
        <v>0</v>
      </c>
      <c r="G21" s="1"/>
      <c r="H21" s="1"/>
      <c r="I21" s="1"/>
      <c r="J21" s="1"/>
      <c r="K21" s="1"/>
      <c r="L21" s="1">
        <f t="shared" si="34"/>
        <v>0</v>
      </c>
      <c r="M21" s="1">
        <f t="shared" ref="M21:O21" si="47">L21*(1+H7)</f>
        <v>0</v>
      </c>
      <c r="N21" s="1">
        <f t="shared" si="47"/>
        <v>0</v>
      </c>
      <c r="O21" s="1">
        <f t="shared" si="47"/>
        <v>0</v>
      </c>
      <c r="P21" s="41">
        <f>D21*(1+'1'!$Z$5)</f>
        <v>0</v>
      </c>
      <c r="Q21" s="16">
        <f>P21*(1+'1'!$AA$5)</f>
        <v>0</v>
      </c>
      <c r="R21" s="16">
        <f>Q21*(1+'1'!$AB$5)</f>
        <v>0</v>
      </c>
      <c r="S21" s="16">
        <f>R21*(1+'1'!$AC$5)</f>
        <v>0</v>
      </c>
      <c r="T21" s="41">
        <f t="shared" ref="T21:W21" si="48">L21*P21</f>
        <v>0</v>
      </c>
      <c r="U21" s="16">
        <f t="shared" si="48"/>
        <v>0</v>
      </c>
      <c r="V21" s="16">
        <f t="shared" si="48"/>
        <v>0</v>
      </c>
      <c r="W21" s="16">
        <f t="shared" si="48"/>
        <v>0</v>
      </c>
      <c r="X21" s="16"/>
      <c r="Y21" s="1"/>
      <c r="Z21" s="1"/>
      <c r="AA21" s="1"/>
      <c r="AB21" s="1"/>
      <c r="AC21" s="1"/>
      <c r="AD21" s="1"/>
    </row>
    <row r="22" spans="1:30" ht="15.75" customHeight="1">
      <c r="A22" s="2">
        <f t="shared" ref="A22:C22" si="49">A8</f>
        <v>6</v>
      </c>
      <c r="B22" s="42">
        <f t="shared" si="49"/>
        <v>0</v>
      </c>
      <c r="C22" s="40">
        <f t="shared" si="49"/>
        <v>0</v>
      </c>
      <c r="D22" s="94">
        <v>0</v>
      </c>
      <c r="E22" s="12">
        <f t="shared" si="32"/>
        <v>0</v>
      </c>
      <c r="F22" s="13">
        <f t="shared" si="33"/>
        <v>0</v>
      </c>
      <c r="G22" s="1"/>
      <c r="H22" s="1"/>
      <c r="I22" s="1"/>
      <c r="J22" s="1"/>
      <c r="K22" s="1"/>
      <c r="L22" s="1">
        <f t="shared" si="34"/>
        <v>0</v>
      </c>
      <c r="M22" s="1">
        <f t="shared" ref="M22:O22" si="50">L22*(1+H8)</f>
        <v>0</v>
      </c>
      <c r="N22" s="1">
        <f t="shared" si="50"/>
        <v>0</v>
      </c>
      <c r="O22" s="1">
        <f t="shared" si="50"/>
        <v>0</v>
      </c>
      <c r="P22" s="41">
        <f>D22*(1+'1'!$Z$5)</f>
        <v>0</v>
      </c>
      <c r="Q22" s="16">
        <f>P22*(1+'1'!$AA$5)</f>
        <v>0</v>
      </c>
      <c r="R22" s="16">
        <f>Q22*(1+'1'!$AB$5)</f>
        <v>0</v>
      </c>
      <c r="S22" s="16">
        <f>R22*(1+'1'!$AC$5)</f>
        <v>0</v>
      </c>
      <c r="T22" s="41">
        <f t="shared" ref="T22:W22" si="51">L22*P22</f>
        <v>0</v>
      </c>
      <c r="U22" s="16">
        <f t="shared" si="51"/>
        <v>0</v>
      </c>
      <c r="V22" s="16">
        <f t="shared" si="51"/>
        <v>0</v>
      </c>
      <c r="W22" s="16">
        <f t="shared" si="51"/>
        <v>0</v>
      </c>
      <c r="X22" s="16"/>
      <c r="Y22" s="1"/>
      <c r="Z22" s="1"/>
      <c r="AA22" s="1"/>
      <c r="AB22" s="1"/>
      <c r="AC22" s="1"/>
      <c r="AD22" s="1"/>
    </row>
    <row r="23" spans="1:30" ht="15.75" customHeight="1">
      <c r="A23" s="2">
        <f t="shared" ref="A23:C23" si="52">A9</f>
        <v>7</v>
      </c>
      <c r="B23" s="42">
        <f t="shared" si="52"/>
        <v>0</v>
      </c>
      <c r="C23" s="40">
        <f t="shared" si="52"/>
        <v>0</v>
      </c>
      <c r="D23" s="94">
        <v>0</v>
      </c>
      <c r="E23" s="12">
        <f t="shared" si="32"/>
        <v>0</v>
      </c>
      <c r="F23" s="13">
        <f t="shared" si="33"/>
        <v>0</v>
      </c>
      <c r="G23" s="1"/>
      <c r="H23" s="1"/>
      <c r="I23" s="1"/>
      <c r="J23" s="1"/>
      <c r="K23" s="1"/>
      <c r="L23" s="1">
        <f t="shared" si="34"/>
        <v>0</v>
      </c>
      <c r="M23" s="1">
        <f t="shared" ref="M23:O23" si="53">L23*(1+H9)</f>
        <v>0</v>
      </c>
      <c r="N23" s="1">
        <f t="shared" si="53"/>
        <v>0</v>
      </c>
      <c r="O23" s="1">
        <f t="shared" si="53"/>
        <v>0</v>
      </c>
      <c r="P23" s="41">
        <f>D23*(1+'1'!$Z$5)</f>
        <v>0</v>
      </c>
      <c r="Q23" s="16">
        <f>P23*(1+'1'!$AA$5)</f>
        <v>0</v>
      </c>
      <c r="R23" s="16">
        <f>Q23*(1+'1'!$AB$5)</f>
        <v>0</v>
      </c>
      <c r="S23" s="16">
        <f>R23*(1+'1'!$AC$5)</f>
        <v>0</v>
      </c>
      <c r="T23" s="41">
        <f t="shared" ref="T23:W23" si="54">L23*P23</f>
        <v>0</v>
      </c>
      <c r="U23" s="16">
        <f t="shared" si="54"/>
        <v>0</v>
      </c>
      <c r="V23" s="16">
        <f t="shared" si="54"/>
        <v>0</v>
      </c>
      <c r="W23" s="16">
        <f t="shared" si="54"/>
        <v>0</v>
      </c>
      <c r="X23" s="16"/>
      <c r="Y23" s="1"/>
      <c r="Z23" s="1"/>
      <c r="AA23" s="1"/>
      <c r="AB23" s="1"/>
      <c r="AC23" s="1"/>
      <c r="AD23" s="1"/>
    </row>
    <row r="24" spans="1:30" ht="15.75" customHeight="1">
      <c r="A24" s="2">
        <f t="shared" ref="A24:C24" si="55">A10</f>
        <v>8</v>
      </c>
      <c r="B24" s="42">
        <f t="shared" si="55"/>
        <v>0</v>
      </c>
      <c r="C24" s="40">
        <f t="shared" si="55"/>
        <v>0</v>
      </c>
      <c r="D24" s="94">
        <v>0</v>
      </c>
      <c r="E24" s="12">
        <f t="shared" si="32"/>
        <v>0</v>
      </c>
      <c r="F24" s="13">
        <f t="shared" si="33"/>
        <v>0</v>
      </c>
      <c r="G24" s="1"/>
      <c r="H24" s="1"/>
      <c r="I24" s="1"/>
      <c r="J24" s="1"/>
      <c r="K24" s="1"/>
      <c r="L24" s="1">
        <f t="shared" si="34"/>
        <v>0</v>
      </c>
      <c r="M24" s="1">
        <f t="shared" ref="M24:O24" si="56">L24*(1+H10)</f>
        <v>0</v>
      </c>
      <c r="N24" s="1">
        <f t="shared" si="56"/>
        <v>0</v>
      </c>
      <c r="O24" s="1">
        <f t="shared" si="56"/>
        <v>0</v>
      </c>
      <c r="P24" s="41">
        <f>D24*(1+'1'!$Z$5)</f>
        <v>0</v>
      </c>
      <c r="Q24" s="16">
        <f>P24*(1+'1'!$AA$5)</f>
        <v>0</v>
      </c>
      <c r="R24" s="16">
        <f>Q24*(1+'1'!$AB$5)</f>
        <v>0</v>
      </c>
      <c r="S24" s="16">
        <f>R24*(1+'1'!$AC$5)</f>
        <v>0</v>
      </c>
      <c r="T24" s="41">
        <f t="shared" ref="T24:W24" si="57">L24*P24</f>
        <v>0</v>
      </c>
      <c r="U24" s="16">
        <f t="shared" si="57"/>
        <v>0</v>
      </c>
      <c r="V24" s="16">
        <f t="shared" si="57"/>
        <v>0</v>
      </c>
      <c r="W24" s="16">
        <f t="shared" si="57"/>
        <v>0</v>
      </c>
      <c r="X24" s="16"/>
      <c r="Y24" s="1"/>
      <c r="Z24" s="1"/>
      <c r="AA24" s="1"/>
      <c r="AB24" s="1"/>
      <c r="AC24" s="1"/>
      <c r="AD24" s="1"/>
    </row>
    <row r="25" spans="1:30" ht="15.75" customHeight="1">
      <c r="A25" s="2">
        <f t="shared" ref="A25:C25" si="58">A11</f>
        <v>9</v>
      </c>
      <c r="B25" s="42">
        <f t="shared" si="58"/>
        <v>0</v>
      </c>
      <c r="C25" s="40">
        <f t="shared" si="58"/>
        <v>0</v>
      </c>
      <c r="D25" s="94">
        <v>0</v>
      </c>
      <c r="E25" s="12">
        <f t="shared" si="32"/>
        <v>0</v>
      </c>
      <c r="F25" s="13">
        <f t="shared" si="33"/>
        <v>0</v>
      </c>
      <c r="G25" s="1"/>
      <c r="H25" s="1"/>
      <c r="I25" s="1"/>
      <c r="J25" s="1"/>
      <c r="K25" s="1"/>
      <c r="L25" s="1">
        <f t="shared" si="34"/>
        <v>0</v>
      </c>
      <c r="M25" s="1">
        <f t="shared" ref="M25:O25" si="59">L25*(1+H11)</f>
        <v>0</v>
      </c>
      <c r="N25" s="1">
        <f t="shared" si="59"/>
        <v>0</v>
      </c>
      <c r="O25" s="1">
        <f t="shared" si="59"/>
        <v>0</v>
      </c>
      <c r="P25" s="41">
        <f>D25*(1+'1'!$Z$5)</f>
        <v>0</v>
      </c>
      <c r="Q25" s="16">
        <f>P25*(1+'1'!$AA$5)</f>
        <v>0</v>
      </c>
      <c r="R25" s="16">
        <f>Q25*(1+'1'!$AB$5)</f>
        <v>0</v>
      </c>
      <c r="S25" s="16">
        <f>R25*(1+'1'!$AC$5)</f>
        <v>0</v>
      </c>
      <c r="T25" s="41">
        <f t="shared" ref="T25:W25" si="60">L25*P25</f>
        <v>0</v>
      </c>
      <c r="U25" s="16">
        <f t="shared" si="60"/>
        <v>0</v>
      </c>
      <c r="V25" s="16">
        <f t="shared" si="60"/>
        <v>0</v>
      </c>
      <c r="W25" s="16">
        <f t="shared" si="60"/>
        <v>0</v>
      </c>
      <c r="X25" s="16"/>
      <c r="Y25" s="1"/>
      <c r="Z25" s="1"/>
      <c r="AA25" s="1"/>
      <c r="AB25" s="1"/>
      <c r="AC25" s="1"/>
      <c r="AD25" s="1"/>
    </row>
    <row r="26" spans="1:30" ht="15.75" customHeight="1">
      <c r="A26" s="2">
        <f t="shared" ref="A26:C26" si="61">A12</f>
        <v>10</v>
      </c>
      <c r="B26" s="42">
        <f t="shared" si="61"/>
        <v>0</v>
      </c>
      <c r="C26" s="40">
        <f t="shared" si="61"/>
        <v>0</v>
      </c>
      <c r="D26" s="94">
        <v>0</v>
      </c>
      <c r="E26" s="12">
        <f t="shared" si="32"/>
        <v>0</v>
      </c>
      <c r="F26" s="13">
        <f t="shared" si="33"/>
        <v>0</v>
      </c>
      <c r="G26" s="1"/>
      <c r="H26" s="1"/>
      <c r="I26" s="1"/>
      <c r="J26" s="1"/>
      <c r="K26" s="1"/>
      <c r="L26" s="1">
        <f t="shared" si="34"/>
        <v>0</v>
      </c>
      <c r="M26" s="1">
        <f t="shared" ref="M26:O26" si="62">L26*(1+H12)</f>
        <v>0</v>
      </c>
      <c r="N26" s="1">
        <f t="shared" si="62"/>
        <v>0</v>
      </c>
      <c r="O26" s="1">
        <f t="shared" si="62"/>
        <v>0</v>
      </c>
      <c r="P26" s="41">
        <f>D26*(1+'1'!$Z$5)</f>
        <v>0</v>
      </c>
      <c r="Q26" s="16">
        <f>P26*(1+'1'!$AA$5)</f>
        <v>0</v>
      </c>
      <c r="R26" s="16">
        <f>Q26*(1+'1'!$AB$5)</f>
        <v>0</v>
      </c>
      <c r="S26" s="16">
        <f>R26*(1+'1'!$AC$5)</f>
        <v>0</v>
      </c>
      <c r="T26" s="41">
        <f t="shared" ref="T26:W26" si="63">L26*P26</f>
        <v>0</v>
      </c>
      <c r="U26" s="16">
        <f t="shared" si="63"/>
        <v>0</v>
      </c>
      <c r="V26" s="16">
        <f t="shared" si="63"/>
        <v>0</v>
      </c>
      <c r="W26" s="16">
        <f t="shared" si="63"/>
        <v>0</v>
      </c>
      <c r="X26" s="16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 t="str">
        <f>D13</f>
        <v>TOTAL</v>
      </c>
      <c r="E27" s="101">
        <f t="shared" ref="E27:F27" si="64">SUM(E17:E26)</f>
        <v>50000000</v>
      </c>
      <c r="F27" s="102">
        <f t="shared" si="64"/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37">
        <f t="shared" ref="T27:W27" si="65">SUM(T17:T26)</f>
        <v>55924000</v>
      </c>
      <c r="U27" s="37">
        <f t="shared" si="65"/>
        <v>65920414.999999985</v>
      </c>
      <c r="V27" s="37">
        <f t="shared" si="65"/>
        <v>81477632.939999983</v>
      </c>
      <c r="W27" s="37">
        <f t="shared" si="65"/>
        <v>105411687.61612497</v>
      </c>
      <c r="X27" s="16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24" t="s">
        <v>27</v>
      </c>
      <c r="B30" s="122"/>
      <c r="C30" s="122"/>
      <c r="D30" s="122"/>
      <c r="E30" s="122"/>
      <c r="F30" s="12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43" t="s">
        <v>18</v>
      </c>
      <c r="B31" s="44">
        <f>'1'!Z1</f>
        <v>2021</v>
      </c>
      <c r="C31" s="44">
        <f t="shared" ref="C31:F31" si="66">B31+1</f>
        <v>2022</v>
      </c>
      <c r="D31" s="44">
        <f t="shared" si="66"/>
        <v>2023</v>
      </c>
      <c r="E31" s="44">
        <f t="shared" si="66"/>
        <v>2024</v>
      </c>
      <c r="F31" s="44">
        <f t="shared" si="66"/>
        <v>2025</v>
      </c>
      <c r="G31" s="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46" t="s">
        <v>28</v>
      </c>
      <c r="B32" s="47">
        <f>'1'!E13</f>
        <v>250000000</v>
      </c>
      <c r="C32" s="47">
        <f>'1'!T13</f>
        <v>283167500</v>
      </c>
      <c r="D32" s="47">
        <f>'1'!U13</f>
        <v>336714474.24999994</v>
      </c>
      <c r="E32" s="47">
        <f>'1'!V13</f>
        <v>419411549.12579989</v>
      </c>
      <c r="F32" s="47">
        <f>'1'!W13</f>
        <v>546283542.73635435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46" t="s">
        <v>29</v>
      </c>
      <c r="B33" s="47">
        <f>'1'!E27</f>
        <v>50000000</v>
      </c>
      <c r="C33" s="47">
        <f>'1'!T27</f>
        <v>55924000</v>
      </c>
      <c r="D33" s="47">
        <f>'1'!U27</f>
        <v>65920414.999999985</v>
      </c>
      <c r="E33" s="47">
        <f>'1'!V27</f>
        <v>81477632.939999983</v>
      </c>
      <c r="F33" s="47">
        <f>'1'!W27</f>
        <v>105411687.61612497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4" t="s">
        <v>30</v>
      </c>
      <c r="B34" s="103">
        <f t="shared" ref="B34:F34" si="67">B32-B33</f>
        <v>200000000</v>
      </c>
      <c r="C34" s="103">
        <f t="shared" si="67"/>
        <v>227243500</v>
      </c>
      <c r="D34" s="103">
        <f t="shared" si="67"/>
        <v>270794059.24999994</v>
      </c>
      <c r="E34" s="103">
        <f t="shared" si="67"/>
        <v>337933916.1857999</v>
      </c>
      <c r="F34" s="103">
        <f t="shared" si="67"/>
        <v>440871855.12022936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4">
    <mergeCell ref="A1:E1"/>
    <mergeCell ref="G1:J1"/>
    <mergeCell ref="A15:E15"/>
    <mergeCell ref="A30:F30"/>
  </mergeCells>
  <conditionalFormatting sqref="B34:F34">
    <cfRule type="cellIs" dxfId="11" priority="1" operator="lessThan">
      <formula>0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pane ySplit="14" topLeftCell="A18" activePane="bottomLeft" state="frozen"/>
      <selection pane="bottomLeft" activeCell="F22" sqref="F22"/>
    </sheetView>
  </sheetViews>
  <sheetFormatPr defaultColWidth="12.58203125" defaultRowHeight="15" customHeight="1"/>
  <cols>
    <col min="1" max="1" width="4.58203125" customWidth="1"/>
    <col min="2" max="2" width="25.58203125" customWidth="1"/>
    <col min="3" max="3" width="17.58203125" customWidth="1"/>
    <col min="4" max="4" width="10" customWidth="1"/>
    <col min="5" max="5" width="20.33203125" customWidth="1"/>
    <col min="6" max="6" width="16" bestFit="1" customWidth="1"/>
    <col min="7" max="7" width="13.58203125" customWidth="1"/>
    <col min="8" max="26" width="10" customWidth="1"/>
  </cols>
  <sheetData>
    <row r="1" spans="1:26" ht="14.5">
      <c r="A1" s="1"/>
      <c r="B1" s="125" t="s">
        <v>31</v>
      </c>
      <c r="C1" s="122"/>
      <c r="D1" s="122"/>
      <c r="E1" s="122"/>
      <c r="F1" s="122"/>
      <c r="G1" s="122"/>
      <c r="H1" s="1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.75" customHeight="1">
      <c r="A2" s="1"/>
      <c r="B2" s="122"/>
      <c r="C2" s="122"/>
      <c r="D2" s="122"/>
      <c r="E2" s="122"/>
      <c r="F2" s="122"/>
      <c r="G2" s="122"/>
      <c r="H2" s="1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2" t="s">
        <v>32</v>
      </c>
      <c r="D3" s="1"/>
      <c r="E3" s="1"/>
      <c r="F3" s="3" t="s">
        <v>33</v>
      </c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>
      <c r="A4" s="1"/>
      <c r="B4" s="4" t="s">
        <v>34</v>
      </c>
      <c r="C4" s="94"/>
      <c r="D4" s="1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4" t="s">
        <v>35</v>
      </c>
      <c r="C5" s="94"/>
      <c r="D5" s="1"/>
      <c r="E5" s="1"/>
      <c r="F5" s="3">
        <v>10</v>
      </c>
      <c r="G5" s="5">
        <f t="shared" ref="G5:G11" si="0">C5/F5</f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4" t="s">
        <v>36</v>
      </c>
      <c r="C6" s="94"/>
      <c r="D6" s="1"/>
      <c r="E6" s="1"/>
      <c r="F6" s="3">
        <v>5</v>
      </c>
      <c r="G6" s="5">
        <f t="shared" si="0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1"/>
      <c r="B7" s="4" t="s">
        <v>37</v>
      </c>
      <c r="C7" s="94">
        <v>10000000</v>
      </c>
      <c r="D7" s="1"/>
      <c r="E7" s="1"/>
      <c r="F7" s="3">
        <v>5</v>
      </c>
      <c r="G7" s="5">
        <f t="shared" si="0"/>
        <v>2000000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4" t="s">
        <v>38</v>
      </c>
      <c r="C8" s="94"/>
      <c r="D8" s="1"/>
      <c r="E8" s="1"/>
      <c r="F8" s="3">
        <v>5</v>
      </c>
      <c r="G8" s="5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4" t="s">
        <v>39</v>
      </c>
      <c r="C9" s="94"/>
      <c r="D9" s="1"/>
      <c r="E9" s="1"/>
      <c r="F9" s="3">
        <v>5</v>
      </c>
      <c r="G9" s="5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4" t="s">
        <v>40</v>
      </c>
      <c r="C10" s="94"/>
      <c r="D10" s="1"/>
      <c r="E10" s="1"/>
      <c r="F10" s="3">
        <v>5</v>
      </c>
      <c r="G10" s="5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4" t="s">
        <v>41</v>
      </c>
      <c r="C11" s="94">
        <f>30000000+1000000</f>
        <v>31000000</v>
      </c>
      <c r="D11" s="1"/>
      <c r="E11" s="1"/>
      <c r="F11" s="3">
        <v>5</v>
      </c>
      <c r="G11" s="5">
        <f t="shared" si="0"/>
        <v>6200000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0" t="s">
        <v>42</v>
      </c>
      <c r="C12" s="11">
        <f>SUM(C4:C11)</f>
        <v>41000000</v>
      </c>
      <c r="D12" s="1"/>
      <c r="E12" s="1"/>
      <c r="F12" s="3"/>
      <c r="G12" s="5">
        <f>SUM(G5:G11)</f>
        <v>8200000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26" t="s">
        <v>43</v>
      </c>
      <c r="C13" s="127"/>
      <c r="D13" s="127"/>
      <c r="E13" s="127"/>
      <c r="F13" s="127"/>
      <c r="G13" s="127"/>
      <c r="H13" s="1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29"/>
      <c r="C14" s="130"/>
      <c r="D14" s="130"/>
      <c r="E14" s="130"/>
      <c r="F14" s="130"/>
      <c r="G14" s="130"/>
      <c r="H14" s="13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17"/>
      <c r="C15" s="17"/>
      <c r="D15" s="17"/>
      <c r="E15" s="17"/>
      <c r="F15" s="17"/>
      <c r="G15" s="17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10" t="s">
        <v>44</v>
      </c>
      <c r="C16" s="1"/>
      <c r="D16" s="1"/>
      <c r="E16" s="10" t="s">
        <v>45</v>
      </c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"/>
      <c r="C17" s="10" t="s">
        <v>46</v>
      </c>
      <c r="D17" s="1"/>
      <c r="E17" s="1"/>
      <c r="F17" s="10" t="str">
        <f>C17</f>
        <v>VALOR AÑO 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21" t="s">
        <v>47</v>
      </c>
      <c r="C18" s="94">
        <f>4000000*12</f>
        <v>48000000</v>
      </c>
      <c r="D18" s="1"/>
      <c r="E18" s="22" t="s">
        <v>48</v>
      </c>
      <c r="F18" s="94">
        <v>10000000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/>
      <c r="C19" s="25"/>
      <c r="D19" s="1"/>
      <c r="E19" s="22" t="s">
        <v>50</v>
      </c>
      <c r="F19" s="94">
        <f>60000*10</f>
        <v>600000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21" t="s">
        <v>49</v>
      </c>
      <c r="C20" s="94">
        <f>1500000*12</f>
        <v>18000000</v>
      </c>
      <c r="D20" s="1"/>
      <c r="E20" s="22" t="s">
        <v>52</v>
      </c>
      <c r="F20" s="94">
        <v>200000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25"/>
      <c r="D21" s="1"/>
      <c r="E21" s="22" t="s">
        <v>146</v>
      </c>
      <c r="F21" s="94">
        <v>12000000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1" t="s">
        <v>51</v>
      </c>
      <c r="C22" s="94">
        <f>3000000*12</f>
        <v>36000000</v>
      </c>
      <c r="D22" s="1"/>
      <c r="E22" s="22" t="s">
        <v>145</v>
      </c>
      <c r="F22" s="94">
        <f>1500000*12</f>
        <v>18000000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 t="s">
        <v>53</v>
      </c>
      <c r="C23" s="11">
        <f>C18+C20+C22</f>
        <v>102000000</v>
      </c>
      <c r="D23" s="1"/>
      <c r="E23" s="22"/>
      <c r="F23" s="94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22"/>
      <c r="F24" s="94"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2" t="s">
        <v>54</v>
      </c>
      <c r="C25" s="94">
        <v>40000000</v>
      </c>
      <c r="D25" s="1"/>
      <c r="E25" s="22"/>
      <c r="F25" s="94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22"/>
      <c r="F26" s="9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22"/>
      <c r="F27" s="94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22"/>
      <c r="F28" s="94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22"/>
      <c r="F29" s="94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22"/>
      <c r="F30" s="94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22" t="s">
        <v>55</v>
      </c>
      <c r="F31" s="11">
        <f>SUM(F18:F30)</f>
        <v>40800000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H2"/>
    <mergeCell ref="B13:H1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D16" sqref="D16"/>
    </sheetView>
  </sheetViews>
  <sheetFormatPr defaultColWidth="12.58203125" defaultRowHeight="15" customHeight="1"/>
  <cols>
    <col min="1" max="1" width="10" customWidth="1"/>
    <col min="2" max="2" width="34.08203125" customWidth="1"/>
    <col min="3" max="4" width="16.08203125" customWidth="1"/>
    <col min="5" max="5" width="4.33203125" customWidth="1"/>
    <col min="6" max="6" width="12.83203125" customWidth="1"/>
    <col min="7" max="7" width="13.08203125" bestFit="1" customWidth="1"/>
    <col min="8" max="8" width="12.58203125" customWidth="1"/>
    <col min="9" max="9" width="12.08203125" customWidth="1"/>
    <col min="10" max="10" width="13.58203125" customWidth="1"/>
    <col min="11" max="26" width="10" customWidth="1"/>
  </cols>
  <sheetData>
    <row r="1" spans="1:26" ht="14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1"/>
      <c r="B2" s="121" t="s">
        <v>56</v>
      </c>
      <c r="C2" s="122"/>
      <c r="D2" s="122"/>
      <c r="E2" s="122"/>
      <c r="F2" s="122"/>
      <c r="G2" s="122"/>
      <c r="H2" s="122"/>
      <c r="I2" s="122"/>
      <c r="J2" s="1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32" t="s">
        <v>57</v>
      </c>
      <c r="G3" s="12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>
      <c r="A4" s="1"/>
      <c r="B4" s="6" t="s">
        <v>42</v>
      </c>
      <c r="C4" s="11">
        <f>'2'!C12</f>
        <v>41000000</v>
      </c>
      <c r="D4" s="1"/>
      <c r="E4" s="1"/>
      <c r="F4" s="133">
        <v>0.13</v>
      </c>
      <c r="G4" s="1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6" t="s">
        <v>58</v>
      </c>
      <c r="C6" s="1"/>
      <c r="D6" s="1"/>
      <c r="E6" s="1"/>
      <c r="F6" s="134" t="s">
        <v>59</v>
      </c>
      <c r="G6" s="135"/>
      <c r="H6" s="135"/>
      <c r="I6" s="135"/>
      <c r="J6" s="13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">
      <c r="A7" s="1"/>
      <c r="B7" s="1"/>
      <c r="C7" s="15" t="s">
        <v>60</v>
      </c>
      <c r="D7" s="15" t="s">
        <v>61</v>
      </c>
      <c r="E7" s="1"/>
      <c r="F7" s="18" t="s">
        <v>62</v>
      </c>
      <c r="G7" s="18" t="s">
        <v>63</v>
      </c>
      <c r="H7" s="18" t="s">
        <v>64</v>
      </c>
      <c r="I7" s="18" t="s">
        <v>65</v>
      </c>
      <c r="J7" s="18" t="s">
        <v>66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4" t="s">
        <v>67</v>
      </c>
      <c r="C8" s="104">
        <v>6</v>
      </c>
      <c r="D8" s="16">
        <f>('1'!B33/12)*C8</f>
        <v>25000000</v>
      </c>
      <c r="E8" s="1"/>
      <c r="F8" s="23">
        <v>0</v>
      </c>
      <c r="G8" s="24"/>
      <c r="H8" s="26"/>
      <c r="I8" s="26"/>
      <c r="J8" s="27">
        <f>D16</f>
        <v>57400000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4" t="s">
        <v>68</v>
      </c>
      <c r="C9" s="104">
        <v>6</v>
      </c>
      <c r="D9" s="16">
        <f>('2'!C23/12)*C9</f>
        <v>51000000</v>
      </c>
      <c r="E9" s="1"/>
      <c r="F9" s="23">
        <f>'1'!B31</f>
        <v>2021</v>
      </c>
      <c r="G9" s="29">
        <f>PMT(F4,5,J8)</f>
        <v>-16319654.788586056</v>
      </c>
      <c r="H9" s="26">
        <f t="shared" ref="H9:H13" si="0">I9+G9</f>
        <v>-8857654.7885860559</v>
      </c>
      <c r="I9" s="26">
        <f t="shared" ref="I9:I13" si="1">J8*$F$4</f>
        <v>7462000</v>
      </c>
      <c r="J9" s="29">
        <f t="shared" ref="J9:J13" si="2">J8+H9</f>
        <v>48542345.211413942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4" t="s">
        <v>69</v>
      </c>
      <c r="C10" s="104">
        <v>6</v>
      </c>
      <c r="D10" s="16">
        <f>('2'!C25/12)*C10</f>
        <v>20000000</v>
      </c>
      <c r="E10" s="1"/>
      <c r="F10" s="23">
        <f>'1'!C31</f>
        <v>2022</v>
      </c>
      <c r="G10" s="29">
        <f t="shared" ref="G10:G13" si="3">G9</f>
        <v>-16319654.788586056</v>
      </c>
      <c r="H10" s="26">
        <f t="shared" si="0"/>
        <v>-10009149.911102243</v>
      </c>
      <c r="I10" s="26">
        <f t="shared" si="1"/>
        <v>6310504.8774838131</v>
      </c>
      <c r="J10" s="29">
        <f t="shared" si="2"/>
        <v>38533195.3003117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4" t="s">
        <v>70</v>
      </c>
      <c r="C11" s="104">
        <v>6</v>
      </c>
      <c r="D11" s="16">
        <f>('2'!F31/12)*C11</f>
        <v>20400000</v>
      </c>
      <c r="E11" s="1"/>
      <c r="F11" s="23">
        <f>'1'!D31</f>
        <v>2023</v>
      </c>
      <c r="G11" s="29">
        <f t="shared" si="3"/>
        <v>-16319654.788586056</v>
      </c>
      <c r="H11" s="26">
        <f t="shared" si="0"/>
        <v>-11310339.399545535</v>
      </c>
      <c r="I11" s="26">
        <f t="shared" si="1"/>
        <v>5009315.3890405213</v>
      </c>
      <c r="J11" s="29">
        <f t="shared" si="2"/>
        <v>27222855.900766164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05" t="s">
        <v>22</v>
      </c>
      <c r="C12" s="106"/>
      <c r="D12" s="107">
        <f>SUM(D8:D11)</f>
        <v>116400000</v>
      </c>
      <c r="E12" s="1"/>
      <c r="F12" s="23">
        <f>'1'!E31</f>
        <v>2024</v>
      </c>
      <c r="G12" s="29">
        <f t="shared" si="3"/>
        <v>-16319654.788586056</v>
      </c>
      <c r="H12" s="26">
        <f t="shared" si="0"/>
        <v>-12780683.521486454</v>
      </c>
      <c r="I12" s="26">
        <f t="shared" si="1"/>
        <v>3538971.2670996012</v>
      </c>
      <c r="J12" s="29">
        <f t="shared" si="2"/>
        <v>14442172.37927971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"/>
      <c r="C13" s="1"/>
      <c r="D13" s="1"/>
      <c r="E13" s="1"/>
      <c r="F13" s="23">
        <f>'1'!F31</f>
        <v>2025</v>
      </c>
      <c r="G13" s="29">
        <f t="shared" si="3"/>
        <v>-16319654.788586056</v>
      </c>
      <c r="H13" s="26">
        <f t="shared" si="0"/>
        <v>-14442172.379279694</v>
      </c>
      <c r="I13" s="26">
        <f t="shared" si="1"/>
        <v>1877482.4093063625</v>
      </c>
      <c r="J13" s="29">
        <f t="shared" si="2"/>
        <v>1.6763806343078613E-8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4" t="s">
        <v>71</v>
      </c>
      <c r="C14" s="1"/>
      <c r="D14" s="11">
        <f>C4+D12</f>
        <v>157400000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4" t="s">
        <v>72</v>
      </c>
      <c r="C15" s="1"/>
      <c r="D15" s="108">
        <v>100000000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4" t="s">
        <v>73</v>
      </c>
      <c r="C16" s="1"/>
      <c r="D16" s="34">
        <f>D14-D15</f>
        <v>57400000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J2"/>
    <mergeCell ref="F3:G3"/>
    <mergeCell ref="F4:G4"/>
    <mergeCell ref="F6:J6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>
      <pane xSplit="7" ySplit="1" topLeftCell="H50" activePane="bottomRight" state="frozen"/>
      <selection pane="topRight" activeCell="H1" sqref="H1"/>
      <selection pane="bottomLeft" activeCell="A2" sqref="A2"/>
      <selection pane="bottomRight" activeCell="C59" sqref="C59:G59"/>
    </sheetView>
  </sheetViews>
  <sheetFormatPr defaultColWidth="12.58203125" defaultRowHeight="15" customHeight="1"/>
  <cols>
    <col min="1" max="1" width="23.33203125" customWidth="1"/>
    <col min="2" max="2" width="22.58203125" customWidth="1"/>
    <col min="3" max="3" width="19" customWidth="1"/>
    <col min="4" max="7" width="15.33203125" customWidth="1"/>
    <col min="8" max="26" width="10" customWidth="1"/>
  </cols>
  <sheetData>
    <row r="1" spans="1:26" ht="34.5" customHeight="1">
      <c r="A1" s="139" t="s">
        <v>74</v>
      </c>
      <c r="B1" s="122"/>
      <c r="C1" s="122"/>
      <c r="D1" s="122"/>
      <c r="E1" s="122"/>
      <c r="F1" s="122"/>
      <c r="G1" s="1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>
      <c r="A2" s="140" t="s">
        <v>75</v>
      </c>
      <c r="B2" s="120"/>
      <c r="C2" s="120"/>
      <c r="D2" s="120"/>
      <c r="E2" s="120"/>
      <c r="F2" s="120"/>
      <c r="G2" s="1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.25" customHeight="1">
      <c r="A3" s="117"/>
      <c r="B3" s="117"/>
      <c r="C3" s="117"/>
      <c r="D3" s="117"/>
      <c r="E3" s="117"/>
      <c r="F3" s="117"/>
      <c r="G3" s="1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>
      <c r="A4" s="136" t="s">
        <v>76</v>
      </c>
      <c r="B4" s="122"/>
      <c r="C4" s="122"/>
      <c r="D4" s="122"/>
      <c r="E4" s="122"/>
      <c r="F4" s="122"/>
      <c r="G4" s="12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">
      <c r="A5" s="1"/>
      <c r="B5" s="1"/>
      <c r="C5" s="48">
        <f>'1'!B31</f>
        <v>2021</v>
      </c>
      <c r="D5" s="48">
        <f>'1'!C31</f>
        <v>2022</v>
      </c>
      <c r="E5" s="48">
        <f>'1'!D31</f>
        <v>2023</v>
      </c>
      <c r="F5" s="48">
        <f>'1'!E31</f>
        <v>2024</v>
      </c>
      <c r="G5" s="48">
        <f>'1'!F31</f>
        <v>2025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1" t="s">
        <v>77</v>
      </c>
      <c r="C6" s="49">
        <f>'1'!B32</f>
        <v>250000000</v>
      </c>
      <c r="D6" s="49">
        <f>'1'!C32</f>
        <v>283167500</v>
      </c>
      <c r="E6" s="49">
        <f>'1'!D32</f>
        <v>336714474.24999994</v>
      </c>
      <c r="F6" s="49">
        <f>'1'!E32</f>
        <v>419411549.12579989</v>
      </c>
      <c r="G6" s="49">
        <f>'1'!F32</f>
        <v>546283542.73635435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1"/>
      <c r="B7" s="1" t="s">
        <v>78</v>
      </c>
      <c r="C7" s="49">
        <f>'1'!B33</f>
        <v>50000000</v>
      </c>
      <c r="D7" s="49">
        <f>'1'!C33</f>
        <v>55924000</v>
      </c>
      <c r="E7" s="49">
        <f>'1'!D33</f>
        <v>65920414.999999985</v>
      </c>
      <c r="F7" s="49">
        <f>'1'!E33</f>
        <v>81477632.939999983</v>
      </c>
      <c r="G7" s="49">
        <f>'1'!F33</f>
        <v>105411687.61612497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50" t="s">
        <v>79</v>
      </c>
      <c r="C8" s="51">
        <f t="shared" ref="C8:G8" si="0">C6-C7</f>
        <v>200000000</v>
      </c>
      <c r="D8" s="51">
        <f t="shared" si="0"/>
        <v>227243500</v>
      </c>
      <c r="E8" s="51">
        <f t="shared" si="0"/>
        <v>270794059.24999994</v>
      </c>
      <c r="F8" s="51">
        <f t="shared" si="0"/>
        <v>337933916.1857999</v>
      </c>
      <c r="G8" s="51">
        <f t="shared" si="0"/>
        <v>440871855.12022936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1" t="s">
        <v>80</v>
      </c>
      <c r="C9" s="49">
        <f>'2'!C23</f>
        <v>102000000</v>
      </c>
      <c r="D9" s="49">
        <f>C9*(1+'1'!Z4)</f>
        <v>105029400</v>
      </c>
      <c r="E9" s="49">
        <f>D9*(1+'1'!AA4)</f>
        <v>108600399.60000001</v>
      </c>
      <c r="F9" s="49">
        <f>E9*(1+'1'!AB4)</f>
        <v>112727214.78480001</v>
      </c>
      <c r="G9" s="49">
        <f>F9*(1+'1'!AC4)</f>
        <v>117461757.80576161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1" t="s">
        <v>81</v>
      </c>
      <c r="C10" s="49">
        <f>'2'!F31</f>
        <v>40800000</v>
      </c>
      <c r="D10" s="49">
        <f>C10*(1+'1'!Z4)</f>
        <v>42011760</v>
      </c>
      <c r="E10" s="49">
        <f>D10*(1+'1'!AA4)</f>
        <v>43440159.840000004</v>
      </c>
      <c r="F10" s="49">
        <f>E10*(1+'1'!AB4)</f>
        <v>45090885.913920008</v>
      </c>
      <c r="G10" s="49">
        <f>F10*(1+'1'!AC4)</f>
        <v>46984703.122304648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1" t="s">
        <v>82</v>
      </c>
      <c r="C11" s="49">
        <f>'2'!C25</f>
        <v>40000000</v>
      </c>
      <c r="D11" s="49">
        <f>C11*(1+'1'!Z5)</f>
        <v>40672000</v>
      </c>
      <c r="E11" s="49">
        <f>D11*(1+'1'!AA5)</f>
        <v>41688800</v>
      </c>
      <c r="F11" s="49">
        <f>E11*(1+'1'!AB5)</f>
        <v>42939464</v>
      </c>
      <c r="G11" s="49">
        <f>F11*(1+'1'!AC5)</f>
        <v>44442345.239999995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>
      <c r="A12" s="1"/>
      <c r="B12" s="1" t="s">
        <v>83</v>
      </c>
      <c r="C12" s="49">
        <f>'2'!G12</f>
        <v>8200000</v>
      </c>
      <c r="D12" s="49">
        <f t="shared" ref="D12:G12" si="1">C12</f>
        <v>8200000</v>
      </c>
      <c r="E12" s="49">
        <f t="shared" si="1"/>
        <v>8200000</v>
      </c>
      <c r="F12" s="49">
        <f t="shared" si="1"/>
        <v>8200000</v>
      </c>
      <c r="G12" s="49">
        <f t="shared" si="1"/>
        <v>8200000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50" t="s">
        <v>84</v>
      </c>
      <c r="C13" s="52">
        <f t="shared" ref="C13:G13" si="2">C8-C9-C10-C11-C12</f>
        <v>9000000</v>
      </c>
      <c r="D13" s="52">
        <f t="shared" si="2"/>
        <v>31330340</v>
      </c>
      <c r="E13" s="52">
        <f t="shared" si="2"/>
        <v>68864699.809999913</v>
      </c>
      <c r="F13" s="52">
        <f t="shared" si="2"/>
        <v>128976351.48707989</v>
      </c>
      <c r="G13" s="52">
        <f t="shared" si="2"/>
        <v>223783048.9521631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" t="s">
        <v>85</v>
      </c>
      <c r="C14" s="49">
        <f>'3'!I9</f>
        <v>7462000</v>
      </c>
      <c r="D14" s="49">
        <f>'3'!I10</f>
        <v>6310504.8774838131</v>
      </c>
      <c r="E14" s="49">
        <f>'3'!I11</f>
        <v>5009315.3890405213</v>
      </c>
      <c r="F14" s="49">
        <f>'3'!I12</f>
        <v>3538971.2670996012</v>
      </c>
      <c r="G14" s="49">
        <f>'3'!I13</f>
        <v>1877482.4093063625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50" t="s">
        <v>86</v>
      </c>
      <c r="C15" s="52">
        <f t="shared" ref="C15:G15" si="3">C13-C14</f>
        <v>1538000</v>
      </c>
      <c r="D15" s="52">
        <f t="shared" si="3"/>
        <v>25019835.122516185</v>
      </c>
      <c r="E15" s="52">
        <f t="shared" si="3"/>
        <v>63855384.420959391</v>
      </c>
      <c r="F15" s="52">
        <f t="shared" si="3"/>
        <v>125437380.21998028</v>
      </c>
      <c r="G15" s="52">
        <f t="shared" si="3"/>
        <v>221905566.54285672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1" t="s">
        <v>87</v>
      </c>
      <c r="C16" s="57">
        <f>IF(C15*'1'!$AB$7&lt;0,0,C15*'1'!$AB$7)</f>
        <v>492160</v>
      </c>
      <c r="D16" s="57">
        <f>IF(D15*'1'!$AB$7&lt;0,0,D15*'1'!$AB$7)</f>
        <v>8006347.2392051797</v>
      </c>
      <c r="E16" s="57">
        <f>IF(E15*'1'!$AB$7&lt;0,0,E15*'1'!$AB$7)</f>
        <v>20433723.014707007</v>
      </c>
      <c r="F16" s="57">
        <f>IF(F15*'1'!$AB$7&lt;0,0,F15*'1'!$AB$7)</f>
        <v>40139961.67039369</v>
      </c>
      <c r="G16" s="57">
        <f>IF(G15*'1'!$AB$7&lt;0,0,G15*'1'!$AB$7)</f>
        <v>71009781.293714151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62" t="s">
        <v>88</v>
      </c>
      <c r="C17" s="63">
        <f>C15-C16</f>
        <v>1045840</v>
      </c>
      <c r="D17" s="63">
        <f t="shared" ref="D17:G17" si="4">D15-D16</f>
        <v>17013487.883311003</v>
      </c>
      <c r="E17" s="63">
        <f t="shared" si="4"/>
        <v>43421661.406252384</v>
      </c>
      <c r="F17" s="63">
        <f t="shared" si="4"/>
        <v>85297418.549586594</v>
      </c>
      <c r="G17" s="63">
        <f t="shared" si="4"/>
        <v>150895785.24914259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36" t="s">
        <v>89</v>
      </c>
      <c r="B19" s="122"/>
      <c r="C19" s="122"/>
      <c r="D19" s="122"/>
      <c r="E19" s="122"/>
      <c r="F19" s="122"/>
      <c r="G19" s="12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">
      <c r="A20" s="1"/>
      <c r="B20" s="64" t="s">
        <v>90</v>
      </c>
      <c r="C20" s="48">
        <f t="shared" ref="C20:G20" si="5">C5</f>
        <v>2021</v>
      </c>
      <c r="D20" s="48">
        <f t="shared" si="5"/>
        <v>2022</v>
      </c>
      <c r="E20" s="48">
        <f t="shared" si="5"/>
        <v>2023</v>
      </c>
      <c r="F20" s="48">
        <f t="shared" si="5"/>
        <v>2024</v>
      </c>
      <c r="G20" s="48">
        <f t="shared" si="5"/>
        <v>2025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37" t="s">
        <v>91</v>
      </c>
      <c r="B21" s="122"/>
      <c r="C21" s="122"/>
      <c r="D21" s="122"/>
      <c r="E21" s="122"/>
      <c r="F21" s="122"/>
      <c r="G21" s="12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92</v>
      </c>
      <c r="B22" s="16">
        <f t="shared" ref="B22:G22" si="6">B38-B26</f>
        <v>116400000</v>
      </c>
      <c r="C22" s="16">
        <f t="shared" si="6"/>
        <v>117280345.21141395</v>
      </c>
      <c r="D22" s="16">
        <f t="shared" si="6"/>
        <v>138953030.4228279</v>
      </c>
      <c r="E22" s="16">
        <f t="shared" si="6"/>
        <v>174678240.32172555</v>
      </c>
      <c r="F22" s="16">
        <f t="shared" si="6"/>
        <v>231679552.59926</v>
      </c>
      <c r="G22" s="16">
        <f t="shared" si="6"/>
        <v>321905566.54285675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93</v>
      </c>
      <c r="B23" s="16">
        <f>'2'!C4</f>
        <v>0</v>
      </c>
      <c r="C23" s="16">
        <f t="shared" ref="C23:G23" si="7">B23</f>
        <v>0</v>
      </c>
      <c r="D23" s="16">
        <f t="shared" si="7"/>
        <v>0</v>
      </c>
      <c r="E23" s="16">
        <f t="shared" si="7"/>
        <v>0</v>
      </c>
      <c r="F23" s="16">
        <f t="shared" si="7"/>
        <v>0</v>
      </c>
      <c r="G23" s="16">
        <f t="shared" si="7"/>
        <v>0</v>
      </c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94</v>
      </c>
      <c r="B24" s="16">
        <f>'2'!C12-'2'!C4</f>
        <v>41000000</v>
      </c>
      <c r="C24" s="16">
        <f t="shared" ref="C24:G24" si="8">B24</f>
        <v>41000000</v>
      </c>
      <c r="D24" s="16">
        <f t="shared" si="8"/>
        <v>41000000</v>
      </c>
      <c r="E24" s="16">
        <f t="shared" si="8"/>
        <v>41000000</v>
      </c>
      <c r="F24" s="16">
        <f t="shared" si="8"/>
        <v>41000000</v>
      </c>
      <c r="G24" s="16">
        <f t="shared" si="8"/>
        <v>41000000</v>
      </c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95</v>
      </c>
      <c r="B25" s="16">
        <v>0</v>
      </c>
      <c r="C25" s="16">
        <f>C12</f>
        <v>8200000</v>
      </c>
      <c r="D25" s="16">
        <f>D12+C12</f>
        <v>16400000</v>
      </c>
      <c r="E25" s="16">
        <f>E12+D12+C12</f>
        <v>24600000</v>
      </c>
      <c r="F25" s="16">
        <f>F12+E12+D12+C12</f>
        <v>32800000</v>
      </c>
      <c r="G25" s="16">
        <f>F25+G12</f>
        <v>41000000</v>
      </c>
      <c r="H25" s="1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96</v>
      </c>
      <c r="B26" s="16">
        <f t="shared" ref="B26:G26" si="9">B23+(B24-B25)</f>
        <v>41000000</v>
      </c>
      <c r="C26" s="16">
        <f t="shared" si="9"/>
        <v>32800000</v>
      </c>
      <c r="D26" s="16">
        <f t="shared" si="9"/>
        <v>24600000</v>
      </c>
      <c r="E26" s="16">
        <f t="shared" si="9"/>
        <v>16400000</v>
      </c>
      <c r="F26" s="16">
        <f t="shared" si="9"/>
        <v>8200000</v>
      </c>
      <c r="G26" s="16">
        <f t="shared" si="9"/>
        <v>0</v>
      </c>
      <c r="H26" s="1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0" t="s">
        <v>97</v>
      </c>
      <c r="B27" s="71">
        <f t="shared" ref="B27:G27" si="10">B22+B26</f>
        <v>157400000</v>
      </c>
      <c r="C27" s="71">
        <f t="shared" si="10"/>
        <v>150080345.21141395</v>
      </c>
      <c r="D27" s="71">
        <f t="shared" si="10"/>
        <v>163553030.4228279</v>
      </c>
      <c r="E27" s="71">
        <f t="shared" si="10"/>
        <v>191078240.32172555</v>
      </c>
      <c r="F27" s="71">
        <f t="shared" si="10"/>
        <v>239879552.59926</v>
      </c>
      <c r="G27" s="71">
        <f t="shared" si="10"/>
        <v>321905566.54285675</v>
      </c>
      <c r="H27" s="1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37" t="s">
        <v>98</v>
      </c>
      <c r="B28" s="122"/>
      <c r="C28" s="122"/>
      <c r="D28" s="122"/>
      <c r="E28" s="122"/>
      <c r="F28" s="122"/>
      <c r="G28" s="12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99</v>
      </c>
      <c r="B29" s="1">
        <v>0</v>
      </c>
      <c r="C29" s="57">
        <f t="shared" ref="C29:G29" si="11">C16</f>
        <v>492160</v>
      </c>
      <c r="D29" s="57">
        <f t="shared" si="11"/>
        <v>8006347.2392051797</v>
      </c>
      <c r="E29" s="57">
        <f t="shared" si="11"/>
        <v>20433723.014707007</v>
      </c>
      <c r="F29" s="57">
        <f t="shared" si="11"/>
        <v>40139961.67039369</v>
      </c>
      <c r="G29" s="57">
        <f t="shared" si="11"/>
        <v>71009781.293714151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100</v>
      </c>
      <c r="B30" s="57">
        <f t="shared" ref="B30:G30" si="12">B29</f>
        <v>0</v>
      </c>
      <c r="C30" s="57">
        <f t="shared" si="12"/>
        <v>492160</v>
      </c>
      <c r="D30" s="57">
        <f t="shared" si="12"/>
        <v>8006347.2392051797</v>
      </c>
      <c r="E30" s="57">
        <f t="shared" si="12"/>
        <v>20433723.014707007</v>
      </c>
      <c r="F30" s="57">
        <f t="shared" si="12"/>
        <v>40139961.67039369</v>
      </c>
      <c r="G30" s="57">
        <f t="shared" si="12"/>
        <v>71009781.293714151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 t="s">
        <v>101</v>
      </c>
      <c r="B31" s="16">
        <f>'3'!J8</f>
        <v>57400000</v>
      </c>
      <c r="C31" s="16">
        <f>'3'!J9</f>
        <v>48542345.211413942</v>
      </c>
      <c r="D31" s="16">
        <f>'3'!J10</f>
        <v>38533195.3003117</v>
      </c>
      <c r="E31" s="16">
        <f>'3'!J11</f>
        <v>27222855.900766164</v>
      </c>
      <c r="F31" s="16">
        <f>'3'!J12</f>
        <v>14442172.37927971</v>
      </c>
      <c r="G31" s="16">
        <f>'3'!J13</f>
        <v>1.6763806343078613E-8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 t="s">
        <v>98</v>
      </c>
      <c r="B32" s="71">
        <f t="shared" ref="B32:G32" si="13">B30+B31</f>
        <v>57400000</v>
      </c>
      <c r="C32" s="71">
        <f t="shared" si="13"/>
        <v>49034505.211413942</v>
      </c>
      <c r="D32" s="71">
        <f t="shared" si="13"/>
        <v>46539542.539516881</v>
      </c>
      <c r="E32" s="71">
        <f t="shared" si="13"/>
        <v>47656578.915473171</v>
      </c>
      <c r="F32" s="71">
        <f t="shared" si="13"/>
        <v>54582134.049673401</v>
      </c>
      <c r="G32" s="71">
        <f t="shared" si="13"/>
        <v>71009781.293714166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37" t="s">
        <v>102</v>
      </c>
      <c r="B33" s="122"/>
      <c r="C33" s="122"/>
      <c r="D33" s="122"/>
      <c r="E33" s="122"/>
      <c r="F33" s="122"/>
      <c r="G33" s="12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 t="s">
        <v>103</v>
      </c>
      <c r="B34" s="16">
        <f>'3'!D15</f>
        <v>100000000</v>
      </c>
      <c r="C34" s="16">
        <f t="shared" ref="C34:G34" si="14">B34</f>
        <v>100000000</v>
      </c>
      <c r="D34" s="16">
        <f t="shared" si="14"/>
        <v>100000000</v>
      </c>
      <c r="E34" s="16">
        <f t="shared" si="14"/>
        <v>100000000</v>
      </c>
      <c r="F34" s="16">
        <f t="shared" si="14"/>
        <v>100000000</v>
      </c>
      <c r="G34" s="16">
        <f t="shared" si="14"/>
        <v>100000000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 t="s">
        <v>104</v>
      </c>
      <c r="B35" s="1">
        <v>0</v>
      </c>
      <c r="C35" s="57">
        <f t="shared" ref="C35:G35" si="15">C17</f>
        <v>1045840</v>
      </c>
      <c r="D35" s="57">
        <f t="shared" si="15"/>
        <v>17013487.883311003</v>
      </c>
      <c r="E35" s="57">
        <f t="shared" si="15"/>
        <v>43421661.406252384</v>
      </c>
      <c r="F35" s="57">
        <f t="shared" si="15"/>
        <v>85297418.549586594</v>
      </c>
      <c r="G35" s="57">
        <f t="shared" si="15"/>
        <v>150895785.24914259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0" t="s">
        <v>105</v>
      </c>
      <c r="B36" s="71">
        <f t="shared" ref="B36:G36" si="16">B34+B35</f>
        <v>100000000</v>
      </c>
      <c r="C36" s="71">
        <f t="shared" si="16"/>
        <v>101045840</v>
      </c>
      <c r="D36" s="71">
        <f t="shared" si="16"/>
        <v>117013487.883311</v>
      </c>
      <c r="E36" s="71">
        <f t="shared" si="16"/>
        <v>143421661.40625238</v>
      </c>
      <c r="F36" s="71">
        <f t="shared" si="16"/>
        <v>185297418.54958659</v>
      </c>
      <c r="G36" s="71">
        <f t="shared" si="16"/>
        <v>250895785.24914259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0" t="s">
        <v>106</v>
      </c>
      <c r="B38" s="71">
        <f t="shared" ref="B38:G38" si="17">B32+B36</f>
        <v>157400000</v>
      </c>
      <c r="C38" s="71">
        <f t="shared" si="17"/>
        <v>150080345.21141395</v>
      </c>
      <c r="D38" s="71">
        <f t="shared" si="17"/>
        <v>163553030.4228279</v>
      </c>
      <c r="E38" s="71">
        <f t="shared" si="17"/>
        <v>191078240.32172555</v>
      </c>
      <c r="F38" s="71">
        <f t="shared" si="17"/>
        <v>239879552.59926</v>
      </c>
      <c r="G38" s="71">
        <f t="shared" si="17"/>
        <v>321905566.54285675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06" t="s">
        <v>107</v>
      </c>
      <c r="B39" s="109">
        <f t="shared" ref="B39:G39" si="18">B27-B38</f>
        <v>0</v>
      </c>
      <c r="C39" s="109">
        <f t="shared" si="18"/>
        <v>0</v>
      </c>
      <c r="D39" s="109">
        <f t="shared" si="18"/>
        <v>0</v>
      </c>
      <c r="E39" s="109">
        <f t="shared" si="18"/>
        <v>0</v>
      </c>
      <c r="F39" s="109">
        <f t="shared" si="18"/>
        <v>0</v>
      </c>
      <c r="G39" s="109">
        <f t="shared" si="18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36" t="s">
        <v>108</v>
      </c>
      <c r="B41" s="122"/>
      <c r="C41" s="122"/>
      <c r="D41" s="122"/>
      <c r="E41" s="122"/>
      <c r="F41" s="122"/>
      <c r="G41" s="12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37" t="s">
        <v>109</v>
      </c>
      <c r="B42" s="122"/>
      <c r="C42" s="122"/>
      <c r="D42" s="122"/>
      <c r="E42" s="122"/>
      <c r="F42" s="122"/>
      <c r="G42" s="12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77"/>
      <c r="B43" s="64" t="s">
        <v>90</v>
      </c>
      <c r="C43" s="48">
        <f t="shared" ref="C43:G43" si="19">C20</f>
        <v>2021</v>
      </c>
      <c r="D43" s="48">
        <f t="shared" si="19"/>
        <v>2022</v>
      </c>
      <c r="E43" s="48">
        <f t="shared" si="19"/>
        <v>2023</v>
      </c>
      <c r="F43" s="48">
        <f t="shared" si="19"/>
        <v>2024</v>
      </c>
      <c r="G43" s="48">
        <f t="shared" si="19"/>
        <v>2025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9" t="s">
        <v>110</v>
      </c>
      <c r="B44" s="79">
        <f t="shared" ref="B44:G44" si="20">B22</f>
        <v>116400000</v>
      </c>
      <c r="C44" s="79">
        <f t="shared" si="20"/>
        <v>117280345.21141395</v>
      </c>
      <c r="D44" s="79">
        <f t="shared" si="20"/>
        <v>138953030.4228279</v>
      </c>
      <c r="E44" s="79">
        <f t="shared" si="20"/>
        <v>174678240.32172555</v>
      </c>
      <c r="F44" s="79">
        <f t="shared" si="20"/>
        <v>231679552.59926</v>
      </c>
      <c r="G44" s="79">
        <f t="shared" si="20"/>
        <v>321905566.54285675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9" t="s">
        <v>111</v>
      </c>
      <c r="B45" s="81">
        <f t="shared" ref="B45:G45" si="21">B29</f>
        <v>0</v>
      </c>
      <c r="C45" s="81">
        <f t="shared" si="21"/>
        <v>492160</v>
      </c>
      <c r="D45" s="81">
        <f t="shared" si="21"/>
        <v>8006347.2392051797</v>
      </c>
      <c r="E45" s="81">
        <f t="shared" si="21"/>
        <v>20433723.014707007</v>
      </c>
      <c r="F45" s="81">
        <f t="shared" si="21"/>
        <v>40139961.67039369</v>
      </c>
      <c r="G45" s="81">
        <f t="shared" si="21"/>
        <v>71009781.293714151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" t="s">
        <v>112</v>
      </c>
      <c r="B46" s="84">
        <f t="shared" ref="B46:G46" si="22">B44-B45</f>
        <v>116400000</v>
      </c>
      <c r="C46" s="84">
        <f t="shared" si="22"/>
        <v>116788185.21141395</v>
      </c>
      <c r="D46" s="84">
        <f t="shared" si="22"/>
        <v>130946683.18362272</v>
      </c>
      <c r="E46" s="84">
        <f t="shared" si="22"/>
        <v>154244517.30701855</v>
      </c>
      <c r="F46" s="84">
        <f t="shared" si="22"/>
        <v>191539590.92886633</v>
      </c>
      <c r="G46" s="84">
        <f t="shared" si="22"/>
        <v>250895785.24914259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9"/>
      <c r="B47" s="79"/>
      <c r="C47" s="79"/>
      <c r="D47" s="79"/>
      <c r="E47" s="79"/>
      <c r="F47" s="79"/>
      <c r="G47" s="7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" t="s">
        <v>113</v>
      </c>
      <c r="B48" s="79">
        <f t="shared" ref="B48:G48" si="23">B26</f>
        <v>41000000</v>
      </c>
      <c r="C48" s="79">
        <f t="shared" si="23"/>
        <v>32800000</v>
      </c>
      <c r="D48" s="79">
        <f t="shared" si="23"/>
        <v>24600000</v>
      </c>
      <c r="E48" s="79">
        <f t="shared" si="23"/>
        <v>16400000</v>
      </c>
      <c r="F48" s="79">
        <f t="shared" si="23"/>
        <v>8200000</v>
      </c>
      <c r="G48" s="79">
        <f t="shared" si="23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9" t="s">
        <v>114</v>
      </c>
      <c r="B49" s="81">
        <f t="shared" ref="B49:G49" si="24">B25</f>
        <v>0</v>
      </c>
      <c r="C49" s="81">
        <f t="shared" si="24"/>
        <v>8200000</v>
      </c>
      <c r="D49" s="81">
        <f t="shared" si="24"/>
        <v>16400000</v>
      </c>
      <c r="E49" s="81">
        <f t="shared" si="24"/>
        <v>24600000</v>
      </c>
      <c r="F49" s="81">
        <f t="shared" si="24"/>
        <v>32800000</v>
      </c>
      <c r="G49" s="81">
        <f t="shared" si="24"/>
        <v>41000000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" t="s">
        <v>115</v>
      </c>
      <c r="B50" s="84">
        <f t="shared" ref="B50:G50" si="25">B48+B49</f>
        <v>41000000</v>
      </c>
      <c r="C50" s="84">
        <f t="shared" si="25"/>
        <v>41000000</v>
      </c>
      <c r="D50" s="84">
        <f t="shared" si="25"/>
        <v>41000000</v>
      </c>
      <c r="E50" s="84">
        <f t="shared" si="25"/>
        <v>41000000</v>
      </c>
      <c r="F50" s="84">
        <f t="shared" si="25"/>
        <v>41000000</v>
      </c>
      <c r="G50" s="84">
        <f t="shared" si="25"/>
        <v>41000000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9"/>
      <c r="B51" s="79"/>
      <c r="C51" s="79"/>
      <c r="D51" s="79"/>
      <c r="E51" s="79"/>
      <c r="F51" s="79"/>
      <c r="G51" s="7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85" t="s">
        <v>116</v>
      </c>
      <c r="B52" s="86">
        <f t="shared" ref="B52:G52" si="26">B46+B48</f>
        <v>157400000</v>
      </c>
      <c r="C52" s="86">
        <f t="shared" si="26"/>
        <v>149588185.21141395</v>
      </c>
      <c r="D52" s="86">
        <f t="shared" si="26"/>
        <v>155546683.18362272</v>
      </c>
      <c r="E52" s="86">
        <f t="shared" si="26"/>
        <v>170644517.30701855</v>
      </c>
      <c r="F52" s="86">
        <f t="shared" si="26"/>
        <v>199739590.92886633</v>
      </c>
      <c r="G52" s="86">
        <f t="shared" si="26"/>
        <v>250895785.24914259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77"/>
      <c r="B53" s="79"/>
      <c r="C53" s="79"/>
      <c r="D53" s="79"/>
      <c r="E53" s="79"/>
      <c r="F53" s="79"/>
      <c r="G53" s="7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38" t="s">
        <v>117</v>
      </c>
      <c r="B54" s="122"/>
      <c r="C54" s="122"/>
      <c r="D54" s="122"/>
      <c r="E54" s="122"/>
      <c r="F54" s="122"/>
      <c r="G54" s="12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9" t="s">
        <v>118</v>
      </c>
      <c r="B55" s="1"/>
      <c r="C55" s="87">
        <f t="shared" ref="C55:G55" si="27">C13</f>
        <v>9000000</v>
      </c>
      <c r="D55" s="87">
        <f t="shared" si="27"/>
        <v>31330340</v>
      </c>
      <c r="E55" s="87">
        <f t="shared" si="27"/>
        <v>68864699.809999913</v>
      </c>
      <c r="F55" s="87">
        <f t="shared" si="27"/>
        <v>128976351.48707989</v>
      </c>
      <c r="G55" s="87">
        <f t="shared" si="27"/>
        <v>223783048.9521631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9" t="s">
        <v>119</v>
      </c>
      <c r="B56" s="1"/>
      <c r="C56" s="88">
        <f>C55*'1'!$AB$7</f>
        <v>2880000</v>
      </c>
      <c r="D56" s="88">
        <f>D55*'1'!$AB$7</f>
        <v>10025708.800000001</v>
      </c>
      <c r="E56" s="88">
        <f>E55*'1'!$AB$7</f>
        <v>22036703.939199973</v>
      </c>
      <c r="F56" s="88">
        <f>F55*'1'!$AB$7</f>
        <v>41272432.475865565</v>
      </c>
      <c r="G56" s="88">
        <f>G55*'1'!$AB$7</f>
        <v>71610575.664692193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" t="s">
        <v>120</v>
      </c>
      <c r="B57" s="1"/>
      <c r="C57" s="87">
        <f t="shared" ref="C57:G57" si="28">C55-C56</f>
        <v>6120000</v>
      </c>
      <c r="D57" s="87">
        <f t="shared" si="28"/>
        <v>21304631.199999999</v>
      </c>
      <c r="E57" s="87">
        <f t="shared" si="28"/>
        <v>46827995.870799944</v>
      </c>
      <c r="F57" s="87">
        <f t="shared" si="28"/>
        <v>87703919.011214316</v>
      </c>
      <c r="G57" s="87">
        <f t="shared" si="28"/>
        <v>152172473.28747091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9" t="s">
        <v>121</v>
      </c>
      <c r="B58" s="1"/>
      <c r="C58" s="88">
        <f t="shared" ref="C58:G58" si="29">C52-B52</f>
        <v>-7811814.7885860503</v>
      </c>
      <c r="D58" s="88">
        <f t="shared" si="29"/>
        <v>5958497.9722087681</v>
      </c>
      <c r="E58" s="88">
        <f t="shared" si="29"/>
        <v>15097834.12339583</v>
      </c>
      <c r="F58" s="88">
        <f t="shared" si="29"/>
        <v>29095073.621847779</v>
      </c>
      <c r="G58" s="88">
        <f t="shared" si="29"/>
        <v>51156194.32027626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0" t="s">
        <v>122</v>
      </c>
      <c r="B59" s="106"/>
      <c r="C59" s="111">
        <f t="shared" ref="C59:G59" si="30">SUM(C57:C58)</f>
        <v>-1691814.7885860503</v>
      </c>
      <c r="D59" s="111">
        <f t="shared" si="30"/>
        <v>27263129.172208767</v>
      </c>
      <c r="E59" s="111">
        <f t="shared" si="30"/>
        <v>61925829.994195774</v>
      </c>
      <c r="F59" s="111">
        <f t="shared" si="30"/>
        <v>116798992.63306209</v>
      </c>
      <c r="G59" s="111">
        <f t="shared" si="30"/>
        <v>203328667.60774717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41:G41"/>
    <mergeCell ref="A42:G42"/>
    <mergeCell ref="A54:G54"/>
    <mergeCell ref="A1:G1"/>
    <mergeCell ref="A2:G2"/>
    <mergeCell ref="A4:G4"/>
    <mergeCell ref="A19:G19"/>
    <mergeCell ref="A21:G21"/>
    <mergeCell ref="A28:G28"/>
    <mergeCell ref="A33:G33"/>
  </mergeCells>
  <conditionalFormatting sqref="C17:G17">
    <cfRule type="cellIs" dxfId="10" priority="1" operator="lessThan">
      <formula>0</formula>
    </cfRule>
  </conditionalFormatting>
  <conditionalFormatting sqref="B22:G22">
    <cfRule type="cellIs" dxfId="9" priority="2" operator="lessThan">
      <formula>0</formula>
    </cfRule>
  </conditionalFormatting>
  <conditionalFormatting sqref="C59:G59">
    <cfRule type="cellIs" dxfId="8" priority="3" operator="lessThan">
      <formula>0</formula>
    </cfRule>
  </conditionalFormatting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zoomScale="60" zoomScaleNormal="60" workbookViewId="0">
      <selection activeCell="N12" sqref="N12"/>
    </sheetView>
  </sheetViews>
  <sheetFormatPr defaultColWidth="12.58203125" defaultRowHeight="15" customHeight="1"/>
  <cols>
    <col min="1" max="1" width="10" customWidth="1"/>
    <col min="2" max="2" width="28.5" customWidth="1"/>
    <col min="3" max="3" width="21.08203125" customWidth="1"/>
    <col min="4" max="4" width="35" customWidth="1"/>
    <col min="5" max="5" width="24.58203125" customWidth="1"/>
    <col min="6" max="6" width="22.58203125" customWidth="1"/>
    <col min="7" max="8" width="18.08203125" customWidth="1"/>
    <col min="9" max="9" width="10" customWidth="1"/>
    <col min="10" max="10" width="10.5" customWidth="1"/>
    <col min="11" max="14" width="10" customWidth="1"/>
    <col min="15" max="15" width="13.33203125" customWidth="1"/>
    <col min="16" max="16" width="18.83203125" customWidth="1"/>
    <col min="17" max="26" width="10" customWidth="1"/>
  </cols>
  <sheetData>
    <row r="1" spans="1:26" ht="14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1"/>
      <c r="B2" s="121" t="s">
        <v>123</v>
      </c>
      <c r="C2" s="122"/>
      <c r="D2" s="122"/>
      <c r="E2" s="122"/>
      <c r="F2" s="122"/>
      <c r="G2" s="121"/>
      <c r="H2" s="1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42" t="s">
        <v>124</v>
      </c>
      <c r="C3" s="122"/>
      <c r="D3" s="122"/>
      <c r="E3" s="143">
        <v>0.1</v>
      </c>
      <c r="F3" s="12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1"/>
      <c r="B4" s="122"/>
      <c r="C4" s="122"/>
      <c r="D4" s="122"/>
      <c r="E4" s="120"/>
      <c r="F4" s="120"/>
      <c r="G4" s="1"/>
      <c r="H4" s="1"/>
      <c r="I4" s="1"/>
      <c r="J4" s="1"/>
      <c r="K4" s="1"/>
      <c r="L4" s="1"/>
      <c r="M4" s="1"/>
      <c r="N4" s="1"/>
      <c r="O4" s="5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53"/>
      <c r="P5" s="5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">
      <c r="A6" s="1"/>
      <c r="B6" s="55" t="s">
        <v>125</v>
      </c>
      <c r="C6" s="56" t="s">
        <v>126</v>
      </c>
      <c r="D6" s="58">
        <f>'4'!C20</f>
        <v>2021</v>
      </c>
      <c r="E6" s="58">
        <f>'4'!D20</f>
        <v>2022</v>
      </c>
      <c r="F6" s="58">
        <f>'4'!E20</f>
        <v>2023</v>
      </c>
      <c r="G6" s="58">
        <f>'4'!F20</f>
        <v>2024</v>
      </c>
      <c r="H6" s="59">
        <f>'4'!G20</f>
        <v>2025</v>
      </c>
      <c r="I6" s="1"/>
      <c r="J6" s="1"/>
      <c r="K6" s="1"/>
      <c r="L6" s="1"/>
      <c r="M6" s="1"/>
      <c r="N6" s="1"/>
      <c r="O6" s="53"/>
      <c r="P6" s="60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>
      <c r="A7" s="1"/>
      <c r="B7" s="61"/>
      <c r="C7" s="112">
        <f>-'3'!D14</f>
        <v>-157400000</v>
      </c>
      <c r="D7" s="112">
        <f>'4'!C59</f>
        <v>-1691814.7885860503</v>
      </c>
      <c r="E7" s="112">
        <f>'4'!D59</f>
        <v>27263129.172208767</v>
      </c>
      <c r="F7" s="112">
        <f>'4'!E59</f>
        <v>61925829.994195774</v>
      </c>
      <c r="G7" s="112">
        <f>'4'!F59</f>
        <v>116798992.63306209</v>
      </c>
      <c r="H7" s="113">
        <f>'4'!G59</f>
        <v>203328667.60774717</v>
      </c>
      <c r="I7" s="1"/>
      <c r="J7" s="1"/>
      <c r="K7" s="1"/>
      <c r="L7" s="1"/>
      <c r="M7" s="1"/>
      <c r="N7" s="1"/>
      <c r="O7" s="53"/>
      <c r="P7" s="6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1"/>
      <c r="C8" s="3">
        <f>C7/(1+$E$3)^0</f>
        <v>-157400000</v>
      </c>
      <c r="D8" s="3">
        <f>D7/(1+$E$3)^1</f>
        <v>-1538013.4441691365</v>
      </c>
      <c r="E8" s="3">
        <f>E7/(1+$E$3)^2</f>
        <v>22531511.712569226</v>
      </c>
      <c r="F8" s="3">
        <f>F7/(1+$E$3)^3</f>
        <v>46525792.63275414</v>
      </c>
      <c r="G8" s="3">
        <f>G7/(1+$E$3)^4</f>
        <v>79775283.54146716</v>
      </c>
      <c r="H8" s="3">
        <f>H7/(1+$E$3)^5</f>
        <v>126251105.30685751</v>
      </c>
      <c r="I8" s="1"/>
      <c r="J8" s="1"/>
      <c r="K8" s="1"/>
      <c r="L8" s="1"/>
      <c r="M8" s="1"/>
      <c r="N8" s="1"/>
      <c r="O8" s="53"/>
      <c r="P8" s="6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5">
      <c r="A9" s="1"/>
      <c r="B9" s="35" t="s">
        <v>127</v>
      </c>
      <c r="C9" s="99"/>
      <c r="D9" s="65">
        <f t="array" ref="D9">NPV(E3,D7:H7)+$C$7</f>
        <v>116145679.74947882</v>
      </c>
      <c r="E9" s="1"/>
      <c r="F9" s="1"/>
      <c r="G9" s="1"/>
      <c r="H9" s="1"/>
      <c r="I9" s="1"/>
      <c r="J9" s="1"/>
      <c r="K9" s="1"/>
      <c r="L9" s="1"/>
      <c r="M9" s="1"/>
      <c r="N9" s="1"/>
      <c r="O9" s="53"/>
      <c r="P9" s="6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">
      <c r="A10" s="1"/>
      <c r="B10" s="66" t="s">
        <v>128</v>
      </c>
      <c r="C10" s="99"/>
      <c r="D10" s="114">
        <f>IF(ISERROR(IRR(C7:H7)),"NO_APLICA",(IRR(C7:H7)))</f>
        <v>0.25950453508124904</v>
      </c>
      <c r="E10" s="1"/>
      <c r="F10" s="67" t="s">
        <v>129</v>
      </c>
      <c r="G10" s="99"/>
      <c r="H10" s="68">
        <f>IF(ISERROR(-C8/AVERAGE(D8:H8)),"NO_APLICA",(-C8/AVERAGE(D8:H8)))</f>
        <v>2.8770331913878429</v>
      </c>
      <c r="I10" s="115" t="s">
        <v>62</v>
      </c>
      <c r="J10" s="1"/>
      <c r="K10" s="1"/>
      <c r="L10" s="1"/>
      <c r="M10" s="1"/>
      <c r="N10" s="1"/>
      <c r="O10" s="1"/>
      <c r="P10" s="69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>
      <c r="A12" s="1"/>
      <c r="B12" s="144" t="s">
        <v>130</v>
      </c>
      <c r="C12" s="120"/>
      <c r="D12" s="120"/>
      <c r="E12" s="120"/>
      <c r="F12" s="120"/>
      <c r="G12" s="120"/>
      <c r="H12" s="1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5">
      <c r="A13" s="1"/>
      <c r="B13" s="70" t="str">
        <f>'1'!B2</f>
        <v>NOMBRE DEL PRODUCTO O SERVICIO</v>
      </c>
      <c r="C13" s="70" t="s">
        <v>131</v>
      </c>
      <c r="D13" s="70" t="s">
        <v>132</v>
      </c>
      <c r="E13" s="70" t="s">
        <v>133</v>
      </c>
      <c r="F13" s="70" t="s">
        <v>134</v>
      </c>
      <c r="G13" s="1"/>
      <c r="H13" s="3"/>
      <c r="I13" s="3"/>
      <c r="J13" s="3" t="s">
        <v>135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9" t="str">
        <f>'1'!B3</f>
        <v>Servicio de acompañamiento al adulto mayor</v>
      </c>
      <c r="C14" s="72">
        <f>'1'!D3-'1'!D17</f>
        <v>20000</v>
      </c>
      <c r="D14" s="73">
        <f>'1'!F3</f>
        <v>1</v>
      </c>
      <c r="E14" s="72">
        <f t="shared" ref="E14:E23" si="0">C14*D14</f>
        <v>20000</v>
      </c>
      <c r="F14" s="74">
        <f t="shared" ref="F14:F23" si="1">$E$27*D14</f>
        <v>9140</v>
      </c>
      <c r="G14" s="19" t="s">
        <v>136</v>
      </c>
      <c r="H14" s="5">
        <f>'1'!D3</f>
        <v>25000</v>
      </c>
      <c r="I14" s="75">
        <f t="shared" ref="I14:I23" si="2">$B$34*D14</f>
        <v>18280</v>
      </c>
      <c r="J14" s="5">
        <f>'1'!D17</f>
        <v>5000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39">
        <f>'1'!B4</f>
        <v>0</v>
      </c>
      <c r="C15" s="72">
        <f>'1'!D4-'1'!D18</f>
        <v>0</v>
      </c>
      <c r="D15" s="73">
        <f>'1'!F4</f>
        <v>0</v>
      </c>
      <c r="E15" s="72">
        <f t="shared" si="0"/>
        <v>0</v>
      </c>
      <c r="F15" s="74">
        <f t="shared" si="1"/>
        <v>0</v>
      </c>
      <c r="G15" s="19" t="str">
        <f t="shared" ref="G15:G24" si="3">G14</f>
        <v>UNIDADES</v>
      </c>
      <c r="H15" s="5">
        <f>'1'!D4</f>
        <v>0</v>
      </c>
      <c r="I15" s="75">
        <f t="shared" si="2"/>
        <v>0</v>
      </c>
      <c r="J15" s="5">
        <f>'1'!D18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39">
        <f>'1'!B5</f>
        <v>0</v>
      </c>
      <c r="C16" s="72">
        <f>'1'!D5-'1'!D19</f>
        <v>0</v>
      </c>
      <c r="D16" s="73">
        <f>'1'!F5</f>
        <v>0</v>
      </c>
      <c r="E16" s="72">
        <f t="shared" si="0"/>
        <v>0</v>
      </c>
      <c r="F16" s="74">
        <f t="shared" si="1"/>
        <v>0</v>
      </c>
      <c r="G16" s="19" t="str">
        <f t="shared" si="3"/>
        <v>UNIDADES</v>
      </c>
      <c r="H16" s="5">
        <f>'1'!D5</f>
        <v>0</v>
      </c>
      <c r="I16" s="75">
        <f t="shared" si="2"/>
        <v>0</v>
      </c>
      <c r="J16" s="5">
        <f>'1'!D19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39">
        <f>'1'!B6</f>
        <v>0</v>
      </c>
      <c r="C17" s="72">
        <f>'1'!D6-'1'!D20</f>
        <v>0</v>
      </c>
      <c r="D17" s="73">
        <f>'1'!F6</f>
        <v>0</v>
      </c>
      <c r="E17" s="72">
        <f t="shared" si="0"/>
        <v>0</v>
      </c>
      <c r="F17" s="74">
        <f t="shared" si="1"/>
        <v>0</v>
      </c>
      <c r="G17" s="19" t="str">
        <f t="shared" si="3"/>
        <v>UNIDADES</v>
      </c>
      <c r="H17" s="5">
        <f>'1'!D6</f>
        <v>0</v>
      </c>
      <c r="I17" s="75">
        <f t="shared" si="2"/>
        <v>0</v>
      </c>
      <c r="J17" s="5">
        <f>'1'!D20</f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39">
        <f>'1'!B7</f>
        <v>0</v>
      </c>
      <c r="C18" s="72">
        <f>'1'!D7-'1'!D21</f>
        <v>0</v>
      </c>
      <c r="D18" s="73">
        <f>'1'!F7</f>
        <v>0</v>
      </c>
      <c r="E18" s="72">
        <f t="shared" si="0"/>
        <v>0</v>
      </c>
      <c r="F18" s="74">
        <f t="shared" si="1"/>
        <v>0</v>
      </c>
      <c r="G18" s="19" t="str">
        <f t="shared" si="3"/>
        <v>UNIDADES</v>
      </c>
      <c r="H18" s="5">
        <f>'1'!D7</f>
        <v>0</v>
      </c>
      <c r="I18" s="75">
        <f t="shared" si="2"/>
        <v>0</v>
      </c>
      <c r="J18" s="5">
        <f>'1'!D21</f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39">
        <f>'1'!B8</f>
        <v>0</v>
      </c>
      <c r="C19" s="72">
        <f>'1'!D8-'1'!D22</f>
        <v>0</v>
      </c>
      <c r="D19" s="73">
        <f>'1'!F8</f>
        <v>0</v>
      </c>
      <c r="E19" s="72">
        <f t="shared" si="0"/>
        <v>0</v>
      </c>
      <c r="F19" s="74">
        <f t="shared" si="1"/>
        <v>0</v>
      </c>
      <c r="G19" s="19" t="str">
        <f t="shared" si="3"/>
        <v>UNIDADES</v>
      </c>
      <c r="H19" s="5">
        <f>'1'!D8</f>
        <v>0</v>
      </c>
      <c r="I19" s="75">
        <f t="shared" si="2"/>
        <v>0</v>
      </c>
      <c r="J19" s="5">
        <f>'1'!D22</f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39">
        <f>'1'!B9</f>
        <v>0</v>
      </c>
      <c r="C20" s="72">
        <f>'1'!D9-'1'!D23</f>
        <v>0</v>
      </c>
      <c r="D20" s="73">
        <f>'1'!F9</f>
        <v>0</v>
      </c>
      <c r="E20" s="72">
        <f t="shared" si="0"/>
        <v>0</v>
      </c>
      <c r="F20" s="74">
        <f t="shared" si="1"/>
        <v>0</v>
      </c>
      <c r="G20" s="19" t="str">
        <f t="shared" si="3"/>
        <v>UNIDADES</v>
      </c>
      <c r="H20" s="5">
        <f>'1'!D9</f>
        <v>0</v>
      </c>
      <c r="I20" s="75">
        <f t="shared" si="2"/>
        <v>0</v>
      </c>
      <c r="J20" s="5">
        <f>'1'!D23</f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39">
        <f>'1'!B10</f>
        <v>0</v>
      </c>
      <c r="C21" s="72">
        <f>'1'!D10-'1'!D24</f>
        <v>0</v>
      </c>
      <c r="D21" s="73">
        <f>'1'!F10</f>
        <v>0</v>
      </c>
      <c r="E21" s="72">
        <f t="shared" si="0"/>
        <v>0</v>
      </c>
      <c r="F21" s="74">
        <f t="shared" si="1"/>
        <v>0</v>
      </c>
      <c r="G21" s="19" t="str">
        <f t="shared" si="3"/>
        <v>UNIDADES</v>
      </c>
      <c r="H21" s="5">
        <f>'1'!D10</f>
        <v>0</v>
      </c>
      <c r="I21" s="75">
        <f t="shared" si="2"/>
        <v>0</v>
      </c>
      <c r="J21" s="5">
        <f>'1'!D24</f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39">
        <f>'1'!B11</f>
        <v>0</v>
      </c>
      <c r="C22" s="72">
        <f>'1'!D11-'1'!D25</f>
        <v>0</v>
      </c>
      <c r="D22" s="73">
        <f>'1'!F11</f>
        <v>0</v>
      </c>
      <c r="E22" s="72">
        <f t="shared" si="0"/>
        <v>0</v>
      </c>
      <c r="F22" s="74">
        <f t="shared" si="1"/>
        <v>0</v>
      </c>
      <c r="G22" s="19" t="str">
        <f t="shared" si="3"/>
        <v>UNIDADES</v>
      </c>
      <c r="H22" s="5">
        <f>'1'!D11</f>
        <v>0</v>
      </c>
      <c r="I22" s="75">
        <f t="shared" si="2"/>
        <v>0</v>
      </c>
      <c r="J22" s="5">
        <f>'1'!D25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9">
        <f>'1'!B12</f>
        <v>0</v>
      </c>
      <c r="C23" s="72">
        <f>'1'!D12-'1'!D26</f>
        <v>0</v>
      </c>
      <c r="D23" s="73">
        <f>'1'!F12</f>
        <v>0</v>
      </c>
      <c r="E23" s="72">
        <f t="shared" si="0"/>
        <v>0</v>
      </c>
      <c r="F23" s="74">
        <f t="shared" si="1"/>
        <v>0</v>
      </c>
      <c r="G23" s="19" t="str">
        <f t="shared" si="3"/>
        <v>UNIDADES</v>
      </c>
      <c r="H23" s="5">
        <f>'1'!D12</f>
        <v>0</v>
      </c>
      <c r="I23" s="75">
        <f t="shared" si="2"/>
        <v>0</v>
      </c>
      <c r="J23" s="5">
        <f>'1'!D26</f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6"/>
      <c r="D24" s="76"/>
      <c r="E24" s="16"/>
      <c r="F24" s="78">
        <f>SUM(F14:F23)</f>
        <v>9140</v>
      </c>
      <c r="G24" s="1" t="str">
        <f t="shared" si="3"/>
        <v>UNIDADES</v>
      </c>
      <c r="H24" s="5"/>
      <c r="I24" s="75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6"/>
      <c r="D25" s="76"/>
      <c r="E25" s="16"/>
      <c r="F25" s="78"/>
      <c r="G25" s="1"/>
      <c r="H25" s="5"/>
      <c r="I25" s="75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41" t="s">
        <v>137</v>
      </c>
      <c r="C26" s="122"/>
      <c r="D26" s="122"/>
      <c r="E26" s="80">
        <f>SUM(E14:E23)</f>
        <v>20000</v>
      </c>
      <c r="F26" s="1"/>
      <c r="G26" s="1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41" t="s">
        <v>138</v>
      </c>
      <c r="C27" s="122"/>
      <c r="D27" s="122"/>
      <c r="E27" s="78">
        <f>IF(E26=0,0,('2'!C23+'2'!F31+'2'!C25)/'5'!E26)</f>
        <v>9140</v>
      </c>
      <c r="F27" s="82" t="s">
        <v>136</v>
      </c>
      <c r="G27" s="1"/>
      <c r="H27" s="8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3"/>
      <c r="C31" s="3" t="s">
        <v>139</v>
      </c>
      <c r="D31" s="3" t="s">
        <v>140</v>
      </c>
      <c r="E31" s="3" t="s">
        <v>141</v>
      </c>
      <c r="F31" s="3" t="s">
        <v>142</v>
      </c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3">
        <v>0</v>
      </c>
      <c r="C32" s="5">
        <f>'2'!C25+'2'!F31+'2'!C23</f>
        <v>182800000</v>
      </c>
      <c r="D32" s="3">
        <f>0</f>
        <v>0</v>
      </c>
      <c r="E32" s="3">
        <v>0</v>
      </c>
      <c r="F32" s="5">
        <f t="shared" ref="F32:F34" si="4">C32+E32</f>
        <v>182800000</v>
      </c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5">
        <f>F24</f>
        <v>9140</v>
      </c>
      <c r="C33" s="5">
        <f t="shared" ref="C33:C34" si="5">C32</f>
        <v>182800000</v>
      </c>
      <c r="D33" s="5">
        <f>SUMPRODUCT(F14:F23,H14:H23)</f>
        <v>228500000</v>
      </c>
      <c r="E33" s="5">
        <f>SUMPRODUCT(F14:F23,J14:J23)</f>
        <v>45700000</v>
      </c>
      <c r="F33" s="5">
        <f t="shared" si="4"/>
        <v>228500000</v>
      </c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5">
        <f>B33*2</f>
        <v>18280</v>
      </c>
      <c r="C34" s="5">
        <f t="shared" si="5"/>
        <v>182800000</v>
      </c>
      <c r="D34" s="5">
        <f t="shared" ref="D34:E34" si="6">SUMPRODUCT(H14:H23,I14:I23)</f>
        <v>457000000</v>
      </c>
      <c r="E34" s="5">
        <f t="shared" si="6"/>
        <v>91400000</v>
      </c>
      <c r="F34" s="5">
        <f t="shared" si="4"/>
        <v>274200000</v>
      </c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3"/>
      <c r="C35" s="5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6:D26"/>
    <mergeCell ref="B27:D27"/>
    <mergeCell ref="B2:F2"/>
    <mergeCell ref="G2:H2"/>
    <mergeCell ref="B3:D4"/>
    <mergeCell ref="E3:F4"/>
    <mergeCell ref="B12:H12"/>
  </mergeCells>
  <conditionalFormatting sqref="D10">
    <cfRule type="containsText" dxfId="7" priority="1" operator="containsText" text="NO_APLICA">
      <formula>NOT(ISERROR(SEARCH(("NO_APLICA"),(D10))))</formula>
    </cfRule>
  </conditionalFormatting>
  <conditionalFormatting sqref="D10">
    <cfRule type="cellIs" dxfId="6" priority="2" operator="lessThan">
      <formula>0</formula>
    </cfRule>
  </conditionalFormatting>
  <conditionalFormatting sqref="D10">
    <cfRule type="cellIs" dxfId="5" priority="3" operator="equal">
      <formula>$E$3</formula>
    </cfRule>
  </conditionalFormatting>
  <conditionalFormatting sqref="D10">
    <cfRule type="cellIs" dxfId="4" priority="4" operator="greaterThan">
      <formula>$E$3</formula>
    </cfRule>
  </conditionalFormatting>
  <conditionalFormatting sqref="D10">
    <cfRule type="cellIs" dxfId="3" priority="5" operator="lessThan">
      <formula>$E$3</formula>
    </cfRule>
  </conditionalFormatting>
  <conditionalFormatting sqref="D9">
    <cfRule type="cellIs" dxfId="2" priority="6" operator="lessThan">
      <formula>0</formula>
    </cfRule>
  </conditionalFormatting>
  <conditionalFormatting sqref="H10">
    <cfRule type="containsText" dxfId="1" priority="7" operator="containsText" text="NO_APLICA">
      <formula>NOT(ISERROR(SEARCH(("NO_APLICA"),(H10))))</formula>
    </cfRule>
  </conditionalFormatting>
  <conditionalFormatting sqref="H10">
    <cfRule type="cellIs" dxfId="0" priority="8" operator="lessThan">
      <formula>0</formula>
    </cfRule>
  </conditionalFormatting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4FB3-DAB3-40C7-938F-54B7CE02A12E}">
  <dimension ref="A1"/>
  <sheetViews>
    <sheetView workbookViewId="0">
      <selection activeCell="E5" sqref="E5:F6"/>
    </sheetView>
  </sheetViews>
  <sheetFormatPr defaultColWidth="9" defaultRowHeight="1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456fa3-feb8-4741-ae39-6b584bf17cce">
      <UserInfo>
        <DisplayName>DAGMAR ALBARRACIN BARRETO</DisplayName>
        <AccountId>19</AccountId>
        <AccountType/>
      </UserInfo>
      <UserInfo>
        <DisplayName>YEIMI GOMEZ RINCON</DisplayName>
        <AccountId>20</AccountId>
        <AccountType/>
      </UserInfo>
      <UserInfo>
        <DisplayName>LEON DARIO PARRA BERNAL</DisplayName>
        <AccountId>16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1BFB4A2916CD498652FBD491C046B9" ma:contentTypeVersion="8" ma:contentTypeDescription="Crear nuevo documento." ma:contentTypeScope="" ma:versionID="e9bb842545346cb426dd3de51a34449d">
  <xsd:schema xmlns:xsd="http://www.w3.org/2001/XMLSchema" xmlns:xs="http://www.w3.org/2001/XMLSchema" xmlns:p="http://schemas.microsoft.com/office/2006/metadata/properties" xmlns:ns2="b80be3ce-31a1-4630-ae72-f480ce37c821" xmlns:ns3="9f456fa3-feb8-4741-ae39-6b584bf17cce" targetNamespace="http://schemas.microsoft.com/office/2006/metadata/properties" ma:root="true" ma:fieldsID="e9072003de975aaa19997892595a62ae" ns2:_="" ns3:_="">
    <xsd:import namespace="b80be3ce-31a1-4630-ae72-f480ce37c821"/>
    <xsd:import namespace="9f456fa3-feb8-4741-ae39-6b584bf17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be3ce-31a1-4630-ae72-f480ce37c8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56fa3-feb8-4741-ae39-6b584bf17cc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C2297-5281-4431-8ACB-94D89EA02B5B}">
  <ds:schemaRefs>
    <ds:schemaRef ds:uri="http://schemas.microsoft.com/office/2006/metadata/properties"/>
    <ds:schemaRef ds:uri="http://schemas.microsoft.com/office/infopath/2007/PartnerControls"/>
    <ds:schemaRef ds:uri="9f456fa3-feb8-4741-ae39-6b584bf17cce"/>
  </ds:schemaRefs>
</ds:datastoreItem>
</file>

<file path=customXml/itemProps2.xml><?xml version="1.0" encoding="utf-8"?>
<ds:datastoreItem xmlns:ds="http://schemas.openxmlformats.org/officeDocument/2006/customXml" ds:itemID="{73565631-CC88-4850-9739-A1885CF2D3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DD9156-F633-48A9-8917-407CF89ED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be3ce-31a1-4630-ae72-f480ce37c821"/>
    <ds:schemaRef ds:uri="9f456fa3-feb8-4741-ae39-6b584bf17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Menú</vt:lpstr>
      <vt:lpstr>1</vt:lpstr>
      <vt:lpstr>2</vt:lpstr>
      <vt:lpstr>3</vt:lpstr>
      <vt:lpstr>4</vt:lpstr>
      <vt:lpstr>5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DARIO PARRA BERNAL</dc:creator>
  <cp:keywords/>
  <dc:description/>
  <cp:lastModifiedBy>Dagmar Albarracin Barreto</cp:lastModifiedBy>
  <cp:revision/>
  <dcterms:created xsi:type="dcterms:W3CDTF">2020-04-23T21:18:55Z</dcterms:created>
  <dcterms:modified xsi:type="dcterms:W3CDTF">2021-03-09T21:50:26Z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0x0101004A1BFB4A2916CD498652FBD491C046B9</vt:lpwstr>
  </property>
</Properties>
</file>