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aalvareza\Downloads\"/>
    </mc:Choice>
  </mc:AlternateContent>
  <xr:revisionPtr revIDLastSave="0" documentId="13_ncr:1_{61FCB5C8-86D7-4D5C-A33A-51AE8B2E60E9}" xr6:coauthVersionLast="47" xr6:coauthVersionMax="47" xr10:uidLastSave="{00000000-0000-0000-0000-000000000000}"/>
  <bookViews>
    <workbookView xWindow="-120" yWindow="-120" windowWidth="20730" windowHeight="11160" tabRatio="703" activeTab="1" xr2:uid="{00000000-000D-0000-FFFF-FFFF00000000}"/>
  </bookViews>
  <sheets>
    <sheet name="Menú" sheetId="7" r:id="rId1"/>
    <sheet name="1" sheetId="1" r:id="rId2"/>
    <sheet name="2" sheetId="4" r:id="rId3"/>
    <sheet name="3" sheetId="3" r:id="rId4"/>
    <sheet name="4" sheetId="5" r:id="rId5"/>
    <sheet name="5" sheetId="6" r:id="rId6"/>
    <sheet name="Hoja1" sheetId="8" r:id="rId7"/>
    <sheet name="Hoja5" sheetId="12" r:id="rId8"/>
    <sheet name="Calculo de la muestra" sheetId="9" r:id="rId9"/>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8" l="1"/>
  <c r="H32" i="8"/>
  <c r="J26" i="8" l="1"/>
  <c r="I26" i="8"/>
  <c r="H28" i="8"/>
  <c r="K16" i="8"/>
  <c r="M20" i="8"/>
  <c r="N20" i="8" s="1"/>
  <c r="O20" i="8" s="1"/>
  <c r="J21" i="8"/>
  <c r="J20" i="8"/>
  <c r="J19" i="8"/>
  <c r="J18" i="8"/>
  <c r="J17" i="8"/>
  <c r="J16" i="8"/>
  <c r="M17" i="8"/>
  <c r="N17" i="8" s="1"/>
  <c r="O17" i="8" s="1"/>
  <c r="M9" i="8"/>
  <c r="O9" i="8"/>
  <c r="K9" i="8"/>
  <c r="I9" i="8"/>
  <c r="E10" i="8"/>
  <c r="D6" i="8" l="1"/>
  <c r="D5" i="8"/>
  <c r="D4" i="8"/>
  <c r="H55" i="6"/>
  <c r="H54" i="6"/>
  <c r="B40" i="6"/>
  <c r="B41" i="6"/>
  <c r="B42" i="6"/>
  <c r="B43" i="6"/>
  <c r="B44" i="6"/>
  <c r="B45" i="6"/>
  <c r="B46" i="6"/>
  <c r="B47" i="6"/>
  <c r="B48" i="6"/>
  <c r="C40" i="6"/>
  <c r="C41" i="6"/>
  <c r="C42" i="6"/>
  <c r="C43" i="6"/>
  <c r="C44" i="6"/>
  <c r="C45" i="6"/>
  <c r="C46" i="6"/>
  <c r="C47" i="6"/>
  <c r="C48" i="6"/>
  <c r="C39" i="6"/>
  <c r="F11" i="5"/>
  <c r="G11" i="5"/>
  <c r="E11" i="5"/>
  <c r="D11" i="5"/>
  <c r="C11" i="5"/>
  <c r="J16" i="6"/>
  <c r="J17" i="6"/>
  <c r="J18" i="6"/>
  <c r="J19" i="6"/>
  <c r="J20" i="6"/>
  <c r="J21" i="6"/>
  <c r="J22" i="6"/>
  <c r="J23" i="6"/>
  <c r="J24" i="6"/>
  <c r="J15" i="6"/>
  <c r="H16" i="6"/>
  <c r="H17" i="6"/>
  <c r="H18" i="6"/>
  <c r="H19" i="6"/>
  <c r="H20" i="6"/>
  <c r="H21" i="6"/>
  <c r="H22" i="6"/>
  <c r="H23" i="6"/>
  <c r="H24" i="6"/>
  <c r="H15" i="6"/>
  <c r="D33" i="6"/>
  <c r="G16" i="6"/>
  <c r="G17" i="6"/>
  <c r="G18" i="6"/>
  <c r="G19" i="6"/>
  <c r="G20" i="6"/>
  <c r="G21" i="6"/>
  <c r="G22" i="6"/>
  <c r="G23" i="6"/>
  <c r="G24" i="6"/>
  <c r="G25" i="6"/>
  <c r="C16" i="6"/>
  <c r="C17" i="6"/>
  <c r="C18" i="6"/>
  <c r="C19" i="6"/>
  <c r="C20" i="6"/>
  <c r="C21" i="6"/>
  <c r="C22" i="6"/>
  <c r="C23" i="6"/>
  <c r="C24" i="6"/>
  <c r="C15" i="6"/>
  <c r="B16" i="6"/>
  <c r="B17" i="6"/>
  <c r="B18" i="6"/>
  <c r="B19" i="6"/>
  <c r="B20" i="6"/>
  <c r="B21" i="6"/>
  <c r="B22" i="6"/>
  <c r="B23" i="6"/>
  <c r="B24" i="6"/>
  <c r="B15" i="6"/>
  <c r="B14" i="6"/>
  <c r="C23" i="4"/>
  <c r="B49" i="5"/>
  <c r="B45" i="5"/>
  <c r="B23" i="5"/>
  <c r="C23" i="5"/>
  <c r="G6" i="4"/>
  <c r="G7" i="4"/>
  <c r="G8" i="4"/>
  <c r="G9" i="4"/>
  <c r="G10" i="4"/>
  <c r="G11" i="4"/>
  <c r="G5" i="4"/>
  <c r="B34" i="5"/>
  <c r="C34" i="5"/>
  <c r="B30" i="5"/>
  <c r="G12" i="4"/>
  <c r="C12" i="5"/>
  <c r="D23" i="5"/>
  <c r="B36" i="5"/>
  <c r="D34" i="5"/>
  <c r="E23" i="5"/>
  <c r="F23" i="5"/>
  <c r="E34" i="5"/>
  <c r="G23" i="5"/>
  <c r="F34" i="5"/>
  <c r="G34" i="5"/>
  <c r="D10" i="3"/>
  <c r="D9" i="3"/>
  <c r="F17" i="4"/>
  <c r="F31" i="4"/>
  <c r="D11" i="3" s="1"/>
  <c r="C10" i="5"/>
  <c r="D10" i="5" s="1"/>
  <c r="E10" i="5" s="1"/>
  <c r="F10" i="5" s="1"/>
  <c r="G10" i="5" s="1"/>
  <c r="C12" i="4"/>
  <c r="C4" i="3"/>
  <c r="B24" i="5"/>
  <c r="C25" i="5"/>
  <c r="C49" i="5"/>
  <c r="D12" i="5"/>
  <c r="R16" i="1"/>
  <c r="S16" i="1"/>
  <c r="V16" i="1"/>
  <c r="W16" i="1"/>
  <c r="G2" i="1"/>
  <c r="B31" i="1"/>
  <c r="C5" i="5" s="1"/>
  <c r="C20" i="5" s="1"/>
  <c r="D7" i="6" s="1"/>
  <c r="P18" i="1"/>
  <c r="P19" i="1"/>
  <c r="Q19" i="1"/>
  <c r="R19" i="1"/>
  <c r="P20" i="1"/>
  <c r="Q20" i="1"/>
  <c r="R20" i="1"/>
  <c r="S20" i="1"/>
  <c r="P21" i="1"/>
  <c r="Q21" i="1"/>
  <c r="R21" i="1"/>
  <c r="P22" i="1"/>
  <c r="P23" i="1"/>
  <c r="P24" i="1"/>
  <c r="P25" i="1"/>
  <c r="Q25" i="1"/>
  <c r="R25" i="1" s="1"/>
  <c r="S25" i="1" s="1"/>
  <c r="P26" i="1"/>
  <c r="Q26" i="1"/>
  <c r="R26" i="1"/>
  <c r="S26" i="1"/>
  <c r="P17" i="1"/>
  <c r="P16" i="1"/>
  <c r="Q16" i="1"/>
  <c r="T16" i="1"/>
  <c r="U16" i="1"/>
  <c r="P4" i="1"/>
  <c r="Q4" i="1"/>
  <c r="R4" i="1" s="1"/>
  <c r="P5" i="1"/>
  <c r="Q5" i="1"/>
  <c r="R5" i="1" s="1"/>
  <c r="P6" i="1"/>
  <c r="Q6" i="1"/>
  <c r="R6" i="1" s="1"/>
  <c r="P7" i="1"/>
  <c r="Q7" i="1"/>
  <c r="P8" i="1"/>
  <c r="Q8" i="1"/>
  <c r="P9" i="1"/>
  <c r="Q9" i="1"/>
  <c r="R9" i="1" s="1"/>
  <c r="P10" i="1"/>
  <c r="Q10" i="1"/>
  <c r="R10" i="1" s="1"/>
  <c r="P11" i="1"/>
  <c r="Q11" i="1"/>
  <c r="R11" i="1" s="1"/>
  <c r="P12" i="1"/>
  <c r="Q12" i="1"/>
  <c r="R12" i="1" s="1"/>
  <c r="P3" i="1"/>
  <c r="Q3" i="1"/>
  <c r="R3" i="1" s="1"/>
  <c r="L4" i="1"/>
  <c r="T4" i="1" s="1"/>
  <c r="L5" i="1"/>
  <c r="M5" i="1" s="1"/>
  <c r="N5" i="1" s="1"/>
  <c r="O5" i="1" s="1"/>
  <c r="L6" i="1"/>
  <c r="M6" i="1" s="1"/>
  <c r="N6" i="1" s="1"/>
  <c r="O6" i="1" s="1"/>
  <c r="L7" i="1"/>
  <c r="M7" i="1" s="1"/>
  <c r="N7" i="1" s="1"/>
  <c r="O7" i="1" s="1"/>
  <c r="L8" i="1"/>
  <c r="M8" i="1" s="1"/>
  <c r="N8" i="1" s="1"/>
  <c r="O8" i="1" s="1"/>
  <c r="L9" i="1"/>
  <c r="L10" i="1"/>
  <c r="M10" i="1"/>
  <c r="N10" i="1"/>
  <c r="O10" i="1"/>
  <c r="L11" i="1"/>
  <c r="M11" i="1"/>
  <c r="N11" i="1"/>
  <c r="O11" i="1"/>
  <c r="L12" i="1"/>
  <c r="M12" i="1"/>
  <c r="N12" i="1"/>
  <c r="O12" i="1"/>
  <c r="L3" i="1"/>
  <c r="M3" i="1" s="1"/>
  <c r="N3" i="1" s="1"/>
  <c r="O3" i="1" s="1"/>
  <c r="D27" i="1"/>
  <c r="E4" i="1"/>
  <c r="E5" i="1"/>
  <c r="E6" i="1"/>
  <c r="E7" i="1"/>
  <c r="E8" i="1"/>
  <c r="E9" i="1"/>
  <c r="E10" i="1"/>
  <c r="E11" i="1"/>
  <c r="E12" i="1"/>
  <c r="E3" i="1"/>
  <c r="B18" i="1"/>
  <c r="B19" i="1"/>
  <c r="B20" i="1"/>
  <c r="B21" i="1"/>
  <c r="B22" i="1"/>
  <c r="B23" i="1"/>
  <c r="B24" i="1"/>
  <c r="B25" i="1"/>
  <c r="B26" i="1"/>
  <c r="B17" i="1"/>
  <c r="C18" i="1"/>
  <c r="E18" i="1"/>
  <c r="C19" i="1"/>
  <c r="E19" i="1"/>
  <c r="C20" i="1"/>
  <c r="E20" i="1"/>
  <c r="C21" i="1"/>
  <c r="L21" i="1"/>
  <c r="M21" i="1" s="1"/>
  <c r="C22" i="1"/>
  <c r="E22" i="1"/>
  <c r="C23" i="1"/>
  <c r="E23" i="1"/>
  <c r="C24" i="1"/>
  <c r="E24" i="1"/>
  <c r="C25" i="1"/>
  <c r="E25" i="1"/>
  <c r="C26" i="1"/>
  <c r="E26" i="1"/>
  <c r="C17" i="1"/>
  <c r="E17" i="1"/>
  <c r="A17" i="1"/>
  <c r="A4" i="1"/>
  <c r="A18" i="1"/>
  <c r="H2" i="1"/>
  <c r="I2" i="1" s="1"/>
  <c r="B28" i="4"/>
  <c r="B26" i="5"/>
  <c r="B48" i="5"/>
  <c r="B50" i="5"/>
  <c r="C24" i="5"/>
  <c r="E12" i="5"/>
  <c r="F12" i="5"/>
  <c r="D25" i="5"/>
  <c r="D49" i="5"/>
  <c r="C31" i="1"/>
  <c r="E10" i="3" s="1"/>
  <c r="L2" i="1"/>
  <c r="L16" i="1" s="1"/>
  <c r="S21" i="1"/>
  <c r="S19" i="1"/>
  <c r="Z3" i="1"/>
  <c r="AA3" i="1" s="1"/>
  <c r="AB3" i="1" s="1"/>
  <c r="AC3" i="1" s="1"/>
  <c r="L19" i="1"/>
  <c r="M19" i="1" s="1"/>
  <c r="L17" i="1"/>
  <c r="M17" i="1" s="1"/>
  <c r="L18" i="1"/>
  <c r="M18" i="1" s="1"/>
  <c r="L23" i="1"/>
  <c r="M23" i="1"/>
  <c r="N23" i="1" s="1"/>
  <c r="Q23" i="1"/>
  <c r="R23" i="1"/>
  <c r="S23" i="1"/>
  <c r="L22" i="1"/>
  <c r="M22" i="1" s="1"/>
  <c r="N22" i="1" s="1"/>
  <c r="A5" i="1"/>
  <c r="A6" i="1"/>
  <c r="A7" i="1"/>
  <c r="A8" i="1"/>
  <c r="A9" i="1"/>
  <c r="A10" i="1"/>
  <c r="A11" i="1"/>
  <c r="A12" i="1"/>
  <c r="A26" i="1"/>
  <c r="E21" i="1"/>
  <c r="E27" i="1"/>
  <c r="F25" i="1" s="1"/>
  <c r="L25" i="1"/>
  <c r="M25" i="1" s="1"/>
  <c r="Q17" i="1"/>
  <c r="R17" i="1"/>
  <c r="S17" i="1"/>
  <c r="L26" i="1"/>
  <c r="M26" i="1"/>
  <c r="L24" i="1"/>
  <c r="T24" i="1" s="1"/>
  <c r="L20" i="1"/>
  <c r="M20" i="1" s="1"/>
  <c r="Q24" i="1"/>
  <c r="R24" i="1" s="1"/>
  <c r="S24" i="1" s="1"/>
  <c r="Q22" i="1"/>
  <c r="R22" i="1"/>
  <c r="S22" i="1"/>
  <c r="Q18" i="1"/>
  <c r="R18" i="1"/>
  <c r="T21" i="1"/>
  <c r="T9" i="1"/>
  <c r="U10" i="1"/>
  <c r="T10" i="1"/>
  <c r="U11" i="1"/>
  <c r="U12" i="1"/>
  <c r="T12" i="1"/>
  <c r="T11" i="1"/>
  <c r="M9" i="1"/>
  <c r="E13" i="1"/>
  <c r="G12" i="5"/>
  <c r="F25" i="5"/>
  <c r="M2" i="1"/>
  <c r="N2" i="1" s="1"/>
  <c r="A21" i="1"/>
  <c r="F24" i="1"/>
  <c r="F22" i="1"/>
  <c r="F17" i="1"/>
  <c r="F4" i="1"/>
  <c r="D16" i="6"/>
  <c r="E16" i="6"/>
  <c r="F5" i="1"/>
  <c r="D17" i="6"/>
  <c r="E17" i="6"/>
  <c r="F9" i="1"/>
  <c r="D21" i="6"/>
  <c r="E21" i="6"/>
  <c r="F3" i="1"/>
  <c r="D15" i="6"/>
  <c r="E15" i="6"/>
  <c r="F6" i="1"/>
  <c r="D18" i="6"/>
  <c r="E18" i="6"/>
  <c r="F10" i="1"/>
  <c r="D22" i="6"/>
  <c r="E22" i="6"/>
  <c r="F7" i="1"/>
  <c r="D19" i="6"/>
  <c r="E19" i="6"/>
  <c r="F11" i="1"/>
  <c r="D23" i="6"/>
  <c r="E23" i="6"/>
  <c r="F8" i="1"/>
  <c r="D20" i="6"/>
  <c r="E20" i="6"/>
  <c r="F12" i="1"/>
  <c r="D24" i="6"/>
  <c r="E24" i="6"/>
  <c r="B33" i="1"/>
  <c r="D8" i="3" s="1"/>
  <c r="B32" i="1"/>
  <c r="C6" i="5"/>
  <c r="U26" i="1"/>
  <c r="N26" i="1"/>
  <c r="N9" i="1"/>
  <c r="D24" i="5"/>
  <c r="C26" i="5"/>
  <c r="C48" i="5"/>
  <c r="C50" i="5"/>
  <c r="E25" i="5"/>
  <c r="E49" i="5"/>
  <c r="S18" i="1"/>
  <c r="A24" i="1"/>
  <c r="A19" i="1"/>
  <c r="U23" i="1"/>
  <c r="T25" i="1"/>
  <c r="A25" i="1"/>
  <c r="A22" i="1"/>
  <c r="T23" i="1"/>
  <c r="A23" i="1"/>
  <c r="A20" i="1"/>
  <c r="T26" i="1"/>
  <c r="G25" i="5"/>
  <c r="M16" i="1"/>
  <c r="E27" i="6"/>
  <c r="E28" i="6"/>
  <c r="F24" i="6" s="1"/>
  <c r="D48" i="6" s="1"/>
  <c r="E48" i="6" s="1"/>
  <c r="F13" i="1"/>
  <c r="O26" i="1"/>
  <c r="W26" i="1"/>
  <c r="V26" i="1"/>
  <c r="O9" i="1"/>
  <c r="E24" i="5"/>
  <c r="F24" i="5"/>
  <c r="D26" i="5"/>
  <c r="D48" i="5"/>
  <c r="D50" i="5"/>
  <c r="F49" i="5"/>
  <c r="G24" i="5"/>
  <c r="G26" i="5"/>
  <c r="F26" i="5"/>
  <c r="E26" i="5"/>
  <c r="E48" i="5"/>
  <c r="E50" i="5"/>
  <c r="G49" i="5"/>
  <c r="G48" i="5"/>
  <c r="G50" i="5"/>
  <c r="F48" i="5"/>
  <c r="F50" i="5"/>
  <c r="D12" i="3" l="1"/>
  <c r="D14" i="3" s="1"/>
  <c r="F17" i="6"/>
  <c r="D41" i="6" s="1"/>
  <c r="E41" i="6" s="1"/>
  <c r="C33" i="6"/>
  <c r="C34" i="6" s="1"/>
  <c r="C35" i="6" s="1"/>
  <c r="C9" i="5"/>
  <c r="D9" i="5" s="1"/>
  <c r="E9" i="5" s="1"/>
  <c r="F9" i="5" s="1"/>
  <c r="G9" i="5" s="1"/>
  <c r="F20" i="6"/>
  <c r="D44" i="6" s="1"/>
  <c r="E44" i="6" s="1"/>
  <c r="T6" i="1"/>
  <c r="T5" i="1"/>
  <c r="T19" i="1"/>
  <c r="U25" i="1"/>
  <c r="N25" i="1"/>
  <c r="V23" i="1"/>
  <c r="O23" i="1"/>
  <c r="W23" i="1" s="1"/>
  <c r="D16" i="3"/>
  <c r="J8" i="3" s="1"/>
  <c r="C8" i="6"/>
  <c r="C9" i="6" s="1"/>
  <c r="F15" i="6"/>
  <c r="F19" i="6"/>
  <c r="D43" i="6" s="1"/>
  <c r="E43" i="6" s="1"/>
  <c r="B34" i="1"/>
  <c r="C7" i="5"/>
  <c r="C8" i="5" s="1"/>
  <c r="C13" i="5" s="1"/>
  <c r="C55" i="5" s="1"/>
  <c r="F20" i="1"/>
  <c r="F26" i="1"/>
  <c r="F21" i="1"/>
  <c r="M24" i="1"/>
  <c r="F21" i="6"/>
  <c r="D45" i="6" s="1"/>
  <c r="E45" i="6" s="1"/>
  <c r="F16" i="6"/>
  <c r="D40" i="6" s="1"/>
  <c r="E40" i="6" s="1"/>
  <c r="F23" i="6"/>
  <c r="D47" i="6" s="1"/>
  <c r="E47" i="6" s="1"/>
  <c r="F23" i="1"/>
  <c r="F18" i="1"/>
  <c r="F22" i="6"/>
  <c r="D46" i="6" s="1"/>
  <c r="E46" i="6" s="1"/>
  <c r="F18" i="6"/>
  <c r="D42" i="6" s="1"/>
  <c r="E42" i="6" s="1"/>
  <c r="F19" i="1"/>
  <c r="T3" i="1"/>
  <c r="T22" i="1"/>
  <c r="T20" i="1"/>
  <c r="T18" i="1"/>
  <c r="T7" i="1"/>
  <c r="T8" i="1"/>
  <c r="M4" i="1"/>
  <c r="N4" i="1" s="1"/>
  <c r="O4" i="1" s="1"/>
  <c r="T17" i="1"/>
  <c r="U19" i="1"/>
  <c r="N19" i="1"/>
  <c r="U21" i="1"/>
  <c r="N21" i="1"/>
  <c r="O22" i="1"/>
  <c r="W22" i="1" s="1"/>
  <c r="V22" i="1"/>
  <c r="U20" i="1"/>
  <c r="N20" i="1"/>
  <c r="U18" i="1"/>
  <c r="N18" i="1"/>
  <c r="U7" i="1"/>
  <c r="U3" i="1"/>
  <c r="U22" i="1"/>
  <c r="U8" i="1"/>
  <c r="U17" i="1"/>
  <c r="N17" i="1"/>
  <c r="S11" i="1"/>
  <c r="W11" i="1" s="1"/>
  <c r="V11" i="1"/>
  <c r="S5" i="1"/>
  <c r="W5" i="1" s="1"/>
  <c r="V5" i="1"/>
  <c r="S9" i="1"/>
  <c r="W9" i="1" s="1"/>
  <c r="V9" i="1"/>
  <c r="S10" i="1"/>
  <c r="W10" i="1" s="1"/>
  <c r="V10" i="1"/>
  <c r="S6" i="1"/>
  <c r="W6" i="1" s="1"/>
  <c r="V6" i="1"/>
  <c r="S4" i="1"/>
  <c r="S3" i="1"/>
  <c r="W3" i="1" s="1"/>
  <c r="V3" i="1"/>
  <c r="S12" i="1"/>
  <c r="W12" i="1" s="1"/>
  <c r="V12" i="1"/>
  <c r="U9" i="1"/>
  <c r="U5" i="1"/>
  <c r="U6" i="1"/>
  <c r="R8" i="1"/>
  <c r="R7" i="1"/>
  <c r="E9" i="3"/>
  <c r="J2" i="1"/>
  <c r="B31" i="4" s="1"/>
  <c r="B30" i="4"/>
  <c r="N16" i="1"/>
  <c r="O2" i="1"/>
  <c r="O16" i="1" s="1"/>
  <c r="C43" i="5"/>
  <c r="D5" i="5"/>
  <c r="D20" i="5" s="1"/>
  <c r="D31" i="1"/>
  <c r="B29" i="4"/>
  <c r="F33" i="6" l="1"/>
  <c r="T13" i="1"/>
  <c r="C32" i="1" s="1"/>
  <c r="D6" i="5" s="1"/>
  <c r="V4" i="1"/>
  <c r="U4" i="1"/>
  <c r="U13" i="1" s="1"/>
  <c r="D32" i="1" s="1"/>
  <c r="W4" i="1"/>
  <c r="F27" i="1"/>
  <c r="D39" i="6"/>
  <c r="E39" i="6" s="1"/>
  <c r="E49" i="6" s="1"/>
  <c r="E29" i="6" s="1"/>
  <c r="E34" i="6"/>
  <c r="F34" i="6" s="1"/>
  <c r="D34" i="6"/>
  <c r="F25" i="6"/>
  <c r="B34" i="6" s="1"/>
  <c r="B35" i="6" s="1"/>
  <c r="V25" i="1"/>
  <c r="O25" i="1"/>
  <c r="W25" i="1" s="1"/>
  <c r="U27" i="1"/>
  <c r="D33" i="1" s="1"/>
  <c r="E7" i="5" s="1"/>
  <c r="T27" i="1"/>
  <c r="C33" i="1" s="1"/>
  <c r="D7" i="5" s="1"/>
  <c r="D8" i="5" s="1"/>
  <c r="D13" i="5" s="1"/>
  <c r="D55" i="5" s="1"/>
  <c r="N24" i="1"/>
  <c r="U24" i="1"/>
  <c r="C56" i="5"/>
  <c r="C57" i="5" s="1"/>
  <c r="F9" i="3"/>
  <c r="G9" i="3" s="1"/>
  <c r="C14" i="5" s="1"/>
  <c r="C15" i="5" s="1"/>
  <c r="C16" i="5" s="1"/>
  <c r="C29" i="5" s="1"/>
  <c r="C45" i="5" s="1"/>
  <c r="B31" i="5"/>
  <c r="B32" i="5" s="1"/>
  <c r="I9" i="3"/>
  <c r="V20" i="1"/>
  <c r="O20" i="1"/>
  <c r="W20" i="1" s="1"/>
  <c r="O21" i="1"/>
  <c r="W21" i="1" s="1"/>
  <c r="V21" i="1"/>
  <c r="V19" i="1"/>
  <c r="O19" i="1"/>
  <c r="W19" i="1" s="1"/>
  <c r="O18" i="1"/>
  <c r="W18" i="1" s="1"/>
  <c r="V18" i="1"/>
  <c r="V17" i="1"/>
  <c r="O17" i="1"/>
  <c r="W17" i="1" s="1"/>
  <c r="S7" i="1"/>
  <c r="W7" i="1" s="1"/>
  <c r="V7" i="1"/>
  <c r="S8" i="1"/>
  <c r="W8" i="1" s="1"/>
  <c r="V8" i="1"/>
  <c r="E5" i="5"/>
  <c r="E20" i="5" s="1"/>
  <c r="E31" i="1"/>
  <c r="E11" i="3"/>
  <c r="E7" i="6"/>
  <c r="D43" i="5"/>
  <c r="H9" i="3" l="1"/>
  <c r="J9" i="3" s="1"/>
  <c r="C34" i="1"/>
  <c r="C31" i="5"/>
  <c r="F10" i="3"/>
  <c r="G10" i="3" s="1"/>
  <c r="D14" i="5" s="1"/>
  <c r="D15" i="5" s="1"/>
  <c r="D16" i="5" s="1"/>
  <c r="D29" i="5" s="1"/>
  <c r="I10" i="3"/>
  <c r="C30" i="5"/>
  <c r="B38" i="5"/>
  <c r="B22" i="5" s="1"/>
  <c r="O24" i="1"/>
  <c r="W24" i="1" s="1"/>
  <c r="V24" i="1"/>
  <c r="V27" i="1" s="1"/>
  <c r="E33" i="1" s="1"/>
  <c r="C17" i="5"/>
  <c r="C35" i="5" s="1"/>
  <c r="C36" i="5" s="1"/>
  <c r="I20" i="6"/>
  <c r="I15" i="6"/>
  <c r="I16" i="6"/>
  <c r="I21" i="6"/>
  <c r="I19" i="6"/>
  <c r="I22" i="6"/>
  <c r="I24" i="6"/>
  <c r="I17" i="6"/>
  <c r="I23" i="6"/>
  <c r="I18" i="6"/>
  <c r="W13" i="1"/>
  <c r="F32" i="1" s="1"/>
  <c r="G6" i="5" s="1"/>
  <c r="V13" i="1"/>
  <c r="E32" i="1" s="1"/>
  <c r="F6" i="5" s="1"/>
  <c r="W27" i="1"/>
  <c r="F33" i="1" s="1"/>
  <c r="G7" i="5" s="1"/>
  <c r="D56" i="5"/>
  <c r="D57" i="5" s="1"/>
  <c r="E6" i="5"/>
  <c r="E8" i="5" s="1"/>
  <c r="E13" i="5" s="1"/>
  <c r="D34" i="1"/>
  <c r="F5" i="5"/>
  <c r="F20" i="5" s="1"/>
  <c r="F31" i="1"/>
  <c r="E12" i="3"/>
  <c r="F7" i="6"/>
  <c r="E43" i="5"/>
  <c r="H10" i="3" l="1"/>
  <c r="J10" i="3" s="1"/>
  <c r="F11" i="3" s="1"/>
  <c r="C32" i="5"/>
  <c r="C38" i="5" s="1"/>
  <c r="C22" i="5" s="1"/>
  <c r="C44" i="5" s="1"/>
  <c r="C46" i="5" s="1"/>
  <c r="C52" i="5" s="1"/>
  <c r="F7" i="5"/>
  <c r="E34" i="1"/>
  <c r="E35" i="6"/>
  <c r="F35" i="6" s="1"/>
  <c r="D35" i="6"/>
  <c r="F8" i="5"/>
  <c r="F13" i="5" s="1"/>
  <c r="F55" i="5" s="1"/>
  <c r="B44" i="5"/>
  <c r="B46" i="5" s="1"/>
  <c r="B52" i="5" s="1"/>
  <c r="B27" i="5"/>
  <c r="F34" i="1"/>
  <c r="G8" i="5"/>
  <c r="G13" i="5" s="1"/>
  <c r="G55" i="5" s="1"/>
  <c r="I11" i="3"/>
  <c r="D31" i="5"/>
  <c r="G11" i="3"/>
  <c r="D17" i="5"/>
  <c r="D35" i="5" s="1"/>
  <c r="D36" i="5" s="1"/>
  <c r="D45" i="5"/>
  <c r="D30" i="5"/>
  <c r="E55" i="5"/>
  <c r="G5" i="5"/>
  <c r="G20" i="5" s="1"/>
  <c r="E13" i="3"/>
  <c r="F43" i="5"/>
  <c r="G7" i="6"/>
  <c r="C27" i="5" l="1"/>
  <c r="C39" i="5" s="1"/>
  <c r="D32" i="5"/>
  <c r="C58" i="5"/>
  <c r="C59" i="5" s="1"/>
  <c r="D8" i="6" s="1"/>
  <c r="D9" i="6" s="1"/>
  <c r="H53" i="6"/>
  <c r="B39" i="5"/>
  <c r="H52" i="6"/>
  <c r="E14" i="5"/>
  <c r="E15" i="5" s="1"/>
  <c r="E16" i="5" s="1"/>
  <c r="E29" i="5" s="1"/>
  <c r="H11" i="3"/>
  <c r="J11" i="3" s="1"/>
  <c r="F12" i="3" s="1"/>
  <c r="E56" i="5"/>
  <c r="E57" i="5" s="1"/>
  <c r="G56" i="5"/>
  <c r="G57" i="5" s="1"/>
  <c r="F56" i="5"/>
  <c r="F57" i="5" s="1"/>
  <c r="D38" i="5"/>
  <c r="D22" i="5" s="1"/>
  <c r="G43" i="5"/>
  <c r="H7" i="6"/>
  <c r="E31" i="5" l="1"/>
  <c r="I12" i="3"/>
  <c r="G12" i="3"/>
  <c r="F14" i="5" s="1"/>
  <c r="F15" i="5" s="1"/>
  <c r="D27" i="5"/>
  <c r="D39" i="5" s="1"/>
  <c r="D44" i="5"/>
  <c r="D46" i="5" s="1"/>
  <c r="D52" i="5" s="1"/>
  <c r="D58" i="5" s="1"/>
  <c r="D59" i="5" s="1"/>
  <c r="E8" i="6" s="1"/>
  <c r="E45" i="5"/>
  <c r="E30" i="5"/>
  <c r="E32" i="5" s="1"/>
  <c r="E17" i="5"/>
  <c r="E35" i="5" s="1"/>
  <c r="E36" i="5" s="1"/>
  <c r="H12" i="3" l="1"/>
  <c r="J12" i="3" s="1"/>
  <c r="I13" i="3" s="1"/>
  <c r="F16" i="5"/>
  <c r="F29" i="5" s="1"/>
  <c r="E38" i="5"/>
  <c r="E22" i="5" s="1"/>
  <c r="E9" i="6"/>
  <c r="F31" i="5" l="1"/>
  <c r="F13" i="3"/>
  <c r="G13" i="3" s="1"/>
  <c r="F45" i="5"/>
  <c r="F30" i="5"/>
  <c r="F17" i="5"/>
  <c r="F35" i="5" s="1"/>
  <c r="F36" i="5" s="1"/>
  <c r="E27" i="5"/>
  <c r="E39" i="5" s="1"/>
  <c r="E44" i="5"/>
  <c r="E46" i="5" s="1"/>
  <c r="E52" i="5" s="1"/>
  <c r="E58" i="5" s="1"/>
  <c r="E59" i="5" s="1"/>
  <c r="F8" i="6" s="1"/>
  <c r="F32" i="5" l="1"/>
  <c r="F38" i="5" s="1"/>
  <c r="F22" i="5" s="1"/>
  <c r="G14" i="5"/>
  <c r="G15" i="5" s="1"/>
  <c r="G16" i="5" s="1"/>
  <c r="G29" i="5" s="1"/>
  <c r="H13" i="3"/>
  <c r="J13" i="3" s="1"/>
  <c r="G31" i="5" s="1"/>
  <c r="F9" i="6"/>
  <c r="F44" i="5" l="1"/>
  <c r="F46" i="5" s="1"/>
  <c r="F52" i="5" s="1"/>
  <c r="F58" i="5" s="1"/>
  <c r="F59" i="5" s="1"/>
  <c r="G8" i="6" s="1"/>
  <c r="G9" i="6" s="1"/>
  <c r="F27" i="5"/>
  <c r="F39" i="5" s="1"/>
  <c r="G17" i="5"/>
  <c r="G35" i="5" s="1"/>
  <c r="G36" i="5" s="1"/>
  <c r="G45" i="5"/>
  <c r="G30" i="5"/>
  <c r="G32" i="5" s="1"/>
  <c r="G38" i="5" l="1"/>
  <c r="G22" i="5" s="1"/>
  <c r="G44" i="5" s="1"/>
  <c r="G46" i="5" s="1"/>
  <c r="G52" i="5" s="1"/>
  <c r="G58" i="5" s="1"/>
  <c r="G59" i="5" s="1"/>
  <c r="H8" i="6" s="1"/>
  <c r="G27" i="5" l="1"/>
  <c r="G39" i="5" s="1"/>
  <c r="H9" i="6"/>
  <c r="H11" i="6" s="1"/>
  <c r="D11" i="6"/>
  <c r="D1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tc={47F59538-A850-4F4B-92C0-9D55EB803B75}</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E7E5914E-DBEE-47EB-9997-1939D56EF98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1D5EE2E9-8EB3-48BA-9802-D9528517C96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7A82DD24-16A4-48A3-90A9-BBDB32EA619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4CB9F15E-A46E-4D39-B0D8-31EE8461B77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5E279675-F3A1-44E2-95A4-FD5D2376059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A8206012-3257-43A1-A53A-66EFDBB48B1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646FC729-0DF2-4930-BB3D-746204EC07D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Z4" authorId="1" shapeId="0" xr:uid="{47F59538-A850-4F4B-92C0-9D55EB803B75}">
      <text>
        <t>[Comentario encadenado]
Su versión de Excel le permite leer este comentario encadenado; sin embargo, las ediciones que se apliquen se quitarán si el archivo se abre en una versión más reciente de Excel. Más información: https://go.microsoft.com/fwlink/?linkid=870924
Comentario:
    Cifra tomada de encuesta de analistas banrep Noviembre 2023.</t>
      </text>
    </comment>
    <comment ref="D5" authorId="0" shapeId="0" xr:uid="{19FC9DCC-481D-4BC1-862C-3C212688CBA8}">
      <text>
        <r>
          <rPr>
            <b/>
            <sz val="9"/>
            <color indexed="81"/>
            <rFont val="Tahoma"/>
            <family val="2"/>
          </rPr>
          <t>DARIO MAURICIO REYES GIRALDO:</t>
        </r>
        <r>
          <rPr>
            <sz val="9"/>
            <color indexed="81"/>
            <rFont val="Tahoma"/>
            <family val="2"/>
          </rPr>
          <t xml:space="preserve">
Digita el precio UNITARIO, sin IVA, de cada pdto/servicio.</t>
        </r>
      </text>
    </comment>
    <comment ref="G5" authorId="0" shapeId="0" xr:uid="{75D29350-9D4E-4691-961B-6361B51DF60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F0192A73-FFBD-4675-87BC-FBC5E2E7776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8AAF1AE4-691B-4767-9B4E-515E9598340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F73FEDAA-7CA9-4D9B-AB5F-3F9FD7014D5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D6" authorId="0" shapeId="0" xr:uid="{4BA8D80A-B266-4735-99DE-2D0E4E25137C}">
      <text>
        <r>
          <rPr>
            <b/>
            <sz val="9"/>
            <color indexed="81"/>
            <rFont val="Tahoma"/>
            <family val="2"/>
          </rPr>
          <t>DARIO MAURICIO REYES GIRALDO:</t>
        </r>
        <r>
          <rPr>
            <sz val="9"/>
            <color indexed="81"/>
            <rFont val="Tahoma"/>
            <family val="2"/>
          </rPr>
          <t xml:space="preserve">
Digita el precio UNITARIO, sin IVA, de cada pdto/servicio.</t>
        </r>
      </text>
    </comment>
    <comment ref="G6" authorId="0" shapeId="0" xr:uid="{786FEBB3-3017-4D71-8619-FD2F459BD0F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F8BEDE44-421F-4DDF-B17F-79778D19A17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ECADAC7D-858A-430D-97F6-08DD623F686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1A8AC969-D676-4812-820A-FD176786894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7" authorId="0" shapeId="0" xr:uid="{A4451C70-1325-4383-BEE1-90CC67A97B4D}">
      <text>
        <r>
          <rPr>
            <b/>
            <sz val="9"/>
            <color indexed="81"/>
            <rFont val="Tahoma"/>
            <family val="2"/>
          </rPr>
          <t>DARIO MAURICIO REYES GIRALDO:</t>
        </r>
        <r>
          <rPr>
            <sz val="9"/>
            <color indexed="81"/>
            <rFont val="Tahoma"/>
            <family val="2"/>
          </rPr>
          <t xml:space="preserve">
Digita el precio UNITARIO, sin IVA, de cada pdto/servicio.</t>
        </r>
      </text>
    </comment>
    <comment ref="G7" authorId="0" shapeId="0" xr:uid="{96848097-B975-4A8D-BEEB-067C5B08E4B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91FA8533-439E-4EB0-9A6C-44E9D3FC1A4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C52A2EDB-10AE-431A-A573-7530BCBA915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FE5E4816-70B0-4FCD-8679-14D6E38A684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8" authorId="0" shapeId="0" xr:uid="{E336BFC2-97F5-4B9F-8FB2-52A7EEEB91D5}">
      <text>
        <r>
          <rPr>
            <b/>
            <sz val="9"/>
            <color indexed="81"/>
            <rFont val="Tahoma"/>
            <family val="2"/>
          </rPr>
          <t>DARIO MAURICIO REYES GIRALDO:</t>
        </r>
        <r>
          <rPr>
            <sz val="9"/>
            <color indexed="81"/>
            <rFont val="Tahoma"/>
            <family val="2"/>
          </rPr>
          <t xml:space="preserve">
Digita el precio UNITARIO, sin IVA, de cada pdto/servicio.</t>
        </r>
      </text>
    </comment>
    <comment ref="G8" authorId="0" shapeId="0" xr:uid="{4EF1A3A7-5C9B-41C1-9A2A-6A7D1C5CE02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39F6A6D9-9321-4FBD-8EDC-6866CA6FC28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F86C218F-871F-4E61-9438-DAC6534DBFD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0116C4DC-B125-4BA6-AD8D-FF7C5933F27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5E6F7603-C7F1-4266-B11A-F00CA62B6FFD}">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9" authorId="0" shapeId="0" xr:uid="{71C991CE-DFA8-4CB0-982B-141A775492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2" authorId="0" shapeId="0" xr:uid="{9CA0B854-A76E-4667-B926-7A4868B6E568}">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<sst xmlns="http://schemas.openxmlformats.org/spreadsheetml/2006/main" count="224" uniqueCount="193">
  <si>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</si>
  <si>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</si>
  <si>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</si>
  <si>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</si>
  <si>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</si>
  <si>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</si>
  <si>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</si>
  <si>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</si>
  <si>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</si>
  <si>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</si>
  <si>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</si>
  <si>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</si>
  <si>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</si>
  <si>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</si>
  <si>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</si>
  <si>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</si>
  <si>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</si>
  <si>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</si>
  <si>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</si>
  <si>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</si>
  <si>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</si>
  <si>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</si>
  <si>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</si>
  <si>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</si>
  <si>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</si>
  <si>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</si>
  <si>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</si>
  <si>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</si>
  <si>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</si>
  <si>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</si>
  <si>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</si>
  <si>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</si>
  <si>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</si>
  <si>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</si>
  <si>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</si>
  <si>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</si>
  <si>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</si>
  <si>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</si>
  <si>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</si>
  <si>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</si>
  <si>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</si>
  <si>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</si>
  <si>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</si>
  <si>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</si>
  <si>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</si>
  <si>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</si>
  <si>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</si>
  <si>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</si>
  <si>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</si>
  <si>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</si>
  <si>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</si>
  <si>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</si>
  <si>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</si>
  <si>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</si>
  <si>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</si>
  <si>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</si>
  <si>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</si>
  <si>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</si>
  <si>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</si>
  <si>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</si>
  <si>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</si>
  <si>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</si>
  <si>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</si>
  <si>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</si>
  <si>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</si>
  <si>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</si>
  <si>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</si>
  <si>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</si>
  <si>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</si>
  <si>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</si>
  <si>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</si>
  <si>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</si>
  <si>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</si>
  <si>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</si>
  <si>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</si>
  <si>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</si>
  <si>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</si>
  <si>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</si>
  <si>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</si>
  <si>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</si>
  <si>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</si>
  <si>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</si>
  <si>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</si>
  <si>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</si>
  <si>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</si>
  <si>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</si>
  <si>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</si>
  <si>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</si>
  <si>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</si>
  <si>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</si>
  <si>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</si>
  <si>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</si>
  <si>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</si>
  <si>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</si>
  <si>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</si>
  <si>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</si>
  <si>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</si>
  <si>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</si>
  <si>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</si>
  <si>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</si>
  <si>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</si>
  <si>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</si>
  <si>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</si>
  <si>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</si>
  <si>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</si>
  <si>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</si>
  <si>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</si>
  <si>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</si>
  <si>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</si>
  <si>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</si>
  <si>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</si>
  <si>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</si>
  <si>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</si>
  <si>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</si>
  <si>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</si>
  <si>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</si>
  <si>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</si>
  <si>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</si>
  <si>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</si>
  <si>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</si>
  <si>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</si>
  <si>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</si>
  <si>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</si>
  <si>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</si>
  <si>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</si>
  <si>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</si>
  <si>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</si>
  <si>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</si>
  <si>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</si>
  <si>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</si>
  <si>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</si>
  <si>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</si>
  <si>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</si>
  <si>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</si>
  <si>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</si>
  <si>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</si>
  <si>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</si>
  <si>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</si>
  <si>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</si>
  <si>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</si>
  <si>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</si>
  <si>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</si>
  <si>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</si>
  <si>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</si>
  <si>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</si>
  <si>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</si>
  <si>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</si>
  <si>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</si>
  <si>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</si>
  <si>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</si>
  <si>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</si>
  <si>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</si>
  <si>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</si>
  <si>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</si>
  <si>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</si>
  <si>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</si>
  <si>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</si>
  <si>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</si>
  <si>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</si>
  <si>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</si>
  <si>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Curso Fundamentos de Ciberseguridad</t>
  </si>
  <si>
    <t>Seguridad de la Información</t>
  </si>
  <si>
    <t>Seguridad de Aplicaciones</t>
  </si>
  <si>
    <t>Gestión de Riesgos de Seguridad</t>
  </si>
  <si>
    <t>Desafios Ilimitado</t>
  </si>
  <si>
    <t>Desafios Limitado Acceso 3 meses</t>
  </si>
  <si>
    <t>Nomina</t>
  </si>
  <si>
    <t>Desarrollador</t>
  </si>
  <si>
    <t>Salario</t>
  </si>
  <si>
    <t>Año</t>
  </si>
  <si>
    <t>Puntuación Total</t>
  </si>
  <si>
    <t xml:space="preserve">Cátedra e-learning         </t>
  </si>
  <si>
    <t xml:space="preserve">Cibernos Colombia S.A.S.   </t>
  </si>
  <si>
    <t xml:space="preserve">Gestionet Colombia S.A.S.  </t>
  </si>
  <si>
    <t>Calificación</t>
  </si>
  <si>
    <t>Calificación Ponderada</t>
  </si>
  <si>
    <t>Innovación (0.30)</t>
  </si>
  <si>
    <t>Competitividad de Precios (0.10)</t>
  </si>
  <si>
    <t>Calidad del Servicio (0.20)</t>
  </si>
  <si>
    <t>Gamesecure</t>
  </si>
  <si>
    <t>Calidad en el contenido (0.15)</t>
  </si>
  <si>
    <t>Velocidad plataforma (0.25)</t>
  </si>
  <si>
    <t>Curso</t>
  </si>
  <si>
    <t>Valor</t>
  </si>
  <si>
    <t>Porcentaje de participacion</t>
  </si>
  <si>
    <t>Acceso limitado</t>
  </si>
  <si>
    <t>Acceso ilimitado</t>
  </si>
  <si>
    <t>Cantidad de empresas</t>
  </si>
  <si>
    <t xml:space="preserve">	Porcentaje de PYMES en Colombia = Total de Empresas en Colombia (5,704,308) / (Total de Pequeñas 81,725 y Medianas Empresas 19,100) = 0.0177 o 1.77%. </t>
  </si>
  <si>
    <t>Director Ejecutivo</t>
  </si>
  <si>
    <t>Director Tecnico</t>
  </si>
  <si>
    <t>Analista de Marketing</t>
  </si>
  <si>
    <t>COSTO UNITARIO DEL PDTO O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</si>
</sst>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164" formatCode="_(* #,##0.00_);_(* \(#,##0.00\);_(* &quot;-&quot;??_);_(@_)"/>
    <numFmt numFmtId="165" formatCode="&quot;$&quot;#,##0.00;[Red]\-&quot;$&quot;#,##0.00"/>
    <numFmt numFmtId="166" formatCode="&quot;$&quot;\ #,##0.00_);[Red]\(&quot;$&quot;\ #,##0.00\)"/>
    <numFmt numFmtId="167" formatCode="_(&quot;$&quot;\ * #,##0.00_);_(&quot;$&quot;\ * \(#,##0.00\);_(&quot;$&quot;\ *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0.000"/>
    <numFmt numFmtId="181" formatCode="0.000%"/>
    <numFmt numFmtId="182" formatCode="_-&quot;$&quot;* #,##0_-;\-&quot;$&quot;* #,##0_-;_-&quot;$&quot;* &quot;-&quot;??_-;_-@_-"/>
  </numFmts>
  <fonts count="58"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b/>
      <sz val="10"/>
      <color theme="1"/>
      <name val="Calibri"/>
      <family val="2"/>
    </font>
    <font>
      <sz val="10"/>
      <color theme="1"/>
      <name val="Calibri"/>
      <family val="2"/>
    </font>
    <font>
      <b/>
      <sz val="9"/>
      <color theme="1"/>
      <name val="Calibri"/>
      <family val="2"/>
    </font>
    <font>
      <b/>
      <sz val="11"/>
      <color theme="0"/>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7"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0" fontId="36" fillId="0" borderId="0" applyNumberFormat="0" applyFill="0" applyBorder="0" applyAlignment="0" applyProtection="0"/>
    <xf numFmtId="0" fontId="20" fillId="0" borderId="0"/>
  </cellStyleXfs>
  <cellXfs count="192">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7"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7" fontId="0" fillId="0" borderId="0" xfId="1" applyFont="1" applyProtection="1">
      <protection hidden="1"/>
    </xf>
    <xf numFmtId="167"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7"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4" fontId="29" fillId="4" borderId="0" xfId="4" applyFont="1" applyFill="1" applyProtection="1">
      <protection locked="0"/>
    </xf>
    <xf numFmtId="177" fontId="29" fillId="4" borderId="0" xfId="4" applyNumberFormat="1" applyFont="1" applyFill="1" applyAlignment="1" applyProtection="1">
      <alignment horizontal="center"/>
      <protection locked="0"/>
    </xf>
    <xf numFmtId="167"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7" fontId="2" fillId="0" borderId="1" xfId="0" applyNumberFormat="1" applyFont="1" applyBorder="1" applyProtection="1">
      <protection hidden="1"/>
    </xf>
    <xf numFmtId="167" fontId="0" fillId="5" borderId="0" xfId="0" applyNumberFormat="1" applyFill="1" applyProtection="1">
      <protection hidden="1"/>
    </xf>
    <xf numFmtId="0" fontId="18" fillId="0" borderId="0" xfId="0" applyFont="1" applyProtection="1">
      <protection hidden="1"/>
    </xf>
    <xf numFmtId="167" fontId="18" fillId="0" borderId="0" xfId="0" applyNumberFormat="1" applyFont="1" applyProtection="1">
      <protection hidden="1"/>
    </xf>
    <xf numFmtId="0" fontId="7" fillId="0" borderId="0" xfId="0" applyFont="1" applyProtection="1">
      <protection hidden="1"/>
    </xf>
    <xf numFmtId="167"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7" fontId="21" fillId="5" borderId="0" xfId="0" applyNumberFormat="1" applyFont="1" applyFill="1" applyProtection="1">
      <protection hidden="1"/>
    </xf>
    <xf numFmtId="167"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7" fontId="6" fillId="0" borderId="0" xfId="0" applyNumberFormat="1" applyFont="1" applyProtection="1">
      <protection hidden="1"/>
    </xf>
    <xf numFmtId="9" fontId="6" fillId="0" borderId="0" xfId="0" applyNumberFormat="1" applyFont="1" applyProtection="1">
      <protection hidden="1"/>
    </xf>
    <xf numFmtId="164" fontId="6" fillId="0" borderId="0" xfId="0" applyNumberFormat="1" applyFont="1" applyProtection="1">
      <protection hidden="1"/>
    </xf>
    <xf numFmtId="164"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4" fontId="35" fillId="0" borderId="0" xfId="4" applyFont="1" applyProtection="1">
      <protection hidden="1"/>
    </xf>
    <xf numFmtId="167" fontId="35" fillId="0" borderId="0" xfId="1" applyFont="1" applyProtection="1">
      <protection hidden="1"/>
    </xf>
    <xf numFmtId="0" fontId="2" fillId="0" borderId="0" xfId="0" applyFont="1" applyProtection="1">
      <protection hidden="1"/>
    </xf>
    <xf numFmtId="164"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5" fontId="0" fillId="0" borderId="0" xfId="0" applyNumberFormat="1" applyProtection="1">
      <protection hidden="1"/>
    </xf>
    <xf numFmtId="0" fontId="20" fillId="0" borderId="0" xfId="6"/>
    <xf numFmtId="178" fontId="20" fillId="0" borderId="0" xfId="6" applyNumberFormat="1"/>
    <xf numFmtId="165"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166"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18" fillId="4" borderId="0" xfId="0" applyFont="1" applyFill="1" applyProtection="1">
      <protection locked="0" hidden="1"/>
    </xf>
    <xf numFmtId="0" fontId="51" fillId="0" borderId="0" xfId="0" applyFont="1" applyProtection="1">
      <protection hidden="1"/>
    </xf>
    <xf numFmtId="167" fontId="18" fillId="0" borderId="0" xfId="1" applyFont="1" applyProtection="1">
      <protection hidden="1"/>
    </xf>
    <xf numFmtId="0" fontId="18" fillId="0" borderId="0" xfId="0" applyFont="1" applyAlignment="1" applyProtection="1">
      <alignment horizontal="center"/>
      <protection hidden="1"/>
    </xf>
    <xf numFmtId="167"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175" fontId="29" fillId="4" borderId="0" xfId="4" applyNumberFormat="1" applyFont="1" applyFill="1" applyProtection="1">
      <protection locked="0"/>
    </xf>
    <xf numFmtId="0" fontId="55" fillId="0" borderId="0" xfId="0" applyFont="1" applyAlignment="1">
      <alignment horizontal="center" vertical="center"/>
    </xf>
    <xf numFmtId="0" fontId="54" fillId="0" borderId="0" xfId="0" applyFont="1" applyAlignment="1">
      <alignment horizontal="left" vertical="center"/>
    </xf>
    <xf numFmtId="180" fontId="0" fillId="0" borderId="0" xfId="0" applyNumberFormat="1"/>
    <xf numFmtId="164" fontId="55" fillId="0" borderId="0" xfId="0" applyNumberFormat="1" applyFont="1" applyAlignment="1">
      <alignment horizontal="center" vertical="center"/>
    </xf>
    <xf numFmtId="0" fontId="55" fillId="0" borderId="0" xfId="0" applyFont="1" applyAlignment="1">
      <alignment vertical="center"/>
    </xf>
    <xf numFmtId="164" fontId="55" fillId="0" borderId="0" xfId="4" applyFont="1" applyBorder="1" applyAlignment="1">
      <alignment vertical="center"/>
    </xf>
    <xf numFmtId="164" fontId="55" fillId="0" borderId="0" xfId="0" applyNumberFormat="1" applyFont="1" applyAlignment="1">
      <alignment vertical="center"/>
    </xf>
    <xf numFmtId="0" fontId="2" fillId="0" borderId="0" xfId="0" applyFont="1" applyAlignment="1">
      <alignment horizontal="center"/>
    </xf>
    <xf numFmtId="0" fontId="2" fillId="0" borderId="0" xfId="0" applyFont="1" applyAlignment="1">
      <alignment horizontal="center" wrapText="1"/>
    </xf>
    <xf numFmtId="0" fontId="56" fillId="0" borderId="0" xfId="0" applyFont="1" applyAlignment="1">
      <alignment horizontal="right" vertical="center"/>
    </xf>
    <xf numFmtId="2" fontId="55" fillId="0" borderId="0" xfId="0" applyNumberFormat="1" applyFont="1" applyAlignment="1">
      <alignment horizontal="right" vertical="center"/>
    </xf>
    <xf numFmtId="0" fontId="55" fillId="0" borderId="0" xfId="0" applyFont="1" applyAlignment="1">
      <alignment horizontal="right" vertical="center"/>
    </xf>
    <xf numFmtId="2" fontId="0" fillId="0" borderId="0" xfId="0" applyNumberFormat="1"/>
    <xf numFmtId="2" fontId="55" fillId="0" borderId="0" xfId="0" applyNumberFormat="1" applyFont="1" applyAlignment="1">
      <alignment vertical="center"/>
    </xf>
    <xf numFmtId="0" fontId="2" fillId="0" borderId="0" xfId="0" applyFont="1"/>
    <xf numFmtId="6" fontId="0" fillId="0" borderId="0" xfId="0" applyNumberFormat="1"/>
    <xf numFmtId="169" fontId="0" fillId="0" borderId="0" xfId="1" applyNumberFormat="1" applyFont="1"/>
    <xf numFmtId="9" fontId="0" fillId="0" borderId="0" xfId="2" applyFont="1"/>
    <xf numFmtId="164" fontId="0" fillId="0" borderId="0" xfId="4" applyFont="1"/>
    <xf numFmtId="175" fontId="0" fillId="0" borderId="0" xfId="4" applyNumberFormat="1" applyFont="1"/>
    <xf numFmtId="181" fontId="0" fillId="0" borderId="0" xfId="2" applyNumberFormat="1" applyFont="1"/>
    <xf numFmtId="1" fontId="0" fillId="0" borderId="0" xfId="0" applyNumberFormat="1"/>
    <xf numFmtId="182" fontId="6" fillId="0" borderId="0" xfId="0" applyNumberFormat="1" applyFont="1" applyProtection="1">
      <protection hidden="1"/>
    </xf>
    <xf numFmtId="182" fontId="6" fillId="0" borderId="0" xfId="0" applyNumberFormat="1" applyFont="1"/>
    <xf numFmtId="182" fontId="6" fillId="0" borderId="14" xfId="0" applyNumberFormat="1" applyFont="1" applyBorder="1"/>
    <xf numFmtId="182" fontId="6" fillId="0" borderId="14" xfId="0" applyNumberFormat="1" applyFont="1" applyBorder="1" applyProtection="1">
      <protection hidden="1"/>
    </xf>
    <xf numFmtId="182" fontId="6" fillId="0" borderId="3" xfId="0" applyNumberFormat="1" applyFont="1" applyBorder="1" applyProtection="1">
      <protection hidden="1"/>
    </xf>
    <xf numFmtId="182" fontId="6" fillId="0" borderId="12" xfId="0" applyNumberFormat="1" applyFont="1" applyBorder="1" applyProtection="1">
      <protection hidden="1"/>
    </xf>
    <xf numFmtId="0" fontId="57" fillId="0" borderId="0" xfId="0" applyFont="1" applyAlignment="1" applyProtection="1">
      <alignment horizontal="center"/>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4" fillId="0" borderId="0" xfId="0" applyFont="1" applyAlignment="1">
      <alignment horizontal="center" vertical="center"/>
    </xf>
    <xf numFmtId="0" fontId="54" fillId="0" borderId="0" xfId="0" applyFont="1" applyAlignment="1">
      <alignment horizontal="center" vertical="center" wrapText="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3393.8798780331558</c:v>
                </c:pt>
                <c:pt idx="2">
                  <c:v>6787.7597560663116</c:v>
                </c:pt>
              </c:numCache>
            </c:numRef>
          </c:cat>
          <c:val>
            <c:numRef>
              <c:f>'5'!$C$33:$C$35</c:f>
              <c:numCache>
                <c:formatCode>_("$"\ * #,##0.00_);_("$"\ * \(#,##0.00\);_("$"\ * "-"??_);_(@_)</c:formatCode>
                <c:ptCount val="3"/>
                <c:pt idx="0">
                  <c:v>197000000</c:v>
                </c:pt>
                <c:pt idx="1">
                  <c:v>197000000</c:v>
                </c:pt>
                <c:pt idx="2">
                  <c:v>197000000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3393.8798780331558</c:v>
                </c:pt>
                <c:pt idx="2">
                  <c:v>6787.7597560663116</c:v>
                </c:pt>
              </c:numCache>
            </c:numRef>
          </c:cat>
          <c:val>
            <c:numRef>
              <c:f>'5'!$D$33:$D$35</c:f>
              <c:numCache>
                <c:formatCode>_("$"\ * #,##0.00_);_("$"\ * \(#,##0.00\);_("$"\ * "-"??_);_(@_)</c:formatCode>
                <c:ptCount val="3"/>
                <c:pt idx="0" formatCode="General">
                  <c:v>0</c:v>
                </c:pt>
                <c:pt idx="1">
                  <c:v>237246009.17313656</c:v>
                </c:pt>
                <c:pt idx="2">
                  <c:v>474492018.34627312</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3393.8798780331558</c:v>
                </c:pt>
                <c:pt idx="2">
                  <c:v>6787.7597560663116</c:v>
                </c:pt>
              </c:numCache>
            </c:numRef>
          </c:cat>
          <c:val>
            <c:numRef>
              <c:f>'5'!$F$33:$F$35</c:f>
              <c:numCache>
                <c:formatCode>_("$"\ * #,##0.00_);_("$"\ * \(#,##0.00\);_("$"\ * "-"??_);_(@_)</c:formatCode>
                <c:ptCount val="3"/>
                <c:pt idx="0">
                  <c:v>197000000</c:v>
                </c:pt>
                <c:pt idx="1">
                  <c:v>237246009.17313653</c:v>
                </c:pt>
                <c:pt idx="2">
                  <c:v>277492018.34627306</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150674</xdr:colOff>
      <xdr:row>4</xdr:row>
      <xdr:rowOff>119062</xdr:rowOff>
    </xdr:from>
    <xdr:to>
      <xdr:col>14</xdr:col>
      <xdr:colOff>640104</xdr:colOff>
      <xdr:row>34</xdr:row>
      <xdr:rowOff>175463</xdr:rowOff>
    </xdr:to>
    <xdr:pic>
      <xdr:nvPicPr>
        <xdr:cNvPr id="3" name="Imagen 2">
          <a:extLst>
            <a:ext uri="{FF2B5EF4-FFF2-40B4-BE49-F238E27FC236}">
              <a16:creationId xmlns:a16="http://schemas.microsoft.com/office/drawing/2014/main" id="{2FDFD164-897E-4C9A-97AC-A97BC75F2DF8}"/>
            </a:ext>
          </a:extLst>
        </xdr:cNvPr>
        <xdr:cNvPicPr>
          <a:picLocks noChangeAspect="1"/>
        </xdr:cNvPicPr>
      </xdr:nvPicPr>
      <xdr:blipFill>
        <a:blip xmlns:r="http://schemas.openxmlformats.org/officeDocument/2006/relationships" r:embed="rId1"/>
        <a:stretch>
          <a:fillRect/>
        </a:stretch>
      </xdr:blipFill>
      <xdr:spPr>
        <a:xfrm>
          <a:off x="150674" y="881062"/>
          <a:ext cx="11157430" cy="577140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ejandro Alvarez Alonso" id="{EA7CE9E8-E3E7-49C8-A8FA-F6236FB64AED}" userId="S::aalvareza@colpensiones.gov.co::0bcbd5ba-79cc-410a-ba61-fb548490375e"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4" dT="2023-11-21T21:57:08.11" personId="{EA7CE9E8-E3E7-49C8-A8FA-F6236FB64AED}" id="{47F59538-A850-4F4B-92C0-9D55EB803B75}">
    <text>Cifra tomada de encuesta de analistas banrep Noviembre 2023.</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G23:H23"/>
  <sheetViews>
    <sheetView showGridLines="0" showRowColHeaders="0" view="pageBreakPreview" zoomScaleNormal="100" zoomScaleSheetLayoutView="100" workbookViewId="0"/>
  </sheetViews>
  <sheetFormatPr baseColWidth="10" defaultColWidth="10.7109375" defaultRowHeight="15" x14ac:dyDescent="0.25"/>
  <sheetData>
    <row r="23" spans="7:8" ht="20.25" x14ac:dyDescent="0.3">
      <c r="G23" s="166" t="s">
        <v>135</v>
      </c>
      <c r="H23" s="166"/>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topLeftCell="A7" zoomScale="80" zoomScaleNormal="80" workbookViewId="0">
      <selection activeCell="C31" sqref="C31"/>
    </sheetView>
  </sheetViews>
  <sheetFormatPr baseColWidth="10" defaultColWidth="11.42578125" defaultRowHeight="15" x14ac:dyDescent="0.25"/>
  <cols>
    <col min="1" max="1" width="30" style="8" customWidth="1"/>
    <col min="2" max="2" width="34.5703125" style="8" bestFit="1"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6" width="9.42578125" style="8" bestFit="1" customWidth="1"/>
    <col min="27" max="27" width="9.85546875" style="8" bestFit="1" customWidth="1"/>
    <col min="28" max="28" width="11.42578125" style="8" bestFit="1" customWidth="1"/>
    <col min="29" max="29" width="9.42578125" style="8" bestFit="1" customWidth="1"/>
    <col min="30" max="16384" width="11.42578125" style="8"/>
  </cols>
  <sheetData>
    <row r="1" spans="1:29" ht="30.75" customHeight="1" x14ac:dyDescent="0.35">
      <c r="A1" s="168" t="s">
        <v>5</v>
      </c>
      <c r="B1" s="168"/>
      <c r="C1" s="168"/>
      <c r="D1" s="168"/>
      <c r="E1" s="168"/>
      <c r="G1" s="169" t="s">
        <v>12</v>
      </c>
      <c r="H1" s="169"/>
      <c r="I1" s="169"/>
      <c r="J1" s="169"/>
      <c r="P1" s="8" t="s">
        <v>16</v>
      </c>
      <c r="Y1" s="15" t="s">
        <v>9</v>
      </c>
      <c r="Z1" s="50">
        <v>2024</v>
      </c>
      <c r="AA1" s="16"/>
    </row>
    <row r="2" spans="1:29" ht="32.25" customHeight="1" thickBot="1" x14ac:dyDescent="0.4">
      <c r="A2" s="73"/>
      <c r="B2" s="17" t="s">
        <v>4</v>
      </c>
      <c r="C2" s="18" t="s">
        <v>0</v>
      </c>
      <c r="D2" s="17" t="s">
        <v>7</v>
      </c>
      <c r="E2" s="18" t="s">
        <v>1</v>
      </c>
      <c r="F2" s="19" t="s">
        <v>27</v>
      </c>
      <c r="G2" s="20">
        <f>'1'!Z1+1</f>
        <v>2025</v>
      </c>
      <c r="H2" s="20">
        <f>G2+1</f>
        <v>2026</v>
      </c>
      <c r="I2" s="20">
        <f t="shared" ref="I2:J2" si="0">H2+1</f>
        <v>2027</v>
      </c>
      <c r="J2" s="20">
        <f t="shared" si="0"/>
        <v>2028</v>
      </c>
      <c r="L2" s="8">
        <f>G2</f>
        <v>2025</v>
      </c>
      <c r="M2" s="8">
        <f>H2</f>
        <v>2026</v>
      </c>
      <c r="N2" s="8">
        <f>M2+1</f>
        <v>2027</v>
      </c>
      <c r="O2" s="8">
        <f>N2+1</f>
        <v>2028</v>
      </c>
      <c r="P2" s="8" t="s">
        <v>13</v>
      </c>
      <c r="Q2" s="8" t="s">
        <v>11</v>
      </c>
      <c r="R2" s="8" t="s">
        <v>23</v>
      </c>
      <c r="S2" s="8" t="s">
        <v>24</v>
      </c>
      <c r="T2" s="8" t="s">
        <v>17</v>
      </c>
      <c r="U2" s="8" t="s">
        <v>18</v>
      </c>
      <c r="V2" s="8" t="s">
        <v>25</v>
      </c>
      <c r="W2" s="8" t="s">
        <v>26</v>
      </c>
      <c r="Y2" s="16"/>
      <c r="Z2" s="16"/>
      <c r="AA2" s="16"/>
    </row>
    <row r="3" spans="1:29" ht="24" thickBot="1" x14ac:dyDescent="0.4">
      <c r="A3" s="165">
        <v>1</v>
      </c>
      <c r="B3" s="13" t="s">
        <v>164</v>
      </c>
      <c r="C3" s="136">
        <v>2000</v>
      </c>
      <c r="D3" s="14">
        <v>58823.529411764706</v>
      </c>
      <c r="E3" s="22">
        <f>C3*D3</f>
        <v>117647058.82352941</v>
      </c>
      <c r="F3" s="23">
        <f>IF($E$13=0,0,E3/$E$13)</f>
        <v>0.24778761061946905</v>
      </c>
      <c r="G3" s="120">
        <v>0.1</v>
      </c>
      <c r="H3" s="120">
        <v>0.1</v>
      </c>
      <c r="I3" s="120">
        <v>0.1</v>
      </c>
      <c r="J3" s="120">
        <v>0.1</v>
      </c>
      <c r="K3" s="24"/>
      <c r="L3" s="8">
        <f t="shared" ref="L3:L12" si="1">C3*(1+G3)</f>
        <v>2200</v>
      </c>
      <c r="M3" s="8">
        <f>L3*(1+H3)</f>
        <v>2420</v>
      </c>
      <c r="N3" s="8">
        <f t="shared" ref="N3:O3" si="2">M3*(1+I3)</f>
        <v>2662</v>
      </c>
      <c r="O3" s="8">
        <f t="shared" si="2"/>
        <v>2928.2000000000003</v>
      </c>
      <c r="P3" s="25">
        <f>D3*(1+'1'!$Z$4)</f>
        <v>61117.647058823524</v>
      </c>
      <c r="Q3" s="25">
        <f>P3*(1+'1'!$AA$4)</f>
        <v>62951.176470588231</v>
      </c>
      <c r="R3" s="25">
        <f>Q3*(1+'1'!$AB$4)</f>
        <v>64839.711764705877</v>
      </c>
      <c r="S3" s="25">
        <f>R3*(1+'1'!$AC$4)</f>
        <v>66784.90311764706</v>
      </c>
      <c r="T3" s="26">
        <f>L3*P3</f>
        <v>134458823.52941176</v>
      </c>
      <c r="U3" s="26">
        <f>M3*Q3</f>
        <v>152341847.05882353</v>
      </c>
      <c r="V3" s="26">
        <f>N3*R3</f>
        <v>172603312.71764705</v>
      </c>
      <c r="W3" s="26">
        <f>O3*S3</f>
        <v>195559553.30909413</v>
      </c>
      <c r="X3" s="26"/>
      <c r="Y3" s="27" t="s">
        <v>10</v>
      </c>
      <c r="Z3" s="28">
        <f>G2</f>
        <v>2025</v>
      </c>
      <c r="AA3" s="28">
        <f>Z3+1</f>
        <v>2026</v>
      </c>
      <c r="AB3" s="28">
        <f t="shared" ref="AB3:AC3" si="3">AA3+1</f>
        <v>2027</v>
      </c>
      <c r="AC3" s="29">
        <f t="shared" si="3"/>
        <v>2028</v>
      </c>
    </row>
    <row r="4" spans="1:29" ht="23.25" x14ac:dyDescent="0.35">
      <c r="A4" s="165">
        <f>A3+1</f>
        <v>2</v>
      </c>
      <c r="B4" s="13" t="s">
        <v>165</v>
      </c>
      <c r="C4" s="136">
        <v>2000</v>
      </c>
      <c r="D4" s="14">
        <v>29411.764705882353</v>
      </c>
      <c r="E4" s="22">
        <f t="shared" ref="E4:E12" si="4">C4*D4</f>
        <v>58823529.411764704</v>
      </c>
      <c r="F4" s="23">
        <f t="shared" ref="F4:F12" si="5">IF($E$13=0,0,E4/$E$13)</f>
        <v>0.12389380530973453</v>
      </c>
      <c r="G4" s="120">
        <v>0.1</v>
      </c>
      <c r="H4" s="120">
        <v>0.1</v>
      </c>
      <c r="I4" s="120">
        <v>0.1</v>
      </c>
      <c r="J4" s="120">
        <v>0.1</v>
      </c>
      <c r="K4" s="24"/>
      <c r="L4" s="8">
        <f t="shared" si="1"/>
        <v>2200</v>
      </c>
      <c r="M4" s="8">
        <f t="shared" ref="M4:M12" si="6">L4*(1+H4)</f>
        <v>2420</v>
      </c>
      <c r="N4" s="8">
        <f t="shared" ref="N4:N12" si="7">M4*(1+I4)</f>
        <v>2662</v>
      </c>
      <c r="O4" s="8">
        <f t="shared" ref="O4:O12" si="8">N4*(1+J4)</f>
        <v>2928.2000000000003</v>
      </c>
      <c r="P4" s="25">
        <f>D4*(1+'1'!$Z$4)</f>
        <v>30558.823529411762</v>
      </c>
      <c r="Q4" s="25">
        <f>P4*(1+'1'!$AA$4)</f>
        <v>31475.588235294115</v>
      </c>
      <c r="R4" s="25">
        <f>Q4*(1+'1'!$AB$4)</f>
        <v>32419.855882352938</v>
      </c>
      <c r="S4" s="25">
        <f>R4*(1+'1'!$AC$4)</f>
        <v>33392.45155882353</v>
      </c>
      <c r="T4" s="26">
        <f t="shared" ref="T4:T12" si="9">L4*P4</f>
        <v>67229411.764705881</v>
      </c>
      <c r="U4" s="26">
        <f t="shared" ref="U4:U12" si="10">M4*Q4</f>
        <v>76170923.529411763</v>
      </c>
      <c r="V4" s="26">
        <f t="shared" ref="V4:V12" si="11">N4*R4</f>
        <v>86301656.358823523</v>
      </c>
      <c r="W4" s="26">
        <f t="shared" ref="W4:W12" si="12">O4*S4</f>
        <v>97779776.654547065</v>
      </c>
      <c r="X4" s="26"/>
      <c r="Y4" s="122" t="s">
        <v>14</v>
      </c>
      <c r="Z4" s="51">
        <v>3.9E-2</v>
      </c>
      <c r="AA4" s="51">
        <v>0.03</v>
      </c>
      <c r="AB4" s="51">
        <v>0.03</v>
      </c>
      <c r="AC4" s="51">
        <v>0.03</v>
      </c>
    </row>
    <row r="5" spans="1:29" ht="24" thickBot="1" x14ac:dyDescent="0.4">
      <c r="A5" s="165">
        <f t="shared" ref="A5:A12" si="13">A4+1</f>
        <v>3</v>
      </c>
      <c r="B5" s="13" t="s">
        <v>160</v>
      </c>
      <c r="C5" s="136">
        <v>1500</v>
      </c>
      <c r="D5" s="14">
        <v>42016.806722689078</v>
      </c>
      <c r="E5" s="22">
        <f t="shared" si="4"/>
        <v>63025210.084033616</v>
      </c>
      <c r="F5" s="23">
        <f t="shared" si="5"/>
        <v>0.13274336283185842</v>
      </c>
      <c r="G5" s="120">
        <v>0.1</v>
      </c>
      <c r="H5" s="120">
        <v>0.1</v>
      </c>
      <c r="I5" s="120">
        <v>0.1</v>
      </c>
      <c r="J5" s="120">
        <v>0.1</v>
      </c>
      <c r="K5" s="24"/>
      <c r="L5" s="8">
        <f t="shared" si="1"/>
        <v>1650.0000000000002</v>
      </c>
      <c r="M5" s="8">
        <f t="shared" si="6"/>
        <v>1815.0000000000005</v>
      </c>
      <c r="N5" s="8">
        <f t="shared" si="7"/>
        <v>1996.5000000000007</v>
      </c>
      <c r="O5" s="8">
        <f t="shared" si="8"/>
        <v>2196.150000000001</v>
      </c>
      <c r="P5" s="25">
        <f>D5*(1+'1'!$Z$4)</f>
        <v>43655.462184873948</v>
      </c>
      <c r="Q5" s="25">
        <f>P5*(1+'1'!$AA$4)</f>
        <v>44965.126050420171</v>
      </c>
      <c r="R5" s="25">
        <f>Q5*(1+'1'!$AB$4)</f>
        <v>46314.079831932781</v>
      </c>
      <c r="S5" s="25">
        <f>R5*(1+'1'!$AC$4)</f>
        <v>47703.502226890763</v>
      </c>
      <c r="T5" s="26">
        <f t="shared" si="9"/>
        <v>72031512.605042025</v>
      </c>
      <c r="U5" s="26">
        <f t="shared" si="10"/>
        <v>81611703.781512633</v>
      </c>
      <c r="V5" s="26">
        <f t="shared" si="11"/>
        <v>92466060.384453833</v>
      </c>
      <c r="W5" s="26">
        <f t="shared" si="12"/>
        <v>104764046.4155862</v>
      </c>
      <c r="X5" s="26"/>
      <c r="Y5" s="123" t="s">
        <v>15</v>
      </c>
      <c r="Z5" s="52">
        <v>0.08</v>
      </c>
      <c r="AA5" s="52">
        <v>0.06</v>
      </c>
      <c r="AB5" s="52">
        <v>7.0000000000000007E-2</v>
      </c>
      <c r="AC5" s="53">
        <v>0.06</v>
      </c>
    </row>
    <row r="6" spans="1:29" ht="15.75" thickBot="1" x14ac:dyDescent="0.3">
      <c r="A6" s="165">
        <f t="shared" si="13"/>
        <v>4</v>
      </c>
      <c r="B6" s="13" t="s">
        <v>161</v>
      </c>
      <c r="C6" s="136">
        <v>1000</v>
      </c>
      <c r="D6" s="14">
        <v>126050.42016806723</v>
      </c>
      <c r="E6" s="22">
        <f t="shared" si="4"/>
        <v>126050420.16806723</v>
      </c>
      <c r="F6" s="23">
        <f t="shared" si="5"/>
        <v>0.26548672566371684</v>
      </c>
      <c r="G6" s="120">
        <v>0.1</v>
      </c>
      <c r="H6" s="120">
        <v>0.1</v>
      </c>
      <c r="I6" s="120">
        <v>0.1</v>
      </c>
      <c r="J6" s="120">
        <v>0.1</v>
      </c>
      <c r="K6" s="24"/>
      <c r="L6" s="8">
        <f t="shared" si="1"/>
        <v>1100</v>
      </c>
      <c r="M6" s="8">
        <f t="shared" si="6"/>
        <v>1210</v>
      </c>
      <c r="N6" s="8">
        <f t="shared" si="7"/>
        <v>1331</v>
      </c>
      <c r="O6" s="8">
        <f t="shared" si="8"/>
        <v>1464.1000000000001</v>
      </c>
      <c r="P6" s="25">
        <f>D6*(1+'1'!$Z$4)</f>
        <v>130966.38655462184</v>
      </c>
      <c r="Q6" s="25">
        <f>P6*(1+'1'!$AA$4)</f>
        <v>134895.37815126049</v>
      </c>
      <c r="R6" s="25">
        <f>Q6*(1+'1'!$AB$4)</f>
        <v>138942.23949579831</v>
      </c>
      <c r="S6" s="25">
        <f>R6*(1+'1'!$AC$4)</f>
        <v>143110.50668067226</v>
      </c>
      <c r="T6" s="26">
        <f t="shared" si="9"/>
        <v>144063025.21008402</v>
      </c>
      <c r="U6" s="26">
        <f t="shared" si="10"/>
        <v>163223407.56302521</v>
      </c>
      <c r="V6" s="26">
        <f t="shared" si="11"/>
        <v>184932120.76890755</v>
      </c>
      <c r="W6" s="26">
        <f t="shared" si="12"/>
        <v>209528092.83117229</v>
      </c>
      <c r="X6" s="26"/>
    </row>
    <row r="7" spans="1:29" ht="24" thickBot="1" x14ac:dyDescent="0.4">
      <c r="A7" s="165">
        <f t="shared" si="13"/>
        <v>5</v>
      </c>
      <c r="B7" s="13" t="s">
        <v>162</v>
      </c>
      <c r="C7" s="136">
        <v>1000</v>
      </c>
      <c r="D7" s="14">
        <v>50420.168067226892</v>
      </c>
      <c r="E7" s="22">
        <f t="shared" si="4"/>
        <v>50420168.067226894</v>
      </c>
      <c r="F7" s="23">
        <f t="shared" si="5"/>
        <v>0.10619469026548675</v>
      </c>
      <c r="G7" s="120">
        <v>0.1</v>
      </c>
      <c r="H7" s="120">
        <v>0.1</v>
      </c>
      <c r="I7" s="120">
        <v>0.1</v>
      </c>
      <c r="J7" s="120">
        <v>0.1</v>
      </c>
      <c r="K7" s="24"/>
      <c r="L7" s="8">
        <f t="shared" si="1"/>
        <v>1100</v>
      </c>
      <c r="M7" s="8">
        <f t="shared" si="6"/>
        <v>1210</v>
      </c>
      <c r="N7" s="8">
        <f t="shared" si="7"/>
        <v>1331</v>
      </c>
      <c r="O7" s="8">
        <f t="shared" si="8"/>
        <v>1464.1000000000001</v>
      </c>
      <c r="P7" s="25">
        <f>D7*(1+'1'!$Z$4)</f>
        <v>52386.554621848736</v>
      </c>
      <c r="Q7" s="25">
        <f>P7*(1+'1'!$AA$4)</f>
        <v>53958.151260504201</v>
      </c>
      <c r="R7" s="25">
        <f>Q7*(1+'1'!$AB$4)</f>
        <v>55576.895798319325</v>
      </c>
      <c r="S7" s="25">
        <f>R7*(1+'1'!$AC$4)</f>
        <v>57244.202672268904</v>
      </c>
      <c r="T7" s="26">
        <f t="shared" si="9"/>
        <v>57625210.084033608</v>
      </c>
      <c r="U7" s="26">
        <f t="shared" si="10"/>
        <v>65289363.025210083</v>
      </c>
      <c r="V7" s="26">
        <f t="shared" si="11"/>
        <v>73972848.307563022</v>
      </c>
      <c r="W7" s="26">
        <f t="shared" si="12"/>
        <v>83811237.132468909</v>
      </c>
      <c r="X7" s="26"/>
      <c r="Y7" s="30" t="s">
        <v>91</v>
      </c>
      <c r="Z7" s="31"/>
      <c r="AA7" s="31"/>
      <c r="AB7" s="54">
        <v>0.34</v>
      </c>
      <c r="AC7" s="32"/>
    </row>
    <row r="8" spans="1:29" x14ac:dyDescent="0.25">
      <c r="A8" s="165">
        <f t="shared" si="13"/>
        <v>6</v>
      </c>
      <c r="B8" s="13" t="s">
        <v>163</v>
      </c>
      <c r="C8" s="136">
        <v>1000</v>
      </c>
      <c r="D8" s="14">
        <v>58823.529411764706</v>
      </c>
      <c r="E8" s="22">
        <f t="shared" si="4"/>
        <v>58823529.411764704</v>
      </c>
      <c r="F8" s="23">
        <f t="shared" si="5"/>
        <v>0.12389380530973453</v>
      </c>
      <c r="G8" s="120">
        <v>0.1</v>
      </c>
      <c r="H8" s="120">
        <v>0.1</v>
      </c>
      <c r="I8" s="120">
        <v>0.1</v>
      </c>
      <c r="J8" s="120">
        <v>0.1</v>
      </c>
      <c r="K8" s="24"/>
      <c r="L8" s="8">
        <f t="shared" si="1"/>
        <v>1100</v>
      </c>
      <c r="M8" s="8">
        <f t="shared" si="6"/>
        <v>1210</v>
      </c>
      <c r="N8" s="8">
        <f t="shared" si="7"/>
        <v>1331</v>
      </c>
      <c r="O8" s="8">
        <f t="shared" si="8"/>
        <v>1464.1000000000001</v>
      </c>
      <c r="P8" s="25">
        <f>D8*(1+'1'!$Z$4)</f>
        <v>61117.647058823524</v>
      </c>
      <c r="Q8" s="25">
        <f>P8*(1+'1'!$AA$4)</f>
        <v>62951.176470588231</v>
      </c>
      <c r="R8" s="25">
        <f>Q8*(1+'1'!$AB$4)</f>
        <v>64839.711764705877</v>
      </c>
      <c r="S8" s="25">
        <f>R8*(1+'1'!$AC$4)</f>
        <v>66784.90311764706</v>
      </c>
      <c r="T8" s="26">
        <f t="shared" si="9"/>
        <v>67229411.764705881</v>
      </c>
      <c r="U8" s="26">
        <f t="shared" si="10"/>
        <v>76170923.529411763</v>
      </c>
      <c r="V8" s="26">
        <f t="shared" si="11"/>
        <v>86301656.358823523</v>
      </c>
      <c r="W8" s="26">
        <f t="shared" si="12"/>
        <v>97779776.654547065</v>
      </c>
      <c r="X8" s="26"/>
    </row>
    <row r="9" spans="1:29" x14ac:dyDescent="0.25">
      <c r="A9" s="165">
        <f t="shared" si="13"/>
        <v>7</v>
      </c>
      <c r="B9" s="13"/>
      <c r="C9" s="55">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5">
      <c r="A10" s="165">
        <f t="shared" si="13"/>
        <v>8</v>
      </c>
      <c r="B10" s="13"/>
      <c r="C10" s="55">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5">
      <c r="A11" s="165">
        <f t="shared" si="13"/>
        <v>9</v>
      </c>
      <c r="B11" s="13"/>
      <c r="C11" s="55">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5">
      <c r="A12" s="165">
        <f t="shared" si="13"/>
        <v>10</v>
      </c>
      <c r="B12" s="13"/>
      <c r="C12" s="55">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8</v>
      </c>
      <c r="E13" s="33">
        <f>SUM(E3:E12)</f>
        <v>474789915.9663865</v>
      </c>
      <c r="F13" s="34">
        <f>SUM(F3:F12)</f>
        <v>1.0000000000000002</v>
      </c>
      <c r="T13" s="35">
        <f>SUM(T3:T12)</f>
        <v>542637394.95798314</v>
      </c>
      <c r="U13" s="35">
        <f>SUM(U3:U12)</f>
        <v>614808168.48739505</v>
      </c>
      <c r="V13" s="35">
        <f>SUM(V3:V12)</f>
        <v>696577654.89621854</v>
      </c>
      <c r="W13" s="35">
        <f>SUM(W3:W12)</f>
        <v>789222482.99741566</v>
      </c>
      <c r="X13" s="26"/>
    </row>
    <row r="15" spans="1:29" ht="23.25" customHeight="1" x14ac:dyDescent="0.25">
      <c r="A15" s="168" t="s">
        <v>6</v>
      </c>
      <c r="B15" s="168"/>
      <c r="C15" s="168"/>
      <c r="D15" s="168"/>
      <c r="E15" s="168"/>
      <c r="G15" s="36"/>
    </row>
    <row r="16" spans="1:29" ht="25.5" customHeight="1" x14ac:dyDescent="0.25">
      <c r="B16" s="17" t="s">
        <v>3</v>
      </c>
      <c r="C16" s="37" t="s">
        <v>0</v>
      </c>
      <c r="D16" s="114" t="s">
        <v>137</v>
      </c>
      <c r="E16" s="18" t="s">
        <v>2</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165">
        <f>A3</f>
        <v>1</v>
      </c>
      <c r="B17" s="94" t="str">
        <f>B3</f>
        <v>Desafios Ilimitado</v>
      </c>
      <c r="C17" s="39">
        <f>C3</f>
        <v>2000</v>
      </c>
      <c r="D17" s="14">
        <v>10000</v>
      </c>
      <c r="E17" s="22">
        <f>C17*D17</f>
        <v>20000000</v>
      </c>
      <c r="F17" s="23">
        <f>IF($E$27=0,0,E17/$E$27)</f>
        <v>0.21052631578947367</v>
      </c>
      <c r="L17" s="8">
        <f t="shared" ref="L17:L26" si="15">C17*(1+G3)</f>
        <v>2200</v>
      </c>
      <c r="M17" s="8">
        <f>L17*(1+H3)</f>
        <v>2420</v>
      </c>
      <c r="N17" s="8">
        <f t="shared" ref="N17:O17" si="16">M17*(1+I3)</f>
        <v>2662</v>
      </c>
      <c r="O17" s="8">
        <f t="shared" si="16"/>
        <v>2928.2000000000003</v>
      </c>
      <c r="P17" s="40">
        <f>D17*(1+'1'!$Z$5)</f>
        <v>10800</v>
      </c>
      <c r="Q17" s="25">
        <f>P17*(1+'1'!$AA$5)</f>
        <v>11448</v>
      </c>
      <c r="R17" s="25">
        <f>Q17*(1+'1'!$AB$5)</f>
        <v>12249.36</v>
      </c>
      <c r="S17" s="25">
        <f>R17*(1+'1'!$AC$5)</f>
        <v>12984.321600000001</v>
      </c>
      <c r="T17" s="40">
        <f t="shared" ref="T17:U19" si="17">L17*P17</f>
        <v>23760000</v>
      </c>
      <c r="U17" s="26">
        <f t="shared" si="17"/>
        <v>27704160</v>
      </c>
      <c r="V17" s="26">
        <f t="shared" ref="V17:W17" si="18">N17*R17</f>
        <v>32607796.32</v>
      </c>
      <c r="W17" s="26">
        <f t="shared" si="18"/>
        <v>38020690.50912001</v>
      </c>
      <c r="X17" s="26"/>
    </row>
    <row r="18" spans="1:24" x14ac:dyDescent="0.25">
      <c r="A18" s="165">
        <f t="shared" ref="A18:B25" si="19">A4</f>
        <v>2</v>
      </c>
      <c r="B18" s="41" t="str">
        <f t="shared" si="19"/>
        <v>Desafios Limitado Acceso 3 meses</v>
      </c>
      <c r="C18" s="39">
        <f t="shared" ref="C18:C26" si="20">C4</f>
        <v>2000</v>
      </c>
      <c r="D18" s="14">
        <v>10000</v>
      </c>
      <c r="E18" s="22">
        <f t="shared" ref="E18:E26" si="21">C18*D18</f>
        <v>20000000</v>
      </c>
      <c r="F18" s="23">
        <f t="shared" ref="F18:F26" si="22">IF($E$27=0,0,E18/$E$27)</f>
        <v>0.21052631578947367</v>
      </c>
      <c r="L18" s="8">
        <f t="shared" si="15"/>
        <v>2200</v>
      </c>
      <c r="M18" s="8">
        <f t="shared" ref="M18:M26" si="23">L18*(1+H4)</f>
        <v>2420</v>
      </c>
      <c r="N18" s="8">
        <f t="shared" ref="N18:N26" si="24">M18*(1+I4)</f>
        <v>2662</v>
      </c>
      <c r="O18" s="8">
        <f t="shared" ref="O18:O26" si="25">N18*(1+J4)</f>
        <v>2928.2000000000003</v>
      </c>
      <c r="P18" s="40">
        <f>D18*(1+'1'!$Z$5)</f>
        <v>10800</v>
      </c>
      <c r="Q18" s="25">
        <f>P18*(1+'1'!$AA$5)</f>
        <v>11448</v>
      </c>
      <c r="R18" s="25">
        <f>Q18*(1+'1'!$AB$5)</f>
        <v>12249.36</v>
      </c>
      <c r="S18" s="25">
        <f>R18*(1+'1'!$AC$5)</f>
        <v>12984.321600000001</v>
      </c>
      <c r="T18" s="40">
        <f t="shared" si="17"/>
        <v>23760000</v>
      </c>
      <c r="U18" s="26">
        <f t="shared" si="17"/>
        <v>27704160</v>
      </c>
      <c r="V18" s="26">
        <f t="shared" ref="V18:V26" si="26">N18*R18</f>
        <v>32607796.32</v>
      </c>
      <c r="W18" s="26">
        <f t="shared" ref="W18:W26" si="27">O18*S18</f>
        <v>38020690.50912001</v>
      </c>
      <c r="X18" s="26"/>
    </row>
    <row r="19" spans="1:24" x14ac:dyDescent="0.25">
      <c r="A19" s="165">
        <f t="shared" si="19"/>
        <v>3</v>
      </c>
      <c r="B19" s="41" t="str">
        <f t="shared" si="19"/>
        <v>Curso Fundamentos de Ciberseguridad</v>
      </c>
      <c r="C19" s="39">
        <f t="shared" si="20"/>
        <v>1500</v>
      </c>
      <c r="D19" s="14">
        <v>10000</v>
      </c>
      <c r="E19" s="22">
        <f t="shared" si="21"/>
        <v>15000000</v>
      </c>
      <c r="F19" s="23">
        <f t="shared" si="22"/>
        <v>0.15789473684210525</v>
      </c>
      <c r="L19" s="8">
        <f t="shared" si="15"/>
        <v>1650.0000000000002</v>
      </c>
      <c r="M19" s="8">
        <f t="shared" si="23"/>
        <v>1815.0000000000005</v>
      </c>
      <c r="N19" s="8">
        <f t="shared" si="24"/>
        <v>1996.5000000000007</v>
      </c>
      <c r="O19" s="8">
        <f t="shared" si="25"/>
        <v>2196.150000000001</v>
      </c>
      <c r="P19" s="40">
        <f>D19*(1+'1'!$Z$5)</f>
        <v>10800</v>
      </c>
      <c r="Q19" s="25">
        <f>P19*(1+'1'!$AA$5)</f>
        <v>11448</v>
      </c>
      <c r="R19" s="25">
        <f>Q19*(1+'1'!$AB$5)</f>
        <v>12249.36</v>
      </c>
      <c r="S19" s="25">
        <f>R19*(1+'1'!$AC$5)</f>
        <v>12984.321600000001</v>
      </c>
      <c r="T19" s="40">
        <f t="shared" si="17"/>
        <v>17820000.000000004</v>
      </c>
      <c r="U19" s="26">
        <f t="shared" si="17"/>
        <v>20778120.000000004</v>
      </c>
      <c r="V19" s="26">
        <f t="shared" si="26"/>
        <v>24455847.24000001</v>
      </c>
      <c r="W19" s="26">
        <f t="shared" si="27"/>
        <v>28515517.881840017</v>
      </c>
      <c r="X19" s="26"/>
    </row>
    <row r="20" spans="1:24" x14ac:dyDescent="0.25">
      <c r="A20" s="165">
        <f t="shared" si="19"/>
        <v>4</v>
      </c>
      <c r="B20" s="41" t="str">
        <f t="shared" si="19"/>
        <v>Seguridad de la Información</v>
      </c>
      <c r="C20" s="39">
        <f t="shared" si="20"/>
        <v>1000</v>
      </c>
      <c r="D20" s="14">
        <v>15000</v>
      </c>
      <c r="E20" s="22">
        <f t="shared" si="21"/>
        <v>15000000</v>
      </c>
      <c r="F20" s="23">
        <f t="shared" si="22"/>
        <v>0.15789473684210525</v>
      </c>
      <c r="L20" s="8">
        <f t="shared" si="15"/>
        <v>1100</v>
      </c>
      <c r="M20" s="8">
        <f t="shared" si="23"/>
        <v>1210</v>
      </c>
      <c r="N20" s="8">
        <f t="shared" si="24"/>
        <v>1331</v>
      </c>
      <c r="O20" s="8">
        <f t="shared" si="25"/>
        <v>1464.1000000000001</v>
      </c>
      <c r="P20" s="40">
        <f>D20*(1+'1'!$Z$5)</f>
        <v>16200.000000000002</v>
      </c>
      <c r="Q20" s="25">
        <f>P20*(1+'1'!$AA$5)</f>
        <v>17172.000000000004</v>
      </c>
      <c r="R20" s="25">
        <f>Q20*(1+'1'!$AB$5)</f>
        <v>18374.040000000005</v>
      </c>
      <c r="S20" s="25">
        <f>R20*(1+'1'!$AC$5)</f>
        <v>19476.482400000004</v>
      </c>
      <c r="T20" s="40">
        <f t="shared" ref="T20:T26" si="28">L20*P20</f>
        <v>17820000.000000004</v>
      </c>
      <c r="U20" s="26">
        <f t="shared" ref="U20:U26" si="29">M20*Q20</f>
        <v>20778120.000000004</v>
      </c>
      <c r="V20" s="26">
        <f t="shared" si="26"/>
        <v>24455847.240000006</v>
      </c>
      <c r="W20" s="26">
        <f t="shared" si="27"/>
        <v>28515517.881840009</v>
      </c>
      <c r="X20" s="26"/>
    </row>
    <row r="21" spans="1:24" x14ac:dyDescent="0.25">
      <c r="A21" s="165">
        <f t="shared" si="19"/>
        <v>5</v>
      </c>
      <c r="B21" s="41" t="str">
        <f t="shared" si="19"/>
        <v>Seguridad de Aplicaciones</v>
      </c>
      <c r="C21" s="39">
        <f t="shared" si="20"/>
        <v>1000</v>
      </c>
      <c r="D21" s="14">
        <v>15000</v>
      </c>
      <c r="E21" s="22">
        <f t="shared" si="21"/>
        <v>15000000</v>
      </c>
      <c r="F21" s="23">
        <f t="shared" si="22"/>
        <v>0.15789473684210525</v>
      </c>
      <c r="L21" s="8">
        <f t="shared" si="15"/>
        <v>1100</v>
      </c>
      <c r="M21" s="8">
        <f t="shared" si="23"/>
        <v>1210</v>
      </c>
      <c r="N21" s="8">
        <f t="shared" si="24"/>
        <v>1331</v>
      </c>
      <c r="O21" s="8">
        <f t="shared" si="25"/>
        <v>1464.1000000000001</v>
      </c>
      <c r="P21" s="40">
        <f>D21*(1+'1'!$Z$5)</f>
        <v>16200.000000000002</v>
      </c>
      <c r="Q21" s="25">
        <f>P21*(1+'1'!$AA$5)</f>
        <v>17172.000000000004</v>
      </c>
      <c r="R21" s="25">
        <f>Q21*(1+'1'!$AB$5)</f>
        <v>18374.040000000005</v>
      </c>
      <c r="S21" s="25">
        <f>R21*(1+'1'!$AC$5)</f>
        <v>19476.482400000004</v>
      </c>
      <c r="T21" s="40">
        <f t="shared" si="28"/>
        <v>17820000.000000004</v>
      </c>
      <c r="U21" s="26">
        <f t="shared" si="29"/>
        <v>20778120.000000004</v>
      </c>
      <c r="V21" s="26">
        <f t="shared" si="26"/>
        <v>24455847.240000006</v>
      </c>
      <c r="W21" s="26">
        <f t="shared" si="27"/>
        <v>28515517.881840009</v>
      </c>
      <c r="X21" s="26"/>
    </row>
    <row r="22" spans="1:24" x14ac:dyDescent="0.25">
      <c r="A22" s="165">
        <f t="shared" si="19"/>
        <v>6</v>
      </c>
      <c r="B22" s="41" t="str">
        <f t="shared" si="19"/>
        <v>Gestión de Riesgos de Seguridad</v>
      </c>
      <c r="C22" s="39">
        <f t="shared" si="20"/>
        <v>1000</v>
      </c>
      <c r="D22" s="14">
        <v>10000</v>
      </c>
      <c r="E22" s="22">
        <f t="shared" si="21"/>
        <v>10000000</v>
      </c>
      <c r="F22" s="23">
        <f t="shared" si="22"/>
        <v>0.10526315789473684</v>
      </c>
      <c r="L22" s="8">
        <f t="shared" si="15"/>
        <v>1100</v>
      </c>
      <c r="M22" s="8">
        <f t="shared" si="23"/>
        <v>1210</v>
      </c>
      <c r="N22" s="8">
        <f t="shared" si="24"/>
        <v>1331</v>
      </c>
      <c r="O22" s="8">
        <f t="shared" si="25"/>
        <v>1464.1000000000001</v>
      </c>
      <c r="P22" s="40">
        <f>D22*(1+'1'!$Z$5)</f>
        <v>10800</v>
      </c>
      <c r="Q22" s="25">
        <f>P22*(1+'1'!$AA$5)</f>
        <v>11448</v>
      </c>
      <c r="R22" s="25">
        <f>Q22*(1+'1'!$AB$5)</f>
        <v>12249.36</v>
      </c>
      <c r="S22" s="25">
        <f>R22*(1+'1'!$AC$5)</f>
        <v>12984.321600000001</v>
      </c>
      <c r="T22" s="40">
        <f t="shared" si="28"/>
        <v>11880000</v>
      </c>
      <c r="U22" s="26">
        <f t="shared" si="29"/>
        <v>13852080</v>
      </c>
      <c r="V22" s="26">
        <f t="shared" si="26"/>
        <v>16303898.16</v>
      </c>
      <c r="W22" s="26">
        <f t="shared" si="27"/>
        <v>19010345.254560005</v>
      </c>
      <c r="X22" s="26"/>
    </row>
    <row r="23" spans="1:24" hidden="1" x14ac:dyDescent="0.25">
      <c r="A23" s="165">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hidden="1" x14ac:dyDescent="0.25">
      <c r="A24" s="165">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hidden="1" x14ac:dyDescent="0.25">
      <c r="A25" s="165">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hidden="1" x14ac:dyDescent="0.25">
      <c r="A26" s="165">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5">
      <c r="A27" s="73"/>
      <c r="D27" s="8" t="str">
        <f>D13</f>
        <v>TOTAL</v>
      </c>
      <c r="E27" s="33">
        <f>SUM(E17:E26)</f>
        <v>95000000</v>
      </c>
      <c r="F27" s="34">
        <f>SUM(F17:F26)</f>
        <v>1</v>
      </c>
      <c r="T27" s="35">
        <f>SUM(T17:T26)</f>
        <v>112860000</v>
      </c>
      <c r="U27" s="35">
        <f>SUM(U17:U26)</f>
        <v>131594760</v>
      </c>
      <c r="V27" s="35">
        <f t="shared" ref="V27:W27" si="31">SUM(V17:V26)</f>
        <v>154887032.52000001</v>
      </c>
      <c r="W27" s="35">
        <f t="shared" si="31"/>
        <v>180598279.91832006</v>
      </c>
      <c r="X27" s="26"/>
    </row>
    <row r="30" spans="1:24" x14ac:dyDescent="0.25">
      <c r="A30" s="167" t="s">
        <v>19</v>
      </c>
      <c r="B30" s="167"/>
      <c r="C30" s="167"/>
      <c r="D30" s="167"/>
      <c r="E30" s="167"/>
      <c r="F30" s="167"/>
    </row>
    <row r="31" spans="1:24" ht="26.25" x14ac:dyDescent="0.4">
      <c r="A31" s="42" t="s">
        <v>10</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x14ac:dyDescent="0.25">
      <c r="A32" s="45" t="s">
        <v>20</v>
      </c>
      <c r="B32" s="46">
        <f>'1'!E13</f>
        <v>474789915.9663865</v>
      </c>
      <c r="C32" s="47">
        <f>'1'!T13</f>
        <v>542637394.95798314</v>
      </c>
      <c r="D32" s="47">
        <f>'1'!U13</f>
        <v>614808168.48739505</v>
      </c>
      <c r="E32" s="47">
        <f>'1'!V13</f>
        <v>696577654.89621854</v>
      </c>
      <c r="F32" s="47">
        <f>'1'!W13</f>
        <v>789222482.99741566</v>
      </c>
    </row>
    <row r="33" spans="1:6" x14ac:dyDescent="0.25">
      <c r="A33" s="45" t="s">
        <v>21</v>
      </c>
      <c r="B33" s="46">
        <f>'1'!E27</f>
        <v>95000000</v>
      </c>
      <c r="C33" s="46">
        <f>'1'!T27</f>
        <v>112860000</v>
      </c>
      <c r="D33" s="46">
        <f>'1'!U27</f>
        <v>131594760</v>
      </c>
      <c r="E33" s="46">
        <f>'1'!V27</f>
        <v>154887032.52000001</v>
      </c>
      <c r="F33" s="46">
        <f>'1'!W27</f>
        <v>180598279.91832006</v>
      </c>
    </row>
    <row r="34" spans="1:6" ht="21" thickBot="1" x14ac:dyDescent="0.35">
      <c r="A34" s="48" t="s">
        <v>22</v>
      </c>
      <c r="B34" s="121">
        <f>B32-B33</f>
        <v>379789915.9663865</v>
      </c>
      <c r="C34" s="121">
        <f t="shared" ref="C34:D34" si="32">C32-C33</f>
        <v>429777394.95798314</v>
      </c>
      <c r="D34" s="121">
        <f t="shared" si="32"/>
        <v>483213408.48739505</v>
      </c>
      <c r="E34" s="121">
        <f t="shared" ref="E34" si="33">E32-E33</f>
        <v>541690622.37621856</v>
      </c>
      <c r="F34" s="121">
        <f t="shared" ref="F34" si="34">F32-F33</f>
        <v>608624203.0790956</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C22" sqref="C22"/>
    </sheetView>
  </sheetViews>
  <sheetFormatPr baseColWidth="10"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x14ac:dyDescent="0.25">
      <c r="B1" s="170" t="s">
        <v>133</v>
      </c>
      <c r="C1" s="170"/>
      <c r="D1" s="170"/>
      <c r="E1" s="170"/>
      <c r="F1" s="170"/>
      <c r="G1" s="170"/>
      <c r="H1" s="170"/>
    </row>
    <row r="2" spans="2:8" ht="3.75" customHeight="1" x14ac:dyDescent="0.25">
      <c r="B2" s="170"/>
      <c r="C2" s="170"/>
      <c r="D2" s="170"/>
      <c r="E2" s="170"/>
      <c r="F2" s="170"/>
      <c r="G2" s="170"/>
      <c r="H2" s="170"/>
    </row>
    <row r="3" spans="2:8" x14ac:dyDescent="0.25">
      <c r="C3" s="21" t="s">
        <v>51</v>
      </c>
      <c r="F3" s="73" t="s">
        <v>92</v>
      </c>
      <c r="G3" s="73"/>
    </row>
    <row r="4" spans="2:8" x14ac:dyDescent="0.25">
      <c r="B4" s="48" t="s">
        <v>43</v>
      </c>
      <c r="C4" s="14">
        <v>0</v>
      </c>
      <c r="F4" s="73"/>
      <c r="G4" s="73"/>
    </row>
    <row r="5" spans="2:8" x14ac:dyDescent="0.25">
      <c r="B5" s="48" t="s">
        <v>46</v>
      </c>
      <c r="C5" s="14">
        <v>5000000</v>
      </c>
      <c r="F5" s="73">
        <v>10</v>
      </c>
      <c r="G5" s="74">
        <f t="shared" ref="G5:G11" si="0">C5/F5</f>
        <v>500000</v>
      </c>
    </row>
    <row r="6" spans="2:8" x14ac:dyDescent="0.25">
      <c r="B6" s="48" t="s">
        <v>44</v>
      </c>
      <c r="C6" s="14">
        <v>0</v>
      </c>
      <c r="F6" s="73">
        <v>5</v>
      </c>
      <c r="G6" s="74">
        <f t="shared" si="0"/>
        <v>0</v>
      </c>
    </row>
    <row r="7" spans="2:8" x14ac:dyDescent="0.25">
      <c r="B7" s="48" t="s">
        <v>45</v>
      </c>
      <c r="C7" s="14">
        <v>5000000</v>
      </c>
      <c r="F7" s="73">
        <v>5</v>
      </c>
      <c r="G7" s="74">
        <f t="shared" si="0"/>
        <v>1000000</v>
      </c>
    </row>
    <row r="8" spans="2:8" x14ac:dyDescent="0.25">
      <c r="B8" s="48" t="s">
        <v>47</v>
      </c>
      <c r="C8" s="14">
        <v>0</v>
      </c>
      <c r="F8" s="73">
        <v>5</v>
      </c>
      <c r="G8" s="74">
        <f t="shared" si="0"/>
        <v>0</v>
      </c>
    </row>
    <row r="9" spans="2:8" x14ac:dyDescent="0.25">
      <c r="B9" s="48" t="s">
        <v>48</v>
      </c>
      <c r="C9" s="14">
        <v>0</v>
      </c>
      <c r="F9" s="73">
        <v>5</v>
      </c>
      <c r="G9" s="74">
        <f t="shared" si="0"/>
        <v>0</v>
      </c>
    </row>
    <row r="10" spans="2:8" x14ac:dyDescent="0.25">
      <c r="B10" s="119" t="s">
        <v>142</v>
      </c>
      <c r="C10" s="14">
        <v>0</v>
      </c>
      <c r="F10" s="73">
        <v>5</v>
      </c>
      <c r="G10" s="74">
        <f t="shared" si="0"/>
        <v>0</v>
      </c>
    </row>
    <row r="11" spans="2:8" x14ac:dyDescent="0.25">
      <c r="B11" s="48" t="s">
        <v>49</v>
      </c>
      <c r="C11" s="14">
        <v>10000000</v>
      </c>
      <c r="F11" s="73">
        <v>5</v>
      </c>
      <c r="G11" s="74">
        <f t="shared" si="0"/>
        <v>2000000</v>
      </c>
    </row>
    <row r="12" spans="2:8" ht="16.5" thickBot="1" x14ac:dyDescent="0.3">
      <c r="B12" s="75" t="s">
        <v>50</v>
      </c>
      <c r="C12" s="76">
        <f>SUM(C4:C11)</f>
        <v>20000000</v>
      </c>
      <c r="F12" s="73"/>
      <c r="G12" s="74">
        <f>SUM(G5:G11)</f>
        <v>3500000</v>
      </c>
    </row>
    <row r="13" spans="2:8" x14ac:dyDescent="0.25">
      <c r="B13" s="171" t="s">
        <v>42</v>
      </c>
      <c r="C13" s="172"/>
      <c r="D13" s="172"/>
      <c r="E13" s="172"/>
      <c r="F13" s="172"/>
      <c r="G13" s="172"/>
      <c r="H13" s="173"/>
    </row>
    <row r="14" spans="2:8" ht="15.75" thickBot="1" x14ac:dyDescent="0.3">
      <c r="B14" s="174"/>
      <c r="C14" s="175"/>
      <c r="D14" s="175"/>
      <c r="E14" s="175"/>
      <c r="F14" s="175"/>
      <c r="G14" s="175"/>
      <c r="H14" s="176"/>
    </row>
    <row r="15" spans="2:8" x14ac:dyDescent="0.25">
      <c r="B15" s="77"/>
      <c r="C15" s="77"/>
      <c r="D15" s="77"/>
      <c r="E15" s="77"/>
      <c r="F15" s="77"/>
      <c r="G15" s="77"/>
      <c r="H15" s="77"/>
    </row>
    <row r="16" spans="2:8" x14ac:dyDescent="0.25">
      <c r="B16" s="75" t="s">
        <v>28</v>
      </c>
      <c r="E16" s="75" t="s">
        <v>34</v>
      </c>
      <c r="F16" s="38"/>
    </row>
    <row r="17" spans="2:6" x14ac:dyDescent="0.25">
      <c r="C17" s="75" t="s">
        <v>30</v>
      </c>
      <c r="F17" s="75" t="str">
        <f>C17</f>
        <v>VALOR AÑO 1</v>
      </c>
    </row>
    <row r="18" spans="2:6" x14ac:dyDescent="0.25">
      <c r="B18" s="78" t="s">
        <v>29</v>
      </c>
      <c r="C18" s="14">
        <v>48000000</v>
      </c>
      <c r="E18" s="116" t="s">
        <v>139</v>
      </c>
      <c r="F18" s="14">
        <v>24000000</v>
      </c>
    </row>
    <row r="19" spans="2:6" x14ac:dyDescent="0.25">
      <c r="C19" s="80"/>
      <c r="E19" s="79" t="s">
        <v>35</v>
      </c>
      <c r="F19" s="14">
        <v>12000000</v>
      </c>
    </row>
    <row r="20" spans="2:6" x14ac:dyDescent="0.25">
      <c r="B20" s="78" t="s">
        <v>32</v>
      </c>
      <c r="C20" s="14">
        <v>54000000</v>
      </c>
      <c r="E20" s="79" t="s">
        <v>36</v>
      </c>
      <c r="F20" s="14">
        <v>3000000</v>
      </c>
    </row>
    <row r="21" spans="2:6" x14ac:dyDescent="0.25">
      <c r="C21" s="80"/>
      <c r="E21" s="79" t="s">
        <v>37</v>
      </c>
      <c r="F21" s="14">
        <v>0</v>
      </c>
    </row>
    <row r="22" spans="2:6" x14ac:dyDescent="0.25">
      <c r="B22" s="115" t="s">
        <v>138</v>
      </c>
      <c r="C22" s="14">
        <v>36000000</v>
      </c>
      <c r="E22" s="79" t="s">
        <v>38</v>
      </c>
      <c r="F22" s="14">
        <v>0</v>
      </c>
    </row>
    <row r="23" spans="2:6" ht="15.75" x14ac:dyDescent="0.25">
      <c r="B23" s="8" t="s">
        <v>56</v>
      </c>
      <c r="C23" s="76">
        <f>C18+C20+C22</f>
        <v>138000000</v>
      </c>
      <c r="E23" s="79" t="s">
        <v>39</v>
      </c>
      <c r="F23" s="14">
        <v>0</v>
      </c>
    </row>
    <row r="24" spans="2:6" x14ac:dyDescent="0.25">
      <c r="E24" s="79" t="s">
        <v>40</v>
      </c>
      <c r="F24" s="14">
        <v>0</v>
      </c>
    </row>
    <row r="25" spans="2:6" ht="24.75" x14ac:dyDescent="0.25">
      <c r="B25" s="79" t="s">
        <v>143</v>
      </c>
      <c r="C25" s="14">
        <v>20000000</v>
      </c>
      <c r="E25" s="118" t="s">
        <v>140</v>
      </c>
      <c r="F25" s="14">
        <v>0</v>
      </c>
    </row>
    <row r="26" spans="2:6" x14ac:dyDescent="0.25">
      <c r="E26" s="118" t="s">
        <v>141</v>
      </c>
      <c r="F26" s="14">
        <v>0</v>
      </c>
    </row>
    <row r="27" spans="2:6" x14ac:dyDescent="0.25">
      <c r="B27" s="98" t="s">
        <v>144</v>
      </c>
      <c r="C27" s="98"/>
      <c r="E27" s="100"/>
      <c r="F27" s="14">
        <v>0</v>
      </c>
    </row>
    <row r="28" spans="2:6" x14ac:dyDescent="0.25">
      <c r="B28" s="117">
        <f>'1'!G2</f>
        <v>2025</v>
      </c>
      <c r="C28" s="14">
        <v>20000000</v>
      </c>
      <c r="E28" s="100"/>
      <c r="F28" s="14">
        <v>0</v>
      </c>
    </row>
    <row r="29" spans="2:6" x14ac:dyDescent="0.25">
      <c r="B29" s="117">
        <f>'1'!H2</f>
        <v>2026</v>
      </c>
      <c r="C29" s="14">
        <v>20000000</v>
      </c>
      <c r="E29" s="100"/>
      <c r="F29" s="14">
        <v>0</v>
      </c>
    </row>
    <row r="30" spans="2:6" x14ac:dyDescent="0.25">
      <c r="B30" s="117">
        <f>'1'!I2</f>
        <v>2027</v>
      </c>
      <c r="C30" s="14">
        <v>15000000</v>
      </c>
      <c r="E30" s="100"/>
      <c r="F30" s="14">
        <v>0</v>
      </c>
    </row>
    <row r="31" spans="2:6" ht="15.75" x14ac:dyDescent="0.25">
      <c r="B31" s="117">
        <f>'1'!J2</f>
        <v>2028</v>
      </c>
      <c r="C31" s="14">
        <v>10000000</v>
      </c>
      <c r="E31" s="79" t="s">
        <v>41</v>
      </c>
      <c r="F31" s="76">
        <f>SUM(F18:F30)</f>
        <v>39000000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8" sqref="D8"/>
    </sheetView>
  </sheetViews>
  <sheetFormatPr baseColWidth="10" defaultColWidth="11.42578125" defaultRowHeight="15" x14ac:dyDescent="0.25"/>
  <cols>
    <col min="1" max="1" width="11.42578125" style="8"/>
    <col min="2" max="2" width="39" style="8" bestFit="1" customWidth="1"/>
    <col min="3" max="3" width="18.5703125" style="8" bestFit="1" customWidth="1"/>
    <col min="4" max="4" width="25.5703125" style="8" bestFit="1" customWidth="1"/>
    <col min="5" max="5" width="12.85546875" style="8" customWidth="1"/>
    <col min="6" max="6" width="23.85546875" style="8" bestFit="1" customWidth="1"/>
    <col min="7" max="7" width="20.85546875" style="8" bestFit="1" customWidth="1"/>
    <col min="8" max="8" width="22.7109375" style="8" bestFit="1" customWidth="1"/>
    <col min="9" max="9" width="18.5703125" style="8" bestFit="1" customWidth="1"/>
    <col min="10" max="10" width="16.85546875" style="8" bestFit="1" customWidth="1"/>
    <col min="11" max="16384" width="11.42578125" style="8"/>
  </cols>
  <sheetData>
    <row r="2" spans="2:12" ht="29.25" customHeight="1" x14ac:dyDescent="0.25">
      <c r="B2" s="168" t="s">
        <v>115</v>
      </c>
      <c r="C2" s="168"/>
      <c r="D2" s="168"/>
      <c r="E2" s="168"/>
      <c r="F2" s="168"/>
      <c r="G2" s="168"/>
      <c r="H2" s="168"/>
      <c r="I2" s="168"/>
      <c r="J2" s="168"/>
    </row>
    <row r="3" spans="2:12" x14ac:dyDescent="0.25">
      <c r="F3" s="177" t="s">
        <v>62</v>
      </c>
      <c r="G3" s="177"/>
    </row>
    <row r="4" spans="2:12" ht="15.75" x14ac:dyDescent="0.25">
      <c r="B4" s="16" t="s">
        <v>50</v>
      </c>
      <c r="C4" s="76">
        <f>'2'!C12</f>
        <v>20000000</v>
      </c>
      <c r="F4" s="178">
        <v>0.2016</v>
      </c>
      <c r="G4" s="178"/>
      <c r="I4" s="8" t="s">
        <v>150</v>
      </c>
      <c r="J4" s="129">
        <v>5</v>
      </c>
      <c r="L4" s="73">
        <v>1</v>
      </c>
    </row>
    <row r="5" spans="2:12" x14ac:dyDescent="0.25">
      <c r="L5" s="73">
        <v>2</v>
      </c>
    </row>
    <row r="6" spans="2:12" ht="15.75" thickBot="1" x14ac:dyDescent="0.3">
      <c r="B6" s="16" t="s">
        <v>52</v>
      </c>
      <c r="F6" s="167" t="s">
        <v>116</v>
      </c>
      <c r="G6" s="167"/>
      <c r="H6" s="167"/>
      <c r="I6" s="167"/>
      <c r="J6" s="167"/>
      <c r="L6" s="73">
        <v>3</v>
      </c>
    </row>
    <row r="7" spans="2:12" x14ac:dyDescent="0.25">
      <c r="C7" s="81" t="s">
        <v>54</v>
      </c>
      <c r="D7" s="81" t="s">
        <v>55</v>
      </c>
      <c r="E7" s="124"/>
      <c r="F7" s="125" t="s">
        <v>145</v>
      </c>
      <c r="G7" s="125" t="s">
        <v>146</v>
      </c>
      <c r="H7" s="125" t="s">
        <v>147</v>
      </c>
      <c r="I7" s="125" t="s">
        <v>148</v>
      </c>
      <c r="J7" s="126" t="s">
        <v>149</v>
      </c>
      <c r="L7" s="73">
        <v>4</v>
      </c>
    </row>
    <row r="8" spans="2:12" x14ac:dyDescent="0.25">
      <c r="B8" s="48" t="s">
        <v>53</v>
      </c>
      <c r="C8" s="56">
        <v>12</v>
      </c>
      <c r="D8" s="25">
        <f>('1'!B33/12)*C8</f>
        <v>95000000</v>
      </c>
      <c r="E8" s="127" t="s">
        <v>84</v>
      </c>
      <c r="F8" s="160"/>
      <c r="G8" s="160"/>
      <c r="H8" s="160"/>
      <c r="I8" s="160"/>
      <c r="J8" s="161">
        <f>D16</f>
        <v>282000000</v>
      </c>
      <c r="L8" s="73">
        <v>5</v>
      </c>
    </row>
    <row r="9" spans="2:12" x14ac:dyDescent="0.25">
      <c r="B9" s="48" t="s">
        <v>57</v>
      </c>
      <c r="C9" s="56">
        <v>12</v>
      </c>
      <c r="D9" s="25">
        <f>('2'!C23/12)*C9</f>
        <v>138000000</v>
      </c>
      <c r="E9" s="127">
        <f>'1'!B31</f>
        <v>2024</v>
      </c>
      <c r="F9" s="159">
        <f t="shared" ref="F9:F13" si="0">IF(J8&gt;0,J8,0)</f>
        <v>282000000</v>
      </c>
      <c r="G9" s="159">
        <f>F9*$F$4</f>
        <v>56851200</v>
      </c>
      <c r="H9" s="159">
        <f>IF(J8&lt;1,0,(I9-G9))</f>
        <v>37776061.033289671</v>
      </c>
      <c r="I9" s="159">
        <f>PMT(F4,J4,J8)*-1</f>
        <v>94627261.033289671</v>
      </c>
      <c r="J9" s="162">
        <f>F9-H9</f>
        <v>244223938.96671033</v>
      </c>
    </row>
    <row r="10" spans="2:12" x14ac:dyDescent="0.25">
      <c r="B10" s="48" t="s">
        <v>58</v>
      </c>
      <c r="C10" s="56">
        <v>12</v>
      </c>
      <c r="D10" s="25">
        <f>('2'!C25/12)*C10</f>
        <v>20000000</v>
      </c>
      <c r="E10" s="127">
        <f>'1'!C31</f>
        <v>2025</v>
      </c>
      <c r="F10" s="159">
        <f t="shared" si="0"/>
        <v>244223938.96671033</v>
      </c>
      <c r="G10" s="159">
        <f t="shared" ref="G10:G13" si="1">F10*$F$4</f>
        <v>49235546.095688805</v>
      </c>
      <c r="H10" s="159">
        <f t="shared" ref="H10:H13" si="2">IF(J9&lt;1,0,(I10-G10))</f>
        <v>45391714.937600866</v>
      </c>
      <c r="I10" s="159">
        <f>IF(J9&lt;1,0,(I9*(1+$K$7)))</f>
        <v>94627261.033289671</v>
      </c>
      <c r="J10" s="162">
        <f t="shared" ref="J10:J13" si="3">F10-H10</f>
        <v>198832224.02910948</v>
      </c>
    </row>
    <row r="11" spans="2:12" x14ac:dyDescent="0.25">
      <c r="B11" s="48" t="s">
        <v>33</v>
      </c>
      <c r="C11" s="56">
        <v>12</v>
      </c>
      <c r="D11" s="25">
        <f>('2'!F31/12)*C11</f>
        <v>39000000</v>
      </c>
      <c r="E11" s="127">
        <f>'1'!D31</f>
        <v>2026</v>
      </c>
      <c r="F11" s="159">
        <f t="shared" si="0"/>
        <v>198832224.02910948</v>
      </c>
      <c r="G11" s="159">
        <f t="shared" si="1"/>
        <v>40084576.364268474</v>
      </c>
      <c r="H11" s="159">
        <f t="shared" si="2"/>
        <v>54542684.669021197</v>
      </c>
      <c r="I11" s="159">
        <f t="shared" ref="I11:I13" si="4">IF(J10&lt;1,0,(I10*(1+$K$7)))</f>
        <v>94627261.033289671</v>
      </c>
      <c r="J11" s="162">
        <f t="shared" si="3"/>
        <v>144289539.36008829</v>
      </c>
    </row>
    <row r="12" spans="2:12" ht="15.75" x14ac:dyDescent="0.25">
      <c r="B12" s="82" t="s">
        <v>8</v>
      </c>
      <c r="C12" s="60"/>
      <c r="D12" s="83">
        <f>SUM(D8:D11)</f>
        <v>292000000</v>
      </c>
      <c r="E12" s="127">
        <f>'1'!E31</f>
        <v>2027</v>
      </c>
      <c r="F12" s="159">
        <f t="shared" si="0"/>
        <v>144289539.36008829</v>
      </c>
      <c r="G12" s="159">
        <f t="shared" si="1"/>
        <v>29088771.134993799</v>
      </c>
      <c r="H12" s="159">
        <f t="shared" si="2"/>
        <v>65538489.898295872</v>
      </c>
      <c r="I12" s="159">
        <f t="shared" si="4"/>
        <v>94627261.033289671</v>
      </c>
      <c r="J12" s="162">
        <f t="shared" si="3"/>
        <v>78751049.461792409</v>
      </c>
    </row>
    <row r="13" spans="2:12" ht="15.75" thickBot="1" x14ac:dyDescent="0.3">
      <c r="E13" s="128">
        <f>'1'!F31</f>
        <v>2028</v>
      </c>
      <c r="F13" s="163">
        <f t="shared" si="0"/>
        <v>78751049.461792409</v>
      </c>
      <c r="G13" s="163">
        <f t="shared" si="1"/>
        <v>15876211.571497349</v>
      </c>
      <c r="H13" s="163">
        <f t="shared" si="2"/>
        <v>78751049.46179232</v>
      </c>
      <c r="I13" s="163">
        <f t="shared" si="4"/>
        <v>94627261.033289671</v>
      </c>
      <c r="J13" s="164">
        <f t="shared" si="3"/>
        <v>0</v>
      </c>
    </row>
    <row r="14" spans="2:12" ht="15.75" x14ac:dyDescent="0.25">
      <c r="B14" s="48" t="s">
        <v>59</v>
      </c>
      <c r="D14" s="76">
        <f>C4+D12</f>
        <v>312000000</v>
      </c>
    </row>
    <row r="15" spans="2:12" x14ac:dyDescent="0.25">
      <c r="B15" s="48" t="s">
        <v>60</v>
      </c>
      <c r="D15" s="57">
        <v>30000000</v>
      </c>
    </row>
    <row r="16" spans="2:12" ht="15.75" x14ac:dyDescent="0.25">
      <c r="B16" s="48" t="s">
        <v>61</v>
      </c>
      <c r="D16" s="84">
        <f>D14-D15</f>
        <v>282000000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C8" sqref="C8"/>
    </sheetView>
  </sheetViews>
  <sheetFormatPr baseColWidth="10" defaultColWidth="11.42578125" defaultRowHeight="15" x14ac:dyDescent="0.2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x14ac:dyDescent="0.25">
      <c r="A1" s="182" t="s">
        <v>117</v>
      </c>
      <c r="B1" s="182"/>
      <c r="C1" s="182"/>
      <c r="D1" s="182"/>
      <c r="E1" s="182"/>
      <c r="F1" s="182"/>
      <c r="G1" s="182"/>
    </row>
    <row r="2" spans="1:7" ht="23.25" x14ac:dyDescent="0.25">
      <c r="A2" s="183" t="s">
        <v>132</v>
      </c>
      <c r="B2" s="183"/>
      <c r="C2" s="183"/>
      <c r="D2" s="183"/>
      <c r="E2" s="183"/>
      <c r="F2" s="183"/>
      <c r="G2" s="183"/>
    </row>
    <row r="3" spans="1:7" ht="8.25" customHeight="1" x14ac:dyDescent="0.25">
      <c r="A3" s="58"/>
      <c r="B3" s="58"/>
      <c r="C3" s="58"/>
      <c r="D3" s="58"/>
      <c r="E3" s="58"/>
      <c r="F3" s="58"/>
      <c r="G3" s="58"/>
    </row>
    <row r="4" spans="1:7" ht="15.75" x14ac:dyDescent="0.25">
      <c r="A4" s="181" t="s">
        <v>89</v>
      </c>
      <c r="B4" s="181"/>
      <c r="C4" s="181"/>
      <c r="D4" s="181"/>
      <c r="E4" s="181"/>
      <c r="F4" s="181"/>
      <c r="G4" s="181"/>
    </row>
    <row r="5" spans="1:7" ht="23.25" x14ac:dyDescent="0.25">
      <c r="C5" s="62">
        <f>'1'!B31</f>
        <v>2024</v>
      </c>
      <c r="D5" s="62">
        <f>'1'!C31</f>
        <v>2025</v>
      </c>
      <c r="E5" s="62">
        <f>'1'!D31</f>
        <v>2026</v>
      </c>
      <c r="F5" s="62">
        <f>'1'!E31</f>
        <v>2027</v>
      </c>
      <c r="G5" s="62">
        <f>'1'!F31</f>
        <v>2028</v>
      </c>
    </row>
    <row r="6" spans="1:7" x14ac:dyDescent="0.25">
      <c r="B6" s="8" t="s">
        <v>31</v>
      </c>
      <c r="C6" s="63">
        <f>'1'!B32</f>
        <v>474789915.9663865</v>
      </c>
      <c r="D6" s="63">
        <f>'1'!C32</f>
        <v>542637394.95798314</v>
      </c>
      <c r="E6" s="63">
        <f>'1'!D32</f>
        <v>614808168.48739505</v>
      </c>
      <c r="F6" s="63">
        <f>'1'!E32</f>
        <v>696577654.89621854</v>
      </c>
      <c r="G6" s="63">
        <f>'1'!F32</f>
        <v>789222482.99741566</v>
      </c>
    </row>
    <row r="7" spans="1:7" x14ac:dyDescent="0.25">
      <c r="B7" s="8" t="s">
        <v>66</v>
      </c>
      <c r="C7" s="63">
        <f>'1'!B33</f>
        <v>95000000</v>
      </c>
      <c r="D7" s="63">
        <f>'1'!C33</f>
        <v>112860000</v>
      </c>
      <c r="E7" s="63">
        <f>'1'!D33</f>
        <v>131594760</v>
      </c>
      <c r="F7" s="63">
        <f>'1'!E33</f>
        <v>154887032.52000001</v>
      </c>
      <c r="G7" s="63">
        <f>'1'!F33</f>
        <v>180598279.91832006</v>
      </c>
    </row>
    <row r="8" spans="1:7" ht="15.75" thickBot="1" x14ac:dyDescent="0.3">
      <c r="B8" s="64" t="s">
        <v>67</v>
      </c>
      <c r="C8" s="65">
        <f>C6-C7</f>
        <v>379789915.9663865</v>
      </c>
      <c r="D8" s="65">
        <f t="shared" ref="D8:G8" si="0">D6-D7</f>
        <v>429777394.95798314</v>
      </c>
      <c r="E8" s="65">
        <f t="shared" si="0"/>
        <v>483213408.48739505</v>
      </c>
      <c r="F8" s="65">
        <f t="shared" si="0"/>
        <v>541690622.37621856</v>
      </c>
      <c r="G8" s="65">
        <f t="shared" si="0"/>
        <v>608624203.0790956</v>
      </c>
    </row>
    <row r="9" spans="1:7" ht="15.75" thickTop="1" x14ac:dyDescent="0.25">
      <c r="B9" s="8" t="s">
        <v>68</v>
      </c>
      <c r="C9" s="63">
        <f>'2'!C23</f>
        <v>138000000</v>
      </c>
      <c r="D9" s="63">
        <f>C9*(1+'1'!Z4)</f>
        <v>143382000</v>
      </c>
      <c r="E9" s="63">
        <f>D9*(1+'1'!AA4)</f>
        <v>147683460</v>
      </c>
      <c r="F9" s="63">
        <f>E9*(1+'1'!AB4)</f>
        <v>152113963.80000001</v>
      </c>
      <c r="G9" s="63">
        <f>F9*(1+'1'!AC4)</f>
        <v>156677382.71400002</v>
      </c>
    </row>
    <row r="10" spans="1:7" x14ac:dyDescent="0.25">
      <c r="B10" s="8" t="s">
        <v>134</v>
      </c>
      <c r="C10" s="63">
        <f>'2'!F31</f>
        <v>39000000</v>
      </c>
      <c r="D10" s="63">
        <f>C10*(1+'1'!Z4)</f>
        <v>40521000</v>
      </c>
      <c r="E10" s="63">
        <f>D10*(1+'1'!AA4)</f>
        <v>41736630</v>
      </c>
      <c r="F10" s="63">
        <f>E10*(1+'1'!AB4)</f>
        <v>42988728.899999999</v>
      </c>
      <c r="G10" s="63">
        <f>F10*(1+'1'!AC4)</f>
        <v>44278390.766999997</v>
      </c>
    </row>
    <row r="11" spans="1:7" x14ac:dyDescent="0.25">
      <c r="B11" s="8" t="s">
        <v>69</v>
      </c>
      <c r="C11" s="63">
        <f>'2'!C25</f>
        <v>20000000</v>
      </c>
      <c r="D11" s="63">
        <f>'2'!C28</f>
        <v>20000000</v>
      </c>
      <c r="E11" s="63">
        <f>'2'!C29</f>
        <v>20000000</v>
      </c>
      <c r="F11" s="63">
        <f>'2'!C30</f>
        <v>15000000</v>
      </c>
      <c r="G11" s="63">
        <f>'2'!C31</f>
        <v>10000000</v>
      </c>
    </row>
    <row r="12" spans="1:7" x14ac:dyDescent="0.25">
      <c r="B12" s="8" t="s">
        <v>86</v>
      </c>
      <c r="C12" s="63">
        <f>'2'!G12</f>
        <v>3500000</v>
      </c>
      <c r="D12" s="63">
        <f>C12</f>
        <v>3500000</v>
      </c>
      <c r="E12" s="63">
        <f t="shared" ref="E12:G12" si="1">D12</f>
        <v>3500000</v>
      </c>
      <c r="F12" s="63">
        <f t="shared" si="1"/>
        <v>3500000</v>
      </c>
      <c r="G12" s="63">
        <f t="shared" si="1"/>
        <v>3500000</v>
      </c>
    </row>
    <row r="13" spans="1:7" ht="15.75" thickBot="1" x14ac:dyDescent="0.3">
      <c r="B13" s="64" t="s">
        <v>70</v>
      </c>
      <c r="C13" s="66">
        <f>C8-C9-C10-C11-C12</f>
        <v>179289915.9663865</v>
      </c>
      <c r="D13" s="66">
        <f t="shared" ref="D13:G13" si="2">D8-D9-D10-D11-D12</f>
        <v>222374394.95798314</v>
      </c>
      <c r="E13" s="66">
        <f t="shared" si="2"/>
        <v>270293318.48739505</v>
      </c>
      <c r="F13" s="66">
        <f t="shared" si="2"/>
        <v>328087929.67621857</v>
      </c>
      <c r="G13" s="66">
        <f t="shared" si="2"/>
        <v>394168429.5980956</v>
      </c>
    </row>
    <row r="14" spans="1:7" ht="15.75" thickTop="1" x14ac:dyDescent="0.25">
      <c r="B14" s="8" t="s">
        <v>71</v>
      </c>
      <c r="C14" s="63">
        <f>'3'!G9</f>
        <v>56851200</v>
      </c>
      <c r="D14" s="63">
        <f>'3'!G10</f>
        <v>49235546.095688805</v>
      </c>
      <c r="E14" s="63">
        <f>'3'!G11</f>
        <v>40084576.364268474</v>
      </c>
      <c r="F14" s="63">
        <f>'3'!G12</f>
        <v>29088771.134993799</v>
      </c>
      <c r="G14" s="63">
        <f>'3'!G13</f>
        <v>15876211.571497349</v>
      </c>
    </row>
    <row r="15" spans="1:7" ht="15.75" thickBot="1" x14ac:dyDescent="0.3">
      <c r="B15" s="64" t="s">
        <v>72</v>
      </c>
      <c r="C15" s="66">
        <f>C13-C14</f>
        <v>122438715.9663865</v>
      </c>
      <c r="D15" s="66">
        <f t="shared" ref="D15:G15" si="3">D13-D14</f>
        <v>173138848.86229432</v>
      </c>
      <c r="E15" s="66">
        <f t="shared" si="3"/>
        <v>230208742.12312657</v>
      </c>
      <c r="F15" s="66">
        <f t="shared" si="3"/>
        <v>298999158.54122478</v>
      </c>
      <c r="G15" s="66">
        <f t="shared" si="3"/>
        <v>378292218.02659827</v>
      </c>
    </row>
    <row r="16" spans="1:7" ht="15.75" thickTop="1" x14ac:dyDescent="0.25">
      <c r="B16" s="8" t="s">
        <v>73</v>
      </c>
      <c r="C16" s="67">
        <f>IF(C15*'1'!$AB$7&lt;0,0,C15*'1'!$AB$7)</f>
        <v>41629163.42857141</v>
      </c>
      <c r="D16" s="67">
        <f>IF(D15*'1'!$AB$7&lt;0,0,D15*'1'!$AB$7)</f>
        <v>58867208.613180071</v>
      </c>
      <c r="E16" s="67">
        <f>IF(E15*'1'!$AB$7&lt;0,0,E15*'1'!$AB$7)</f>
        <v>78270972.32186304</v>
      </c>
      <c r="F16" s="67">
        <f>IF(F15*'1'!$AB$7&lt;0,0,F15*'1'!$AB$7)</f>
        <v>101659713.90401644</v>
      </c>
      <c r="G16" s="67">
        <f>IF(G15*'1'!$AB$7&lt;0,0,G15*'1'!$AB$7)</f>
        <v>128619354.12904343</v>
      </c>
    </row>
    <row r="17" spans="1:8" ht="15.75" thickBot="1" x14ac:dyDescent="0.3">
      <c r="B17" s="68" t="s">
        <v>74</v>
      </c>
      <c r="C17" s="69">
        <f>C15-C16</f>
        <v>80809552.537815094</v>
      </c>
      <c r="D17" s="69">
        <f t="shared" ref="D17:G17" si="4">D15-D16</f>
        <v>114271640.24911425</v>
      </c>
      <c r="E17" s="69">
        <f t="shared" si="4"/>
        <v>151937769.80126351</v>
      </c>
      <c r="F17" s="69">
        <f t="shared" si="4"/>
        <v>197339444.63720834</v>
      </c>
      <c r="G17" s="69">
        <f t="shared" si="4"/>
        <v>249672863.89755484</v>
      </c>
    </row>
    <row r="19" spans="1:8" ht="15.75" x14ac:dyDescent="0.25">
      <c r="A19" s="181" t="s">
        <v>64</v>
      </c>
      <c r="B19" s="181"/>
      <c r="C19" s="181"/>
      <c r="D19" s="181"/>
      <c r="E19" s="181"/>
      <c r="F19" s="181"/>
      <c r="G19" s="181"/>
    </row>
    <row r="20" spans="1:8" ht="23.25" x14ac:dyDescent="0.25">
      <c r="B20" s="70" t="s">
        <v>84</v>
      </c>
      <c r="C20" s="62">
        <f>C5</f>
        <v>2024</v>
      </c>
      <c r="D20" s="62">
        <f>D5</f>
        <v>2025</v>
      </c>
      <c r="E20" s="62">
        <f>E5</f>
        <v>2026</v>
      </c>
      <c r="F20" s="62">
        <f>F5</f>
        <v>2027</v>
      </c>
      <c r="G20" s="62">
        <f>G5</f>
        <v>2028</v>
      </c>
    </row>
    <row r="21" spans="1:8" x14ac:dyDescent="0.25">
      <c r="A21" s="180" t="s">
        <v>65</v>
      </c>
      <c r="B21" s="180"/>
      <c r="C21" s="180"/>
      <c r="D21" s="180"/>
      <c r="E21" s="180"/>
      <c r="F21" s="180"/>
      <c r="G21" s="180"/>
    </row>
    <row r="22" spans="1:8" x14ac:dyDescent="0.25">
      <c r="A22" s="8" t="s">
        <v>95</v>
      </c>
      <c r="B22" s="26">
        <f>B38-B26</f>
        <v>292000000</v>
      </c>
      <c r="C22" s="26">
        <f t="shared" ref="C22:G22" si="5">C38-C26</f>
        <v>380162654.93309683</v>
      </c>
      <c r="D22" s="26">
        <f t="shared" si="5"/>
        <v>388971072.89140379</v>
      </c>
      <c r="E22" s="26">
        <f t="shared" si="5"/>
        <v>394998281.48321486</v>
      </c>
      <c r="F22" s="26">
        <f t="shared" si="5"/>
        <v>401750208.00301719</v>
      </c>
      <c r="G22" s="26">
        <f t="shared" si="5"/>
        <v>405792218.02659833</v>
      </c>
    </row>
    <row r="23" spans="1:8" x14ac:dyDescent="0.25">
      <c r="A23" s="8" t="s">
        <v>93</v>
      </c>
      <c r="B23" s="26">
        <f>'2'!C4</f>
        <v>0</v>
      </c>
      <c r="C23" s="26">
        <f>B23</f>
        <v>0</v>
      </c>
      <c r="D23" s="26">
        <f t="shared" ref="D23:G23" si="6">C23</f>
        <v>0</v>
      </c>
      <c r="E23" s="26">
        <f t="shared" si="6"/>
        <v>0</v>
      </c>
      <c r="F23" s="26">
        <f t="shared" si="6"/>
        <v>0</v>
      </c>
      <c r="G23" s="26">
        <f t="shared" si="6"/>
        <v>0</v>
      </c>
      <c r="H23" s="26"/>
    </row>
    <row r="24" spans="1:8" x14ac:dyDescent="0.25">
      <c r="A24" s="8" t="s">
        <v>94</v>
      </c>
      <c r="B24" s="26">
        <f>'2'!C12-'2'!C4</f>
        <v>20000000</v>
      </c>
      <c r="C24" s="26">
        <f>B24</f>
        <v>20000000</v>
      </c>
      <c r="D24" s="26">
        <f t="shared" ref="D24:G24" si="7">C24</f>
        <v>20000000</v>
      </c>
      <c r="E24" s="26">
        <f t="shared" si="7"/>
        <v>20000000</v>
      </c>
      <c r="F24" s="26">
        <f t="shared" si="7"/>
        <v>20000000</v>
      </c>
      <c r="G24" s="26">
        <f t="shared" si="7"/>
        <v>20000000</v>
      </c>
      <c r="H24" s="26"/>
    </row>
    <row r="25" spans="1:8" x14ac:dyDescent="0.25">
      <c r="A25" s="8" t="s">
        <v>87</v>
      </c>
      <c r="B25" s="26">
        <v>0</v>
      </c>
      <c r="C25" s="26">
        <f>C12</f>
        <v>3500000</v>
      </c>
      <c r="D25" s="26">
        <f>D12+C12</f>
        <v>7000000</v>
      </c>
      <c r="E25" s="26">
        <f>E12+D12+C12</f>
        <v>10500000</v>
      </c>
      <c r="F25" s="26">
        <f>F12+E12+D12+C12</f>
        <v>14000000</v>
      </c>
      <c r="G25" s="26">
        <f>F25+G12</f>
        <v>17500000</v>
      </c>
      <c r="H25" s="26"/>
    </row>
    <row r="26" spans="1:8" x14ac:dyDescent="0.25">
      <c r="A26" s="8" t="s">
        <v>88</v>
      </c>
      <c r="B26" s="26">
        <f>B23+(B24-B25)</f>
        <v>20000000</v>
      </c>
      <c r="C26" s="26">
        <f>C23+(C24-C25)</f>
        <v>16500000</v>
      </c>
      <c r="D26" s="26">
        <f t="shared" ref="D26:G26" si="8">D23+(D24-D25)</f>
        <v>13000000</v>
      </c>
      <c r="E26" s="26">
        <f t="shared" si="8"/>
        <v>9500000</v>
      </c>
      <c r="F26" s="26">
        <f t="shared" si="8"/>
        <v>6000000</v>
      </c>
      <c r="G26" s="26">
        <f t="shared" si="8"/>
        <v>2500000</v>
      </c>
      <c r="H26" s="26"/>
    </row>
    <row r="27" spans="1:8" ht="15.75" thickBot="1" x14ac:dyDescent="0.3">
      <c r="A27" s="64" t="s">
        <v>85</v>
      </c>
      <c r="B27" s="71">
        <f>B22+B26</f>
        <v>312000000</v>
      </c>
      <c r="C27" s="71">
        <f t="shared" ref="C27:G27" si="9">C22+C26</f>
        <v>396662654.93309683</v>
      </c>
      <c r="D27" s="71">
        <f t="shared" si="9"/>
        <v>401971072.89140379</v>
      </c>
      <c r="E27" s="71">
        <f t="shared" si="9"/>
        <v>404498281.48321486</v>
      </c>
      <c r="F27" s="71">
        <f t="shared" si="9"/>
        <v>407750208.00301719</v>
      </c>
      <c r="G27" s="71">
        <f t="shared" si="9"/>
        <v>408292218.02659833</v>
      </c>
      <c r="H27" s="26"/>
    </row>
    <row r="28" spans="1:8" ht="15.75" thickTop="1" x14ac:dyDescent="0.25">
      <c r="A28" s="180" t="s">
        <v>75</v>
      </c>
      <c r="B28" s="180"/>
      <c r="C28" s="180"/>
      <c r="D28" s="180"/>
      <c r="E28" s="180"/>
      <c r="F28" s="180"/>
      <c r="G28" s="180"/>
    </row>
    <row r="29" spans="1:8" x14ac:dyDescent="0.25">
      <c r="A29" s="8" t="s">
        <v>76</v>
      </c>
      <c r="B29" s="8">
        <v>0</v>
      </c>
      <c r="C29" s="67">
        <f>C16</f>
        <v>41629163.42857141</v>
      </c>
      <c r="D29" s="67">
        <f>D16</f>
        <v>58867208.613180071</v>
      </c>
      <c r="E29" s="67">
        <f>E16</f>
        <v>78270972.32186304</v>
      </c>
      <c r="F29" s="67">
        <f>F16</f>
        <v>101659713.90401644</v>
      </c>
      <c r="G29" s="67">
        <f>G16</f>
        <v>128619354.12904343</v>
      </c>
    </row>
    <row r="30" spans="1:8" x14ac:dyDescent="0.25">
      <c r="A30" s="8" t="s">
        <v>77</v>
      </c>
      <c r="B30" s="67">
        <f>B29</f>
        <v>0</v>
      </c>
      <c r="C30" s="67">
        <f t="shared" ref="C30:G30" si="10">C29</f>
        <v>41629163.42857141</v>
      </c>
      <c r="D30" s="67">
        <f t="shared" si="10"/>
        <v>58867208.613180071</v>
      </c>
      <c r="E30" s="67">
        <f t="shared" si="10"/>
        <v>78270972.32186304</v>
      </c>
      <c r="F30" s="67">
        <f t="shared" si="10"/>
        <v>101659713.90401644</v>
      </c>
      <c r="G30" s="67">
        <f t="shared" si="10"/>
        <v>128619354.12904343</v>
      </c>
    </row>
    <row r="31" spans="1:8" x14ac:dyDescent="0.25">
      <c r="A31" s="8" t="s">
        <v>78</v>
      </c>
      <c r="B31" s="25">
        <f>'3'!J8</f>
        <v>282000000</v>
      </c>
      <c r="C31" s="25">
        <f>'3'!J9</f>
        <v>244223938.96671033</v>
      </c>
      <c r="D31" s="25">
        <f>'3'!J10</f>
        <v>198832224.02910948</v>
      </c>
      <c r="E31" s="25">
        <f>'3'!J11</f>
        <v>144289539.36008829</v>
      </c>
      <c r="F31" s="25">
        <f>'3'!J12</f>
        <v>78751049.461792409</v>
      </c>
      <c r="G31" s="25">
        <f>'3'!J13</f>
        <v>0</v>
      </c>
    </row>
    <row r="32" spans="1:8" ht="15.75" thickBot="1" x14ac:dyDescent="0.3">
      <c r="A32" s="64" t="s">
        <v>75</v>
      </c>
      <c r="B32" s="71">
        <f>B30+B31</f>
        <v>282000000</v>
      </c>
      <c r="C32" s="71">
        <f t="shared" ref="C32:G32" si="11">C30+C31</f>
        <v>285853102.39528173</v>
      </c>
      <c r="D32" s="71">
        <f t="shared" si="11"/>
        <v>257699432.64228955</v>
      </c>
      <c r="E32" s="71">
        <f t="shared" si="11"/>
        <v>222560511.68195134</v>
      </c>
      <c r="F32" s="71">
        <f t="shared" si="11"/>
        <v>180410763.36580884</v>
      </c>
      <c r="G32" s="71">
        <f t="shared" si="11"/>
        <v>128619354.12904343</v>
      </c>
    </row>
    <row r="33" spans="1:7" ht="15.75" thickTop="1" x14ac:dyDescent="0.25">
      <c r="A33" s="180" t="s">
        <v>79</v>
      </c>
      <c r="B33" s="180"/>
      <c r="C33" s="180"/>
      <c r="D33" s="180"/>
      <c r="E33" s="180"/>
      <c r="F33" s="180"/>
      <c r="G33" s="180"/>
    </row>
    <row r="34" spans="1:7" x14ac:dyDescent="0.25">
      <c r="A34" s="8" t="s">
        <v>80</v>
      </c>
      <c r="B34" s="26">
        <f>'3'!D15</f>
        <v>30000000</v>
      </c>
      <c r="C34" s="26">
        <f>B34</f>
        <v>30000000</v>
      </c>
      <c r="D34" s="26">
        <f t="shared" ref="D34:G34" si="12">C34</f>
        <v>30000000</v>
      </c>
      <c r="E34" s="26">
        <f t="shared" si="12"/>
        <v>30000000</v>
      </c>
      <c r="F34" s="26">
        <f t="shared" si="12"/>
        <v>30000000</v>
      </c>
      <c r="G34" s="26">
        <f t="shared" si="12"/>
        <v>30000000</v>
      </c>
    </row>
    <row r="35" spans="1:7" x14ac:dyDescent="0.25">
      <c r="A35" s="8" t="s">
        <v>81</v>
      </c>
      <c r="B35" s="8">
        <v>0</v>
      </c>
      <c r="C35" s="67">
        <f>C17</f>
        <v>80809552.537815094</v>
      </c>
      <c r="D35" s="67">
        <f>D17</f>
        <v>114271640.24911425</v>
      </c>
      <c r="E35" s="67">
        <f>E17</f>
        <v>151937769.80126351</v>
      </c>
      <c r="F35" s="67">
        <f>F17</f>
        <v>197339444.63720834</v>
      </c>
      <c r="G35" s="67">
        <f>G17</f>
        <v>249672863.89755484</v>
      </c>
    </row>
    <row r="36" spans="1:7" ht="15.75" thickBot="1" x14ac:dyDescent="0.3">
      <c r="A36" s="64" t="s">
        <v>82</v>
      </c>
      <c r="B36" s="71">
        <f>B34+B35</f>
        <v>30000000</v>
      </c>
      <c r="C36" s="71">
        <f t="shared" ref="C36:G36" si="13">C34+C35</f>
        <v>110809552.53781509</v>
      </c>
      <c r="D36" s="71">
        <f t="shared" si="13"/>
        <v>144271640.24911425</v>
      </c>
      <c r="E36" s="71">
        <f t="shared" si="13"/>
        <v>181937769.80126351</v>
      </c>
      <c r="F36" s="71">
        <f t="shared" si="13"/>
        <v>227339444.63720834</v>
      </c>
      <c r="G36" s="71">
        <f t="shared" si="13"/>
        <v>279672863.89755487</v>
      </c>
    </row>
    <row r="37" spans="1:7" ht="15.75" thickTop="1" x14ac:dyDescent="0.25"/>
    <row r="38" spans="1:7" ht="15.75" thickBot="1" x14ac:dyDescent="0.3">
      <c r="A38" s="64" t="s">
        <v>83</v>
      </c>
      <c r="B38" s="71">
        <f>B32+B36</f>
        <v>312000000</v>
      </c>
      <c r="C38" s="71">
        <f t="shared" ref="C38:G38" si="14">C32+C36</f>
        <v>396662654.93309683</v>
      </c>
      <c r="D38" s="71">
        <f t="shared" si="14"/>
        <v>401971072.89140379</v>
      </c>
      <c r="E38" s="71">
        <f t="shared" si="14"/>
        <v>404498281.48321486</v>
      </c>
      <c r="F38" s="71">
        <f t="shared" si="14"/>
        <v>407750208.00301719</v>
      </c>
      <c r="G38" s="71">
        <f t="shared" si="14"/>
        <v>408292218.02659833</v>
      </c>
    </row>
    <row r="39" spans="1:7" ht="15.75" thickTop="1" x14ac:dyDescent="0.25">
      <c r="A39" s="60" t="s">
        <v>90</v>
      </c>
      <c r="B39" s="72">
        <f>B27-B38</f>
        <v>0</v>
      </c>
      <c r="C39" s="72">
        <f t="shared" ref="C39:G39" si="15">C27-C38</f>
        <v>0</v>
      </c>
      <c r="D39" s="72">
        <f t="shared" si="15"/>
        <v>0</v>
      </c>
      <c r="E39" s="72">
        <f t="shared" si="15"/>
        <v>0</v>
      </c>
      <c r="F39" s="72">
        <f t="shared" si="15"/>
        <v>0</v>
      </c>
      <c r="G39" s="72">
        <f t="shared" si="15"/>
        <v>0</v>
      </c>
    </row>
    <row r="41" spans="1:7" ht="15.75" x14ac:dyDescent="0.25">
      <c r="A41" s="181" t="s">
        <v>96</v>
      </c>
      <c r="B41" s="181"/>
      <c r="C41" s="181"/>
      <c r="D41" s="181"/>
      <c r="E41" s="181"/>
      <c r="F41" s="181"/>
      <c r="G41" s="181"/>
    </row>
    <row r="42" spans="1:7" x14ac:dyDescent="0.25">
      <c r="A42" s="180" t="s">
        <v>97</v>
      </c>
      <c r="B42" s="180"/>
      <c r="C42" s="180"/>
      <c r="D42" s="180"/>
      <c r="E42" s="180"/>
      <c r="F42" s="180"/>
      <c r="G42" s="180"/>
    </row>
    <row r="43" spans="1:7" ht="23.25" x14ac:dyDescent="0.25">
      <c r="A43" s="11"/>
      <c r="B43" s="70" t="s">
        <v>84</v>
      </c>
      <c r="C43" s="62">
        <f>C20</f>
        <v>2024</v>
      </c>
      <c r="D43" s="62">
        <f t="shared" ref="D43:G43" si="16">D20</f>
        <v>2025</v>
      </c>
      <c r="E43" s="62">
        <f t="shared" si="16"/>
        <v>2026</v>
      </c>
      <c r="F43" s="62">
        <f t="shared" si="16"/>
        <v>2027</v>
      </c>
      <c r="G43" s="62">
        <f t="shared" si="16"/>
        <v>2028</v>
      </c>
    </row>
    <row r="44" spans="1:7" x14ac:dyDescent="0.25">
      <c r="A44" s="1" t="s">
        <v>98</v>
      </c>
      <c r="B44" s="2">
        <f>B22</f>
        <v>292000000</v>
      </c>
      <c r="C44" s="2">
        <f t="shared" ref="C44:G44" si="17">C22</f>
        <v>380162654.93309683</v>
      </c>
      <c r="D44" s="2">
        <f t="shared" si="17"/>
        <v>388971072.89140379</v>
      </c>
      <c r="E44" s="2">
        <f t="shared" si="17"/>
        <v>394998281.48321486</v>
      </c>
      <c r="F44" s="2">
        <f t="shared" si="17"/>
        <v>401750208.00301719</v>
      </c>
      <c r="G44" s="2">
        <f t="shared" si="17"/>
        <v>405792218.02659833</v>
      </c>
    </row>
    <row r="45" spans="1:7" ht="15.75" thickBot="1" x14ac:dyDescent="0.3">
      <c r="A45" s="1" t="s">
        <v>99</v>
      </c>
      <c r="B45" s="3">
        <f>B29</f>
        <v>0</v>
      </c>
      <c r="C45" s="3">
        <f t="shared" ref="C45:G45" si="18">C29</f>
        <v>41629163.42857141</v>
      </c>
      <c r="D45" s="3">
        <f t="shared" si="18"/>
        <v>58867208.613180071</v>
      </c>
      <c r="E45" s="3">
        <f t="shared" si="18"/>
        <v>78270972.32186304</v>
      </c>
      <c r="F45" s="3">
        <f t="shared" si="18"/>
        <v>101659713.90401644</v>
      </c>
      <c r="G45" s="3">
        <f t="shared" si="18"/>
        <v>128619354.12904343</v>
      </c>
    </row>
    <row r="46" spans="1:7" ht="15.75" thickTop="1" x14ac:dyDescent="0.25">
      <c r="A46" s="4" t="s">
        <v>100</v>
      </c>
      <c r="B46" s="5">
        <f t="shared" ref="B46:G46" si="19">B44-B45</f>
        <v>292000000</v>
      </c>
      <c r="C46" s="5">
        <f t="shared" si="19"/>
        <v>338533491.50452542</v>
      </c>
      <c r="D46" s="5">
        <f t="shared" si="19"/>
        <v>330103864.27822375</v>
      </c>
      <c r="E46" s="5">
        <f t="shared" si="19"/>
        <v>316727309.1613518</v>
      </c>
      <c r="F46" s="5">
        <f t="shared" si="19"/>
        <v>300090494.09900075</v>
      </c>
      <c r="G46" s="5">
        <f t="shared" si="19"/>
        <v>277172863.89755487</v>
      </c>
    </row>
    <row r="47" spans="1:7" x14ac:dyDescent="0.25">
      <c r="A47" s="1"/>
      <c r="B47" s="2"/>
      <c r="C47" s="2"/>
      <c r="D47" s="2"/>
      <c r="E47" s="2"/>
      <c r="F47" s="2"/>
      <c r="G47" s="2"/>
    </row>
    <row r="48" spans="1:7" x14ac:dyDescent="0.25">
      <c r="A48" s="4" t="s">
        <v>101</v>
      </c>
      <c r="B48" s="2">
        <f>B26</f>
        <v>20000000</v>
      </c>
      <c r="C48" s="2">
        <f t="shared" ref="C48:G48" si="20">C26</f>
        <v>16500000</v>
      </c>
      <c r="D48" s="2">
        <f t="shared" si="20"/>
        <v>13000000</v>
      </c>
      <c r="E48" s="2">
        <f t="shared" si="20"/>
        <v>9500000</v>
      </c>
      <c r="F48" s="2">
        <f t="shared" si="20"/>
        <v>6000000</v>
      </c>
      <c r="G48" s="2">
        <f t="shared" si="20"/>
        <v>2500000</v>
      </c>
    </row>
    <row r="49" spans="1:7" ht="15.75" thickBot="1" x14ac:dyDescent="0.3">
      <c r="A49" s="1" t="s">
        <v>102</v>
      </c>
      <c r="B49" s="3">
        <f>B25</f>
        <v>0</v>
      </c>
      <c r="C49" s="3">
        <f t="shared" ref="C49:G49" si="21">C25</f>
        <v>3500000</v>
      </c>
      <c r="D49" s="3">
        <f t="shared" si="21"/>
        <v>7000000</v>
      </c>
      <c r="E49" s="3">
        <f t="shared" si="21"/>
        <v>10500000</v>
      </c>
      <c r="F49" s="3">
        <f t="shared" si="21"/>
        <v>14000000</v>
      </c>
      <c r="G49" s="3">
        <f t="shared" si="21"/>
        <v>17500000</v>
      </c>
    </row>
    <row r="50" spans="1:7" ht="15.75" thickTop="1" x14ac:dyDescent="0.25">
      <c r="A50" s="4" t="s">
        <v>103</v>
      </c>
      <c r="B50" s="5">
        <f t="shared" ref="B50:G50" si="22">B48+B49</f>
        <v>20000000</v>
      </c>
      <c r="C50" s="5">
        <f t="shared" si="22"/>
        <v>20000000</v>
      </c>
      <c r="D50" s="5">
        <f t="shared" si="22"/>
        <v>20000000</v>
      </c>
      <c r="E50" s="5">
        <f t="shared" si="22"/>
        <v>20000000</v>
      </c>
      <c r="F50" s="5">
        <f t="shared" si="22"/>
        <v>20000000</v>
      </c>
      <c r="G50" s="5">
        <f t="shared" si="22"/>
        <v>20000000</v>
      </c>
    </row>
    <row r="51" spans="1:7" x14ac:dyDescent="0.25">
      <c r="A51" s="1"/>
      <c r="B51" s="2"/>
      <c r="C51" s="2"/>
      <c r="D51" s="2"/>
      <c r="E51" s="2"/>
      <c r="F51" s="2"/>
      <c r="G51" s="2"/>
    </row>
    <row r="52" spans="1:7" ht="15.75" thickBot="1" x14ac:dyDescent="0.3">
      <c r="A52" s="12" t="s">
        <v>104</v>
      </c>
      <c r="B52" s="6">
        <f t="shared" ref="B52:G52" si="23">B46+B48</f>
        <v>312000000</v>
      </c>
      <c r="C52" s="6">
        <f t="shared" si="23"/>
        <v>355033491.50452542</v>
      </c>
      <c r="D52" s="6">
        <f t="shared" si="23"/>
        <v>343103864.27822375</v>
      </c>
      <c r="E52" s="6">
        <f t="shared" si="23"/>
        <v>326227309.1613518</v>
      </c>
      <c r="F52" s="6">
        <f t="shared" si="23"/>
        <v>306090494.09900075</v>
      </c>
      <c r="G52" s="6">
        <f t="shared" si="23"/>
        <v>279672863.89755487</v>
      </c>
    </row>
    <row r="53" spans="1:7" ht="15.75" thickTop="1" x14ac:dyDescent="0.25">
      <c r="A53" s="7"/>
      <c r="B53" s="2"/>
      <c r="C53" s="2"/>
      <c r="D53" s="2"/>
      <c r="E53" s="2"/>
      <c r="F53" s="2"/>
      <c r="G53" s="2"/>
    </row>
    <row r="54" spans="1:7" x14ac:dyDescent="0.25">
      <c r="A54" s="179" t="s">
        <v>105</v>
      </c>
      <c r="B54" s="179"/>
      <c r="C54" s="179"/>
      <c r="D54" s="179"/>
      <c r="E54" s="179"/>
      <c r="F54" s="179"/>
      <c r="G54" s="179"/>
    </row>
    <row r="55" spans="1:7" x14ac:dyDescent="0.25">
      <c r="A55" s="1" t="s">
        <v>106</v>
      </c>
      <c r="C55" s="9">
        <f>C13</f>
        <v>179289915.9663865</v>
      </c>
      <c r="D55" s="9">
        <f t="shared" ref="D55:G55" si="24">D13</f>
        <v>222374394.95798314</v>
      </c>
      <c r="E55" s="9">
        <f t="shared" si="24"/>
        <v>270293318.48739505</v>
      </c>
      <c r="F55" s="9">
        <f t="shared" si="24"/>
        <v>328087929.67621857</v>
      </c>
      <c r="G55" s="9">
        <f t="shared" si="24"/>
        <v>394168429.5980956</v>
      </c>
    </row>
    <row r="56" spans="1:7" ht="15.75" thickBot="1" x14ac:dyDescent="0.3">
      <c r="A56" s="1" t="s">
        <v>107</v>
      </c>
      <c r="C56" s="10">
        <f>C55*'1'!$AB$7</f>
        <v>60958571.42857141</v>
      </c>
      <c r="D56" s="10">
        <f>D55*'1'!$AB$7</f>
        <v>75607294.285714269</v>
      </c>
      <c r="E56" s="10">
        <f>E55*'1'!$AB$7</f>
        <v>91899728.285714328</v>
      </c>
      <c r="F56" s="10">
        <f>F55*'1'!$AB$7</f>
        <v>111549896.08991432</v>
      </c>
      <c r="G56" s="10">
        <f>G55*'1'!$AB$7</f>
        <v>134017266.06335251</v>
      </c>
    </row>
    <row r="57" spans="1:7" ht="15.75" thickTop="1" x14ac:dyDescent="0.25">
      <c r="A57" s="4" t="s">
        <v>108</v>
      </c>
      <c r="C57" s="9">
        <f>C55-C56</f>
        <v>118331344.53781509</v>
      </c>
      <c r="D57" s="9">
        <f>D55-D56</f>
        <v>146767100.67226887</v>
      </c>
      <c r="E57" s="9">
        <f>E55-E56</f>
        <v>178393590.20168072</v>
      </c>
      <c r="F57" s="9">
        <f>F55-F56</f>
        <v>216538033.58630425</v>
      </c>
      <c r="G57" s="9">
        <f>G55-G56</f>
        <v>260151163.53474307</v>
      </c>
    </row>
    <row r="58" spans="1:7" ht="15.75" thickBot="1" x14ac:dyDescent="0.3">
      <c r="A58" s="1" t="s">
        <v>109</v>
      </c>
      <c r="C58" s="10">
        <f>-(C52-B52)</f>
        <v>-43033491.504525423</v>
      </c>
      <c r="D58" s="10">
        <f t="shared" ref="D58:G58" si="25">-(D52-C52)</f>
        <v>11929627.22630167</v>
      </c>
      <c r="E58" s="10">
        <f t="shared" si="25"/>
        <v>16876555.116871953</v>
      </c>
      <c r="F58" s="10">
        <f t="shared" si="25"/>
        <v>20136815.062351048</v>
      </c>
      <c r="G58" s="10">
        <f t="shared" si="25"/>
        <v>26417630.201445878</v>
      </c>
    </row>
    <row r="59" spans="1:7" ht="16.5" thickTop="1" thickBot="1" x14ac:dyDescent="0.3">
      <c r="A59" s="59" t="s">
        <v>110</v>
      </c>
      <c r="B59" s="60"/>
      <c r="C59" s="61">
        <f>SUM(C57:C58)</f>
        <v>75297853.033289671</v>
      </c>
      <c r="D59" s="61">
        <f t="shared" ref="D59:G59" si="26">SUM(D57:D58)</f>
        <v>158696727.89857054</v>
      </c>
      <c r="E59" s="61">
        <f t="shared" si="26"/>
        <v>195270145.31855267</v>
      </c>
      <c r="F59" s="61">
        <f t="shared" si="26"/>
        <v>236674848.6486553</v>
      </c>
      <c r="G59" s="61">
        <f t="shared" si="26"/>
        <v>286568793.73618895</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P66"/>
  <sheetViews>
    <sheetView showGridLines="0" topLeftCell="B11" zoomScaleNormal="100" workbookViewId="0">
      <selection activeCell="D17" sqref="D17"/>
    </sheetView>
  </sheetViews>
  <sheetFormatPr baseColWidth="10" defaultColWidth="11.42578125" defaultRowHeight="15" x14ac:dyDescent="0.25"/>
  <cols>
    <col min="1" max="1" width="11.42578125" style="8"/>
    <col min="2" max="2" width="32.5703125" style="8" customWidth="1"/>
    <col min="3" max="3" width="24.28515625" style="8" bestFit="1" customWidth="1"/>
    <col min="4" max="4" width="36.28515625" style="8" bestFit="1" customWidth="1"/>
    <col min="5" max="5" width="27.1406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68" t="s">
        <v>131</v>
      </c>
      <c r="C2" s="168"/>
      <c r="D2" s="168"/>
      <c r="E2" s="168"/>
      <c r="F2" s="168"/>
      <c r="G2" s="168"/>
      <c r="H2" s="168"/>
    </row>
    <row r="3" spans="2:16" ht="15.75" customHeight="1" x14ac:dyDescent="0.25">
      <c r="B3" s="187" t="s">
        <v>159</v>
      </c>
      <c r="C3" s="187"/>
      <c r="D3" s="187"/>
      <c r="E3" s="188">
        <v>0.21149999999999999</v>
      </c>
      <c r="F3" s="188"/>
    </row>
    <row r="4" spans="2:16" ht="16.5" customHeight="1" x14ac:dyDescent="0.25">
      <c r="B4" s="187"/>
      <c r="C4" s="187"/>
      <c r="D4" s="187"/>
      <c r="E4" s="188"/>
      <c r="F4" s="188"/>
      <c r="O4" s="102"/>
    </row>
    <row r="5" spans="2:16" ht="16.5" customHeight="1" x14ac:dyDescent="0.25">
      <c r="B5" s="185"/>
      <c r="C5" s="185"/>
      <c r="D5" s="185"/>
      <c r="E5" s="135"/>
      <c r="F5" s="135"/>
      <c r="O5" s="102"/>
    </row>
    <row r="6" spans="2:16" ht="15.75" thickBot="1" x14ac:dyDescent="0.3">
      <c r="O6" s="102"/>
      <c r="P6" s="105"/>
    </row>
    <row r="7" spans="2:16" ht="23.25" x14ac:dyDescent="0.25">
      <c r="B7" s="101" t="s">
        <v>111</v>
      </c>
      <c r="C7" s="85" t="s">
        <v>112</v>
      </c>
      <c r="D7" s="86">
        <f>'4'!C20</f>
        <v>2024</v>
      </c>
      <c r="E7" s="86">
        <f>'4'!D20</f>
        <v>2025</v>
      </c>
      <c r="F7" s="86">
        <f>'4'!E20</f>
        <v>2026</v>
      </c>
      <c r="G7" s="86">
        <f>'4'!F20</f>
        <v>2027</v>
      </c>
      <c r="H7" s="87">
        <f>'4'!G20</f>
        <v>2028</v>
      </c>
      <c r="O7" s="102"/>
      <c r="P7" s="104"/>
    </row>
    <row r="8" spans="2:16" ht="19.5" thickBot="1" x14ac:dyDescent="0.35">
      <c r="B8" s="88"/>
      <c r="C8" s="110">
        <f>-'3'!D14</f>
        <v>-312000000</v>
      </c>
      <c r="D8" s="110">
        <f>'4'!C59</f>
        <v>75297853.033289671</v>
      </c>
      <c r="E8" s="110">
        <f>'4'!D59</f>
        <v>158696727.89857054</v>
      </c>
      <c r="F8" s="110">
        <f>'4'!E59</f>
        <v>195270145.31855267</v>
      </c>
      <c r="G8" s="110">
        <f>'4'!F59</f>
        <v>236674848.6486553</v>
      </c>
      <c r="H8" s="111">
        <f>'4'!G59</f>
        <v>286568793.73618895</v>
      </c>
      <c r="O8" s="102"/>
      <c r="P8" s="104"/>
    </row>
    <row r="9" spans="2:16" ht="15.75" thickBot="1" x14ac:dyDescent="0.3">
      <c r="C9" s="73">
        <f>C8/(1+$E$3)^0</f>
        <v>-312000000</v>
      </c>
      <c r="D9" s="73">
        <f>D8/(1+$E$3)^1</f>
        <v>62152581.950713716</v>
      </c>
      <c r="E9" s="73">
        <f>E8/(1+$E$3)^2</f>
        <v>108123758.87943494</v>
      </c>
      <c r="F9" s="73">
        <f>F8/(1+$E$3)^3</f>
        <v>109815993.26524477</v>
      </c>
      <c r="G9" s="73">
        <f>G8/(1+$E$3)^4</f>
        <v>109864765.77658859</v>
      </c>
      <c r="H9" s="73">
        <f>H8/(1+$E$3)^5</f>
        <v>109802392.5281356</v>
      </c>
      <c r="O9" s="102"/>
      <c r="P9" s="104"/>
    </row>
    <row r="10" spans="2:16" ht="24" thickBot="1" x14ac:dyDescent="0.4">
      <c r="B10" s="30" t="s">
        <v>113</v>
      </c>
      <c r="C10" s="31"/>
      <c r="D10" s="112">
        <f>NPV(E3,D8:H8)+$C$8</f>
        <v>187759492.40011764</v>
      </c>
      <c r="O10" s="102"/>
      <c r="P10" s="104"/>
    </row>
    <row r="11" spans="2:16" ht="28.5" thickBot="1" x14ac:dyDescent="0.4">
      <c r="B11" s="109" t="s">
        <v>114</v>
      </c>
      <c r="C11" s="31"/>
      <c r="D11" s="113">
        <f>IF(ISERROR(IRR(C8:H8)),"NO_APLICA",(IRR(C8:H8)))</f>
        <v>0.41337117934797085</v>
      </c>
      <c r="F11" s="106" t="s">
        <v>136</v>
      </c>
      <c r="G11" s="31"/>
      <c r="H11" s="107">
        <f>IF(ISERROR(-C9/AVERAGE(D9:H9)),"NO_APLICA",(-C9/AVERAGE(D9:H9)))</f>
        <v>3.1215014896626161</v>
      </c>
      <c r="I11" s="108" t="s">
        <v>63</v>
      </c>
      <c r="P11" s="103"/>
    </row>
    <row r="13" spans="2:16" ht="18.75" x14ac:dyDescent="0.3">
      <c r="B13" s="189" t="s">
        <v>118</v>
      </c>
      <c r="C13" s="189"/>
      <c r="D13" s="189"/>
      <c r="E13" s="189"/>
      <c r="F13" s="189"/>
      <c r="G13" s="189"/>
      <c r="H13" s="189"/>
    </row>
    <row r="14" spans="2:16" ht="36.75" x14ac:dyDescent="0.25">
      <c r="B14" s="89" t="str">
        <f>'1'!B2</f>
        <v>NOMBRE DEL PRODUCTO O SERVICIO</v>
      </c>
      <c r="C14" s="89" t="s">
        <v>119</v>
      </c>
      <c r="D14" s="89" t="s">
        <v>120</v>
      </c>
      <c r="E14" s="89" t="s">
        <v>121</v>
      </c>
      <c r="F14" s="89" t="s">
        <v>123</v>
      </c>
      <c r="H14" s="73"/>
      <c r="I14" s="73"/>
      <c r="J14" s="73" t="s">
        <v>127</v>
      </c>
    </row>
    <row r="15" spans="2:16" x14ac:dyDescent="0.25">
      <c r="B15" s="38" t="str">
        <f>'1'!B3</f>
        <v>Desafios Ilimitado</v>
      </c>
      <c r="C15" s="90">
        <f>'1'!D3-'1'!D17</f>
        <v>48823.529411764706</v>
      </c>
      <c r="D15" s="91">
        <f>'1'!F3</f>
        <v>0.24778761061946905</v>
      </c>
      <c r="E15" s="90">
        <f>C15*D15</f>
        <v>12097.865694950548</v>
      </c>
      <c r="F15" s="92">
        <f t="shared" ref="F15:F24" si="0">$E$28*D15</f>
        <v>840.96138570733069</v>
      </c>
      <c r="G15" s="38" t="s">
        <v>122</v>
      </c>
      <c r="H15" s="74">
        <f>'1'!D3</f>
        <v>58823.529411764706</v>
      </c>
      <c r="I15" s="93">
        <f t="shared" ref="I15:I24" si="1">$B$35*D15</f>
        <v>1681.9227714146614</v>
      </c>
      <c r="J15" s="74">
        <f>'1'!D17</f>
        <v>10000</v>
      </c>
    </row>
    <row r="16" spans="2:16" x14ac:dyDescent="0.25">
      <c r="B16" s="94" t="str">
        <f>'1'!B4</f>
        <v>Desafios Limitado Acceso 3 meses</v>
      </c>
      <c r="C16" s="90">
        <f>'1'!D4-'1'!D18</f>
        <v>19411.764705882353</v>
      </c>
      <c r="D16" s="91">
        <f>'1'!F4</f>
        <v>0.12389380530973453</v>
      </c>
      <c r="E16" s="90">
        <f t="shared" ref="E16:E24" si="2">C16*D16</f>
        <v>2404.9973971889644</v>
      </c>
      <c r="F16" s="92">
        <f t="shared" si="0"/>
        <v>420.48069285366535</v>
      </c>
      <c r="G16" s="38" t="str">
        <f>G15</f>
        <v>UNIDADES</v>
      </c>
      <c r="H16" s="74">
        <f>'1'!D4</f>
        <v>29411.764705882353</v>
      </c>
      <c r="I16" s="93">
        <f t="shared" si="1"/>
        <v>840.96138570733069</v>
      </c>
      <c r="J16" s="74">
        <f>'1'!D18</f>
        <v>10000</v>
      </c>
    </row>
    <row r="17" spans="2:10" x14ac:dyDescent="0.25">
      <c r="B17" s="94" t="str">
        <f>'1'!B5</f>
        <v>Curso Fundamentos de Ciberseguridad</v>
      </c>
      <c r="C17" s="90">
        <f>'1'!D5-'1'!D19</f>
        <v>32016.806722689078</v>
      </c>
      <c r="D17" s="91">
        <f>'1'!F5</f>
        <v>0.13274336283185842</v>
      </c>
      <c r="E17" s="90">
        <f t="shared" si="2"/>
        <v>4250.0185915073998</v>
      </c>
      <c r="F17" s="92">
        <f t="shared" si="0"/>
        <v>450.51502805749863</v>
      </c>
      <c r="G17" s="38" t="str">
        <f t="shared" ref="G17:G24" si="3">G16</f>
        <v>UNIDADES</v>
      </c>
      <c r="H17" s="74">
        <f>'1'!D5</f>
        <v>42016.806722689078</v>
      </c>
      <c r="I17" s="93">
        <f t="shared" si="1"/>
        <v>901.03005611499725</v>
      </c>
      <c r="J17" s="74">
        <f>'1'!D19</f>
        <v>10000</v>
      </c>
    </row>
    <row r="18" spans="2:10" x14ac:dyDescent="0.25">
      <c r="B18" s="94" t="str">
        <f>'1'!B6</f>
        <v>Seguridad de la Información</v>
      </c>
      <c r="C18" s="90">
        <f>'1'!D6-'1'!D20</f>
        <v>111050.42016806723</v>
      </c>
      <c r="D18" s="91">
        <f>'1'!F6</f>
        <v>0.26548672566371684</v>
      </c>
      <c r="E18" s="90">
        <f t="shared" si="2"/>
        <v>29482.412434000151</v>
      </c>
      <c r="F18" s="92">
        <f t="shared" si="0"/>
        <v>901.03005611499725</v>
      </c>
      <c r="G18" s="38" t="str">
        <f t="shared" si="3"/>
        <v>UNIDADES</v>
      </c>
      <c r="H18" s="74">
        <f>'1'!D6</f>
        <v>126050.42016806723</v>
      </c>
      <c r="I18" s="93">
        <f t="shared" si="1"/>
        <v>1802.0601122299945</v>
      </c>
      <c r="J18" s="74">
        <f>'1'!D20</f>
        <v>15000</v>
      </c>
    </row>
    <row r="19" spans="2:10" x14ac:dyDescent="0.25">
      <c r="B19" s="94" t="str">
        <f>'1'!B7</f>
        <v>Seguridad de Aplicaciones</v>
      </c>
      <c r="C19" s="90">
        <f>'1'!D7-'1'!D21</f>
        <v>35420.168067226892</v>
      </c>
      <c r="D19" s="91">
        <f>'1'!F7</f>
        <v>0.10619469026548675</v>
      </c>
      <c r="E19" s="90">
        <f t="shared" si="2"/>
        <v>3761.4337770506445</v>
      </c>
      <c r="F19" s="92">
        <f t="shared" si="0"/>
        <v>360.41202244599896</v>
      </c>
      <c r="G19" s="38" t="str">
        <f t="shared" si="3"/>
        <v>UNIDADES</v>
      </c>
      <c r="H19" s="74">
        <f>'1'!D7</f>
        <v>50420.168067226892</v>
      </c>
      <c r="I19" s="93">
        <f t="shared" si="1"/>
        <v>720.82404489199791</v>
      </c>
      <c r="J19" s="74">
        <f>'1'!D21</f>
        <v>15000</v>
      </c>
    </row>
    <row r="20" spans="2:10" x14ac:dyDescent="0.25">
      <c r="B20" s="94" t="str">
        <f>'1'!B8</f>
        <v>Gestión de Riesgos de Seguridad</v>
      </c>
      <c r="C20" s="90">
        <f>'1'!D8-'1'!D22</f>
        <v>48823.529411764706</v>
      </c>
      <c r="D20" s="91">
        <f>'1'!F8</f>
        <v>0.12389380530973453</v>
      </c>
      <c r="E20" s="90">
        <f t="shared" si="2"/>
        <v>6048.9328474752738</v>
      </c>
      <c r="F20" s="92">
        <f t="shared" si="0"/>
        <v>420.48069285366535</v>
      </c>
      <c r="G20" s="38" t="str">
        <f t="shared" si="3"/>
        <v>UNIDADES</v>
      </c>
      <c r="H20" s="74">
        <f>'1'!D8</f>
        <v>58823.529411764706</v>
      </c>
      <c r="I20" s="93">
        <f t="shared" si="1"/>
        <v>840.96138570733069</v>
      </c>
      <c r="J20" s="74">
        <f>'1'!D22</f>
        <v>10000</v>
      </c>
    </row>
    <row r="21" spans="2:10" x14ac:dyDescent="0.25">
      <c r="B21" s="94">
        <f>'1'!B9</f>
        <v>0</v>
      </c>
      <c r="C21" s="90">
        <f>'1'!D9-'1'!D23</f>
        <v>0</v>
      </c>
      <c r="D21" s="91">
        <f>'1'!F9</f>
        <v>0</v>
      </c>
      <c r="E21" s="90">
        <f t="shared" si="2"/>
        <v>0</v>
      </c>
      <c r="F21" s="92">
        <f t="shared" si="0"/>
        <v>0</v>
      </c>
      <c r="G21" s="38" t="str">
        <f t="shared" si="3"/>
        <v>UNIDADES</v>
      </c>
      <c r="H21" s="74">
        <f>'1'!D9</f>
        <v>0</v>
      </c>
      <c r="I21" s="93">
        <f t="shared" si="1"/>
        <v>0</v>
      </c>
      <c r="J21" s="74">
        <f>'1'!D23</f>
        <v>0</v>
      </c>
    </row>
    <row r="22" spans="2:10" x14ac:dyDescent="0.25">
      <c r="B22" s="94">
        <f>'1'!B10</f>
        <v>0</v>
      </c>
      <c r="C22" s="90">
        <f>'1'!D10-'1'!D24</f>
        <v>0</v>
      </c>
      <c r="D22" s="91">
        <f>'1'!F10</f>
        <v>0</v>
      </c>
      <c r="E22" s="90">
        <f t="shared" si="2"/>
        <v>0</v>
      </c>
      <c r="F22" s="92">
        <f t="shared" si="0"/>
        <v>0</v>
      </c>
      <c r="G22" s="38" t="str">
        <f t="shared" si="3"/>
        <v>UNIDADES</v>
      </c>
      <c r="H22" s="74">
        <f>'1'!D10</f>
        <v>0</v>
      </c>
      <c r="I22" s="93">
        <f t="shared" si="1"/>
        <v>0</v>
      </c>
      <c r="J22" s="74">
        <f>'1'!D24</f>
        <v>0</v>
      </c>
    </row>
    <row r="23" spans="2:10" x14ac:dyDescent="0.25">
      <c r="B23" s="94">
        <f>'1'!B11</f>
        <v>0</v>
      </c>
      <c r="C23" s="90">
        <f>'1'!D11-'1'!D25</f>
        <v>0</v>
      </c>
      <c r="D23" s="91">
        <f>'1'!F11</f>
        <v>0</v>
      </c>
      <c r="E23" s="90">
        <f t="shared" si="2"/>
        <v>0</v>
      </c>
      <c r="F23" s="92">
        <f t="shared" si="0"/>
        <v>0</v>
      </c>
      <c r="G23" s="38" t="str">
        <f t="shared" si="3"/>
        <v>UNIDADES</v>
      </c>
      <c r="H23" s="74">
        <f>'1'!D11</f>
        <v>0</v>
      </c>
      <c r="I23" s="93">
        <f t="shared" si="1"/>
        <v>0</v>
      </c>
      <c r="J23" s="74">
        <f>'1'!D25</f>
        <v>0</v>
      </c>
    </row>
    <row r="24" spans="2:10" x14ac:dyDescent="0.25">
      <c r="B24" s="38">
        <f>'1'!B12</f>
        <v>0</v>
      </c>
      <c r="C24" s="90">
        <f>'1'!D12-'1'!D26</f>
        <v>0</v>
      </c>
      <c r="D24" s="91">
        <f>'1'!F12</f>
        <v>0</v>
      </c>
      <c r="E24" s="90">
        <f t="shared" si="2"/>
        <v>0</v>
      </c>
      <c r="F24" s="92">
        <f t="shared" si="0"/>
        <v>0</v>
      </c>
      <c r="G24" s="38" t="str">
        <f t="shared" si="3"/>
        <v>UNIDADES</v>
      </c>
      <c r="H24" s="74">
        <f>'1'!D12</f>
        <v>0</v>
      </c>
      <c r="I24" s="93">
        <f t="shared" si="1"/>
        <v>0</v>
      </c>
      <c r="J24" s="74">
        <f>'1'!D26</f>
        <v>0</v>
      </c>
    </row>
    <row r="25" spans="2:10" ht="26.25" x14ac:dyDescent="0.4">
      <c r="C25" s="26"/>
      <c r="D25" s="95"/>
      <c r="E25" s="26"/>
      <c r="F25" s="96">
        <f>SUM(F15:F24)</f>
        <v>3393.8798780331558</v>
      </c>
      <c r="G25" s="8" t="str">
        <f>G24</f>
        <v>UNIDADES</v>
      </c>
      <c r="H25" s="74"/>
      <c r="I25" s="93"/>
      <c r="J25" s="74"/>
    </row>
    <row r="26" spans="2:10" ht="12.75" customHeight="1" x14ac:dyDescent="0.4">
      <c r="C26" s="26"/>
      <c r="D26" s="95"/>
      <c r="E26" s="26"/>
      <c r="F26" s="96"/>
      <c r="H26" s="74"/>
      <c r="I26" s="93"/>
      <c r="J26" s="74"/>
    </row>
    <row r="27" spans="2:10" ht="21" customHeight="1" x14ac:dyDescent="0.4">
      <c r="B27" s="186" t="s">
        <v>130</v>
      </c>
      <c r="C27" s="186"/>
      <c r="D27" s="186"/>
      <c r="E27" s="97">
        <f>SUM(E15:E24)</f>
        <v>58045.660742172986</v>
      </c>
      <c r="H27" s="73"/>
      <c r="I27" s="73"/>
      <c r="J27" s="73"/>
    </row>
    <row r="28" spans="2:10" ht="19.5" customHeight="1" x14ac:dyDescent="0.4">
      <c r="B28" s="186" t="s">
        <v>129</v>
      </c>
      <c r="C28" s="186"/>
      <c r="D28" s="186"/>
      <c r="E28" s="96">
        <f>IF(E27=0,0,('2'!C23+'2'!F31+'2'!C25)/'5'!E27)</f>
        <v>3393.8798780331558</v>
      </c>
      <c r="F28" s="98" t="s">
        <v>122</v>
      </c>
      <c r="H28" s="99"/>
    </row>
    <row r="29" spans="2:10" ht="26.25" x14ac:dyDescent="0.4">
      <c r="B29" s="186" t="s">
        <v>153</v>
      </c>
      <c r="C29" s="186"/>
      <c r="D29" s="186"/>
      <c r="E29" s="97">
        <f>E49</f>
        <v>237246009.17313656</v>
      </c>
    </row>
    <row r="30" spans="2:10" x14ac:dyDescent="0.25">
      <c r="B30" s="130"/>
      <c r="C30" s="130"/>
      <c r="D30" s="130"/>
      <c r="E30" s="130"/>
      <c r="F30" s="130"/>
      <c r="G30" s="130"/>
    </row>
    <row r="31" spans="2:10" s="73" customFormat="1" x14ac:dyDescent="0.25"/>
    <row r="32" spans="2:10" s="73" customFormat="1" x14ac:dyDescent="0.25">
      <c r="C32" s="73" t="s">
        <v>124</v>
      </c>
      <c r="D32" s="73" t="s">
        <v>125</v>
      </c>
      <c r="E32" s="73" t="s">
        <v>128</v>
      </c>
      <c r="F32" s="73" t="s">
        <v>126</v>
      </c>
    </row>
    <row r="33" spans="2:6" s="73" customFormat="1" x14ac:dyDescent="0.25">
      <c r="B33" s="73">
        <v>0</v>
      </c>
      <c r="C33" s="74">
        <f>'2'!C25+'2'!F31+'2'!C23</f>
        <v>197000000</v>
      </c>
      <c r="D33" s="73">
        <f>0</f>
        <v>0</v>
      </c>
      <c r="E33" s="73">
        <v>0</v>
      </c>
      <c r="F33" s="74">
        <f>C33+E33</f>
        <v>197000000</v>
      </c>
    </row>
    <row r="34" spans="2:6" s="73" customFormat="1" x14ac:dyDescent="0.25">
      <c r="B34" s="93">
        <f>F25</f>
        <v>3393.8798780331558</v>
      </c>
      <c r="C34" s="74">
        <f>C33</f>
        <v>197000000</v>
      </c>
      <c r="D34" s="131">
        <f>SUMPRODUCT(F15:F24,H15:H24)</f>
        <v>237246009.17313656</v>
      </c>
      <c r="E34" s="131">
        <f>SUMPRODUCT(F15:F24,J15:J24)</f>
        <v>40246009.17313654</v>
      </c>
      <c r="F34" s="74">
        <f t="shared" ref="F34:F35" si="4">C34+E34</f>
        <v>237246009.17313653</v>
      </c>
    </row>
    <row r="35" spans="2:6" s="73" customFormat="1" x14ac:dyDescent="0.25">
      <c r="B35" s="93">
        <f>B34*2</f>
        <v>6787.7597560663116</v>
      </c>
      <c r="C35" s="74">
        <f>C34</f>
        <v>197000000</v>
      </c>
      <c r="D35" s="131">
        <f>SUMPRODUCT(H15:H24,I15:I24)</f>
        <v>474492018.34627312</v>
      </c>
      <c r="E35" s="131">
        <f>SUMPRODUCT(I15:I24,J15:J24)</f>
        <v>80492018.34627308</v>
      </c>
      <c r="F35" s="74">
        <f t="shared" si="4"/>
        <v>277492018.34627306</v>
      </c>
    </row>
    <row r="36" spans="2:6" s="73" customFormat="1" x14ac:dyDescent="0.25">
      <c r="C36" s="74"/>
    </row>
    <row r="37" spans="2:6" s="73" customFormat="1" x14ac:dyDescent="0.25">
      <c r="C37" s="74"/>
    </row>
    <row r="38" spans="2:6" s="73" customFormat="1" x14ac:dyDescent="0.25">
      <c r="C38" s="132" t="s">
        <v>151</v>
      </c>
      <c r="D38" s="73" t="s">
        <v>122</v>
      </c>
      <c r="E38" s="73" t="s">
        <v>152</v>
      </c>
    </row>
    <row r="39" spans="2:6" s="73" customFormat="1" x14ac:dyDescent="0.25">
      <c r="B39" s="73">
        <v>1</v>
      </c>
      <c r="C39" s="74">
        <f>'1'!D3</f>
        <v>58823.529411764706</v>
      </c>
      <c r="D39" s="93">
        <f>F15</f>
        <v>840.96138570733069</v>
      </c>
      <c r="E39" s="73">
        <f>C39*D39</f>
        <v>49468316.806313567</v>
      </c>
    </row>
    <row r="40" spans="2:6" s="73" customFormat="1" x14ac:dyDescent="0.25">
      <c r="B40" s="73">
        <f>B39+1</f>
        <v>2</v>
      </c>
      <c r="C40" s="74">
        <f>'1'!D4</f>
        <v>29411.764705882353</v>
      </c>
      <c r="D40" s="93">
        <f t="shared" ref="D40:D48" si="5">F16</f>
        <v>420.48069285366535</v>
      </c>
      <c r="E40" s="73">
        <f t="shared" ref="E40:E48" si="6">C40*D40</f>
        <v>12367079.201578392</v>
      </c>
    </row>
    <row r="41" spans="2:6" s="73" customFormat="1" x14ac:dyDescent="0.25">
      <c r="B41" s="73">
        <f t="shared" ref="B41:B48" si="7">B40+1</f>
        <v>3</v>
      </c>
      <c r="C41" s="74">
        <f>'1'!D5</f>
        <v>42016.806722689078</v>
      </c>
      <c r="D41" s="93">
        <f t="shared" si="5"/>
        <v>450.51502805749863</v>
      </c>
      <c r="E41" s="73">
        <f t="shared" si="6"/>
        <v>18929202.859558769</v>
      </c>
    </row>
    <row r="42" spans="2:6" s="73" customFormat="1" x14ac:dyDescent="0.25">
      <c r="B42" s="73">
        <f t="shared" si="7"/>
        <v>4</v>
      </c>
      <c r="C42" s="74">
        <f>'1'!D6</f>
        <v>126050.42016806723</v>
      </c>
      <c r="D42" s="93">
        <f t="shared" si="5"/>
        <v>901.03005611499725</v>
      </c>
      <c r="E42" s="73">
        <f t="shared" si="6"/>
        <v>113575217.1573526</v>
      </c>
    </row>
    <row r="43" spans="2:6" s="73" customFormat="1" x14ac:dyDescent="0.25">
      <c r="B43" s="73">
        <f t="shared" si="7"/>
        <v>5</v>
      </c>
      <c r="C43" s="74">
        <f>'1'!D7</f>
        <v>50420.168067226892</v>
      </c>
      <c r="D43" s="93">
        <f t="shared" si="5"/>
        <v>360.41202244599896</v>
      </c>
      <c r="E43" s="73">
        <f t="shared" si="6"/>
        <v>18172034.74517642</v>
      </c>
    </row>
    <row r="44" spans="2:6" s="73" customFormat="1" x14ac:dyDescent="0.25">
      <c r="B44" s="73">
        <f t="shared" si="7"/>
        <v>6</v>
      </c>
      <c r="C44" s="74">
        <f>'1'!D8</f>
        <v>58823.529411764706</v>
      </c>
      <c r="D44" s="93">
        <f t="shared" si="5"/>
        <v>420.48069285366535</v>
      </c>
      <c r="E44" s="73">
        <f t="shared" si="6"/>
        <v>24734158.403156783</v>
      </c>
    </row>
    <row r="45" spans="2:6" s="73" customFormat="1" x14ac:dyDescent="0.25">
      <c r="B45" s="73">
        <f t="shared" si="7"/>
        <v>7</v>
      </c>
      <c r="C45" s="74">
        <f>'1'!D9</f>
        <v>0</v>
      </c>
      <c r="D45" s="93">
        <f t="shared" si="5"/>
        <v>0</v>
      </c>
      <c r="E45" s="73">
        <f t="shared" si="6"/>
        <v>0</v>
      </c>
    </row>
    <row r="46" spans="2:6" s="73" customFormat="1" x14ac:dyDescent="0.25">
      <c r="B46" s="73">
        <f t="shared" si="7"/>
        <v>8</v>
      </c>
      <c r="C46" s="74">
        <f>'1'!D10</f>
        <v>0</v>
      </c>
      <c r="D46" s="93">
        <f t="shared" si="5"/>
        <v>0</v>
      </c>
      <c r="E46" s="73">
        <f t="shared" si="6"/>
        <v>0</v>
      </c>
    </row>
    <row r="47" spans="2:6" s="73" customFormat="1" x14ac:dyDescent="0.25">
      <c r="B47" s="73">
        <f t="shared" si="7"/>
        <v>9</v>
      </c>
      <c r="C47" s="74">
        <f>'1'!D11</f>
        <v>0</v>
      </c>
      <c r="D47" s="93">
        <f t="shared" si="5"/>
        <v>0</v>
      </c>
      <c r="E47" s="73">
        <f t="shared" si="6"/>
        <v>0</v>
      </c>
    </row>
    <row r="48" spans="2:6" s="73" customFormat="1" x14ac:dyDescent="0.25">
      <c r="B48" s="73">
        <f t="shared" si="7"/>
        <v>10</v>
      </c>
      <c r="C48" s="74">
        <f>'1'!D12</f>
        <v>0</v>
      </c>
      <c r="D48" s="93">
        <f t="shared" si="5"/>
        <v>0</v>
      </c>
      <c r="E48" s="73">
        <f t="shared" si="6"/>
        <v>0</v>
      </c>
    </row>
    <row r="49" spans="2:8" s="73" customFormat="1" x14ac:dyDescent="0.25">
      <c r="C49" s="74"/>
      <c r="E49" s="133">
        <f>SUM(E39:E48)</f>
        <v>237246009.17313656</v>
      </c>
    </row>
    <row r="50" spans="2:8" s="73" customFormat="1" x14ac:dyDescent="0.25"/>
    <row r="51" spans="2:8" s="73" customFormat="1" x14ac:dyDescent="0.25">
      <c r="C51" s="74"/>
    </row>
    <row r="52" spans="2:8" s="73" customFormat="1" x14ac:dyDescent="0.25">
      <c r="B52" s="184"/>
      <c r="C52" s="184"/>
      <c r="D52" s="184"/>
      <c r="G52" s="73" t="s">
        <v>154</v>
      </c>
      <c r="H52" s="134">
        <f>'4'!B32/'4'!B27</f>
        <v>0.90384615384615385</v>
      </c>
    </row>
    <row r="53" spans="2:8" s="73" customFormat="1" x14ac:dyDescent="0.25">
      <c r="C53" s="74"/>
      <c r="G53" s="73" t="s">
        <v>155</v>
      </c>
      <c r="H53" s="134">
        <f>'4'!B36/'4'!B27</f>
        <v>9.6153846153846159E-2</v>
      </c>
    </row>
    <row r="54" spans="2:8" s="73" customFormat="1" x14ac:dyDescent="0.25">
      <c r="G54" s="73" t="s">
        <v>156</v>
      </c>
      <c r="H54" s="73">
        <f>'1'!AB7</f>
        <v>0.34</v>
      </c>
    </row>
    <row r="55" spans="2:8" s="73" customFormat="1" x14ac:dyDescent="0.25">
      <c r="G55" s="73" t="s">
        <v>157</v>
      </c>
      <c r="H55" s="134">
        <f>'3'!F4</f>
        <v>0.2016</v>
      </c>
    </row>
    <row r="56" spans="2:8" s="73" customFormat="1" x14ac:dyDescent="0.25">
      <c r="G56" s="73" t="s">
        <v>158</v>
      </c>
    </row>
    <row r="57" spans="2:8" s="73" customFormat="1" x14ac:dyDescent="0.25"/>
    <row r="58" spans="2:8" s="73" customFormat="1" x14ac:dyDescent="0.25"/>
    <row r="59" spans="2:8" s="73" customFormat="1" x14ac:dyDescent="0.25"/>
    <row r="60" spans="2:8" s="73" customFormat="1" x14ac:dyDescent="0.25"/>
    <row r="61" spans="2:8" s="73" customFormat="1" x14ac:dyDescent="0.25"/>
    <row r="62" spans="2:8" x14ac:dyDescent="0.25">
      <c r="B62" s="130"/>
      <c r="C62" s="130"/>
      <c r="D62" s="130"/>
      <c r="E62" s="130"/>
      <c r="F62" s="130"/>
      <c r="G62" s="130"/>
    </row>
    <row r="63" spans="2:8" x14ac:dyDescent="0.25">
      <c r="B63" s="130"/>
      <c r="C63" s="130"/>
      <c r="D63" s="130"/>
      <c r="E63" s="130"/>
      <c r="F63" s="130"/>
      <c r="G63" s="130"/>
    </row>
    <row r="64" spans="2:8" x14ac:dyDescent="0.25">
      <c r="B64" s="130"/>
      <c r="C64" s="130"/>
      <c r="D64" s="130"/>
      <c r="E64" s="130"/>
      <c r="F64" s="130"/>
      <c r="G64" s="130"/>
    </row>
    <row r="65" spans="2:7" x14ac:dyDescent="0.25">
      <c r="B65" s="130"/>
      <c r="C65" s="130"/>
      <c r="D65" s="130"/>
      <c r="E65" s="130"/>
      <c r="F65" s="130"/>
      <c r="G65" s="130"/>
    </row>
    <row r="66" spans="2:7" x14ac:dyDescent="0.25">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D2057-9D39-4057-ABA0-CF20D3D203F3}">
  <sheetPr codeName="Hoja7"/>
  <dimension ref="B2:O32"/>
  <sheetViews>
    <sheetView topLeftCell="C16" workbookViewId="0">
      <selection activeCell="I14" sqref="I14"/>
    </sheetView>
  </sheetViews>
  <sheetFormatPr baseColWidth="10" defaultColWidth="10.7109375" defaultRowHeight="15" x14ac:dyDescent="0.25"/>
  <cols>
    <col min="2" max="2" width="20.42578125" bestFit="1" customWidth="1"/>
    <col min="7" max="7" width="30.140625" customWidth="1"/>
    <col min="8" max="8" width="11.140625" bestFit="1" customWidth="1"/>
    <col min="9" max="9" width="11.42578125" customWidth="1"/>
    <col min="10" max="10" width="25.42578125" bestFit="1" customWidth="1"/>
    <col min="11" max="11" width="11.140625" customWidth="1"/>
    <col min="12" max="12" width="11.85546875" bestFit="1" customWidth="1"/>
    <col min="13" max="13" width="11.140625" bestFit="1" customWidth="1"/>
    <col min="14" max="14" width="19.28515625" bestFit="1" customWidth="1"/>
    <col min="15" max="15" width="12" customWidth="1"/>
  </cols>
  <sheetData>
    <row r="2" spans="2:15" ht="25.5" customHeight="1" x14ac:dyDescent="0.25">
      <c r="H2" s="190" t="s">
        <v>171</v>
      </c>
      <c r="I2" s="190"/>
      <c r="J2" s="190" t="s">
        <v>172</v>
      </c>
      <c r="K2" s="190"/>
      <c r="L2" s="190" t="s">
        <v>179</v>
      </c>
      <c r="M2" s="190"/>
      <c r="N2" s="191" t="s">
        <v>173</v>
      </c>
      <c r="O2" s="191"/>
    </row>
    <row r="3" spans="2:15" ht="30" x14ac:dyDescent="0.25">
      <c r="B3" t="s">
        <v>166</v>
      </c>
      <c r="C3" t="s">
        <v>168</v>
      </c>
      <c r="D3" t="s">
        <v>169</v>
      </c>
      <c r="G3" s="138"/>
      <c r="H3" s="144" t="s">
        <v>174</v>
      </c>
      <c r="I3" s="145" t="s">
        <v>175</v>
      </c>
      <c r="J3" s="144" t="s">
        <v>174</v>
      </c>
      <c r="K3" s="145" t="s">
        <v>175</v>
      </c>
      <c r="L3" s="144" t="s">
        <v>174</v>
      </c>
      <c r="M3" s="145" t="s">
        <v>175</v>
      </c>
      <c r="N3" s="144" t="s">
        <v>174</v>
      </c>
      <c r="O3" s="145" t="s">
        <v>175</v>
      </c>
    </row>
    <row r="4" spans="2:15" x14ac:dyDescent="0.25">
      <c r="B4" t="s">
        <v>189</v>
      </c>
      <c r="C4">
        <v>4500000</v>
      </c>
      <c r="D4">
        <f>+C4*12</f>
        <v>54000000</v>
      </c>
      <c r="G4" s="151" t="s">
        <v>176</v>
      </c>
      <c r="H4" s="137">
        <v>3</v>
      </c>
      <c r="I4" s="142">
        <v>0.9</v>
      </c>
      <c r="J4" s="137">
        <v>2</v>
      </c>
      <c r="K4" s="147">
        <v>0.6</v>
      </c>
      <c r="L4" s="137">
        <v>3</v>
      </c>
      <c r="M4" s="147">
        <v>0.9</v>
      </c>
      <c r="N4" s="137">
        <v>2</v>
      </c>
      <c r="O4" s="149">
        <v>0.6</v>
      </c>
    </row>
    <row r="5" spans="2:15" x14ac:dyDescent="0.25">
      <c r="B5" t="s">
        <v>190</v>
      </c>
      <c r="C5">
        <v>1500000</v>
      </c>
      <c r="D5">
        <f>+C5*12</f>
        <v>18000000</v>
      </c>
      <c r="G5" s="151" t="s">
        <v>180</v>
      </c>
      <c r="H5" s="137">
        <v>4</v>
      </c>
      <c r="I5" s="143">
        <v>0.6</v>
      </c>
      <c r="J5" s="137">
        <v>3</v>
      </c>
      <c r="K5" s="148">
        <v>0.45</v>
      </c>
      <c r="L5" s="137">
        <v>3</v>
      </c>
      <c r="M5" s="147">
        <v>0.45</v>
      </c>
      <c r="N5" s="137">
        <v>3</v>
      </c>
      <c r="O5" s="150">
        <v>0.45</v>
      </c>
    </row>
    <row r="6" spans="2:15" x14ac:dyDescent="0.25">
      <c r="B6" t="s">
        <v>191</v>
      </c>
      <c r="C6">
        <v>2000000</v>
      </c>
      <c r="D6">
        <f>+C6*12</f>
        <v>24000000</v>
      </c>
      <c r="G6" s="151" t="s">
        <v>177</v>
      </c>
      <c r="H6" s="137">
        <v>3</v>
      </c>
      <c r="I6" s="143">
        <v>0.6</v>
      </c>
      <c r="J6" s="137">
        <v>4</v>
      </c>
      <c r="K6" s="147">
        <v>0.4</v>
      </c>
      <c r="L6" s="137">
        <v>4</v>
      </c>
      <c r="M6" s="147">
        <v>0.4</v>
      </c>
      <c r="N6" s="137">
        <v>3</v>
      </c>
      <c r="O6" s="149">
        <v>0.3</v>
      </c>
    </row>
    <row r="7" spans="2:15" x14ac:dyDescent="0.25">
      <c r="B7" t="s">
        <v>167</v>
      </c>
      <c r="G7" s="151" t="s">
        <v>181</v>
      </c>
      <c r="H7" s="137">
        <v>4</v>
      </c>
      <c r="I7" s="143">
        <v>1</v>
      </c>
      <c r="J7" s="137">
        <v>3</v>
      </c>
      <c r="K7" s="148">
        <v>0.75</v>
      </c>
      <c r="L7" s="137">
        <v>4</v>
      </c>
      <c r="M7" s="147">
        <v>1</v>
      </c>
      <c r="N7" s="137">
        <v>2</v>
      </c>
      <c r="O7" s="149">
        <v>0.5</v>
      </c>
    </row>
    <row r="8" spans="2:15" x14ac:dyDescent="0.25">
      <c r="D8">
        <f>SUM(D4:D7)</f>
        <v>96000000</v>
      </c>
      <c r="G8" s="151" t="s">
        <v>178</v>
      </c>
      <c r="H8" s="137">
        <v>3</v>
      </c>
      <c r="I8" s="143">
        <v>0.6</v>
      </c>
      <c r="J8" s="137">
        <v>2</v>
      </c>
      <c r="K8" s="148">
        <v>0.4</v>
      </c>
      <c r="L8" s="137">
        <v>3</v>
      </c>
      <c r="M8" s="147">
        <v>0.6</v>
      </c>
      <c r="N8" s="137">
        <v>2</v>
      </c>
      <c r="O8" s="149">
        <v>0.4</v>
      </c>
    </row>
    <row r="9" spans="2:15" x14ac:dyDescent="0.25">
      <c r="G9" s="146" t="s">
        <v>170</v>
      </c>
      <c r="I9" s="140">
        <f>SUM(I4:I8)</f>
        <v>3.7</v>
      </c>
      <c r="K9" s="147">
        <f>SUM(K4:K8)</f>
        <v>2.6</v>
      </c>
      <c r="M9" s="147">
        <f>SUM(M4:M8)</f>
        <v>3.35</v>
      </c>
      <c r="O9" s="141">
        <f>SUM(O4:O8)</f>
        <v>2.25</v>
      </c>
    </row>
    <row r="10" spans="2:15" x14ac:dyDescent="0.25">
      <c r="E10">
        <f>0.24*4</f>
        <v>0.96</v>
      </c>
      <c r="I10" s="139"/>
    </row>
    <row r="15" spans="2:15" x14ac:dyDescent="0.25">
      <c r="G15" t="s">
        <v>182</v>
      </c>
      <c r="H15" t="s">
        <v>183</v>
      </c>
      <c r="I15" t="s">
        <v>184</v>
      </c>
      <c r="K15" t="s">
        <v>187</v>
      </c>
    </row>
    <row r="16" spans="2:15" x14ac:dyDescent="0.25">
      <c r="G16" t="s">
        <v>164</v>
      </c>
      <c r="H16" s="153">
        <v>58823</v>
      </c>
      <c r="I16" s="154">
        <v>0.23529411764705882</v>
      </c>
      <c r="J16" s="158">
        <f>+H16*1.19</f>
        <v>69999.37</v>
      </c>
      <c r="K16">
        <f>81.725+ 19.1</f>
        <v>100.82499999999999</v>
      </c>
      <c r="L16">
        <v>8131</v>
      </c>
      <c r="M16" s="157">
        <v>1.1999999999999999E-3</v>
      </c>
      <c r="O16" t="s">
        <v>186</v>
      </c>
    </row>
    <row r="17" spans="7:15" x14ac:dyDescent="0.25">
      <c r="G17" t="s">
        <v>165</v>
      </c>
      <c r="H17" s="152">
        <v>29411.764705882353</v>
      </c>
      <c r="I17" s="154">
        <v>0.23529411764705882</v>
      </c>
      <c r="J17" s="158">
        <f t="shared" ref="J17:J21" si="0">+H17*1.19</f>
        <v>35000</v>
      </c>
      <c r="M17" s="156">
        <f>+L16*0.01</f>
        <v>81.31</v>
      </c>
      <c r="N17">
        <f>+M17*100</f>
        <v>8131</v>
      </c>
      <c r="O17" s="153">
        <f>+N17*70000</f>
        <v>569170000</v>
      </c>
    </row>
    <row r="18" spans="7:15" x14ac:dyDescent="0.25">
      <c r="G18" t="s">
        <v>160</v>
      </c>
      <c r="H18" s="152">
        <v>42016.806722689078</v>
      </c>
      <c r="I18" s="154">
        <v>0.17647058823529413</v>
      </c>
      <c r="J18" s="158">
        <f t="shared" si="0"/>
        <v>50000</v>
      </c>
    </row>
    <row r="19" spans="7:15" x14ac:dyDescent="0.25">
      <c r="G19" t="s">
        <v>161</v>
      </c>
      <c r="H19" s="152">
        <v>126050.42016806723</v>
      </c>
      <c r="I19" s="154">
        <v>0.11764705882352941</v>
      </c>
      <c r="J19" s="158">
        <f t="shared" si="0"/>
        <v>150000</v>
      </c>
      <c r="L19">
        <v>8131</v>
      </c>
      <c r="M19" s="157">
        <v>1.1999999999999999E-3</v>
      </c>
      <c r="O19" t="s">
        <v>185</v>
      </c>
    </row>
    <row r="20" spans="7:15" x14ac:dyDescent="0.25">
      <c r="G20" t="s">
        <v>162</v>
      </c>
      <c r="H20" s="152">
        <v>50420.168067226892</v>
      </c>
      <c r="I20" s="154">
        <v>0.11764705882352941</v>
      </c>
      <c r="J20" s="158">
        <f t="shared" si="0"/>
        <v>60000</v>
      </c>
      <c r="M20" s="156">
        <f>+L19*0.01</f>
        <v>81.31</v>
      </c>
      <c r="N20">
        <f>+M20*100</f>
        <v>8131</v>
      </c>
      <c r="O20" s="153">
        <f>+N20*35000</f>
        <v>284585000</v>
      </c>
    </row>
    <row r="21" spans="7:15" x14ac:dyDescent="0.25">
      <c r="G21" t="s">
        <v>163</v>
      </c>
      <c r="H21" s="152">
        <v>58823.529411764706</v>
      </c>
      <c r="I21" s="154">
        <v>0.11764705882352941</v>
      </c>
      <c r="J21" s="158">
        <f t="shared" si="0"/>
        <v>70000</v>
      </c>
    </row>
    <row r="23" spans="7:15" x14ac:dyDescent="0.25">
      <c r="H23" t="s">
        <v>188</v>
      </c>
    </row>
    <row r="25" spans="7:15" x14ac:dyDescent="0.25">
      <c r="H25">
        <v>5704308</v>
      </c>
    </row>
    <row r="26" spans="7:15" x14ac:dyDescent="0.25">
      <c r="H26">
        <v>81725</v>
      </c>
      <c r="I26">
        <f>+H25/H28</f>
        <v>56.576325316141833</v>
      </c>
      <c r="J26" s="155">
        <f>+I26+1.76752377326049</f>
        <v>58.343849089402326</v>
      </c>
    </row>
    <row r="27" spans="7:15" x14ac:dyDescent="0.25">
      <c r="H27">
        <v>19100</v>
      </c>
    </row>
    <row r="28" spans="7:15" x14ac:dyDescent="0.25">
      <c r="H28">
        <f>+H26+H27</f>
        <v>100825</v>
      </c>
    </row>
    <row r="30" spans="7:15" x14ac:dyDescent="0.25">
      <c r="H30">
        <v>1.68</v>
      </c>
    </row>
    <row r="31" spans="7:15" x14ac:dyDescent="0.25">
      <c r="H31">
        <v>12</v>
      </c>
    </row>
    <row r="32" spans="7:15" x14ac:dyDescent="0.25">
      <c r="H32">
        <f>+H31*H30</f>
        <v>20.16</v>
      </c>
    </row>
  </sheetData>
  <mergeCells count="4">
    <mergeCell ref="H2:I2"/>
    <mergeCell ref="J2:K2"/>
    <mergeCell ref="L2:M2"/>
    <mergeCell ref="N2:O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5D0F6-10E6-469B-AAEC-EBB2094409D7}">
  <dimension ref="B2:E13"/>
  <sheetViews>
    <sheetView workbookViewId="0">
      <selection activeCell="B2" sqref="B2:E8"/>
    </sheetView>
  </sheetViews>
  <sheetFormatPr baseColWidth="10" defaultRowHeight="15" x14ac:dyDescent="0.25"/>
  <cols>
    <col min="5" max="5" width="15.5703125" bestFit="1" customWidth="1"/>
  </cols>
  <sheetData>
    <row r="2" spans="2:5" x14ac:dyDescent="0.25">
      <c r="B2" t="s">
        <v>3</v>
      </c>
      <c r="C2" t="s">
        <v>0</v>
      </c>
      <c r="D2" t="s">
        <v>192</v>
      </c>
      <c r="E2" t="s">
        <v>2</v>
      </c>
    </row>
    <row r="3" spans="2:5" x14ac:dyDescent="0.25">
      <c r="B3" t="s">
        <v>164</v>
      </c>
      <c r="C3">
        <v>2000</v>
      </c>
      <c r="D3">
        <v>10000</v>
      </c>
      <c r="E3" s="153">
        <v>20000000</v>
      </c>
    </row>
    <row r="4" spans="2:5" x14ac:dyDescent="0.25">
      <c r="B4" t="s">
        <v>165</v>
      </c>
      <c r="C4">
        <v>2000</v>
      </c>
      <c r="D4">
        <v>10000</v>
      </c>
      <c r="E4" s="153">
        <v>20000000</v>
      </c>
    </row>
    <row r="5" spans="2:5" x14ac:dyDescent="0.25">
      <c r="B5" t="s">
        <v>160</v>
      </c>
      <c r="C5">
        <v>1500</v>
      </c>
      <c r="D5">
        <v>10000</v>
      </c>
      <c r="E5" s="153">
        <v>15000000</v>
      </c>
    </row>
    <row r="6" spans="2:5" x14ac:dyDescent="0.25">
      <c r="B6" t="s">
        <v>161</v>
      </c>
      <c r="C6">
        <v>1000</v>
      </c>
      <c r="D6">
        <v>15000</v>
      </c>
      <c r="E6" s="153">
        <v>15000000</v>
      </c>
    </row>
    <row r="7" spans="2:5" x14ac:dyDescent="0.25">
      <c r="B7" t="s">
        <v>162</v>
      </c>
      <c r="C7">
        <v>1000</v>
      </c>
      <c r="D7">
        <v>15000</v>
      </c>
      <c r="E7" s="153">
        <v>15000000</v>
      </c>
    </row>
    <row r="8" spans="2:5" x14ac:dyDescent="0.25">
      <c r="B8" t="s">
        <v>163</v>
      </c>
      <c r="C8">
        <v>1000</v>
      </c>
      <c r="D8">
        <v>10000</v>
      </c>
      <c r="E8" s="153">
        <v>10000000</v>
      </c>
    </row>
    <row r="9" spans="2:5" x14ac:dyDescent="0.25">
      <c r="B9">
        <v>0</v>
      </c>
      <c r="C9">
        <v>0</v>
      </c>
      <c r="D9">
        <v>0</v>
      </c>
      <c r="E9">
        <v>0</v>
      </c>
    </row>
    <row r="10" spans="2:5" x14ac:dyDescent="0.25">
      <c r="B10">
        <v>0</v>
      </c>
      <c r="C10">
        <v>0</v>
      </c>
      <c r="D10">
        <v>0</v>
      </c>
      <c r="E10">
        <v>0</v>
      </c>
    </row>
    <row r="11" spans="2:5" x14ac:dyDescent="0.25">
      <c r="B11">
        <v>0</v>
      </c>
      <c r="C11">
        <v>0</v>
      </c>
      <c r="D11">
        <v>0</v>
      </c>
      <c r="E11">
        <v>0</v>
      </c>
    </row>
    <row r="12" spans="2:5" x14ac:dyDescent="0.25">
      <c r="B12">
        <v>0</v>
      </c>
      <c r="C12">
        <v>0</v>
      </c>
      <c r="D12">
        <v>0</v>
      </c>
      <c r="E12">
        <v>0</v>
      </c>
    </row>
    <row r="13" spans="2:5" x14ac:dyDescent="0.25">
      <c r="D13" t="s">
        <v>8</v>
      </c>
      <c r="E13">
        <v>95000000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ED1F-843D-4E88-AF32-4B6D7F72EDDE}">
  <dimension ref="A1"/>
  <sheetViews>
    <sheetView zoomScale="40" zoomScaleNormal="40" workbookViewId="0">
      <selection activeCell="M58" sqref="M58"/>
    </sheetView>
  </sheetViews>
  <sheetFormatPr baseColWidth="10"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0/xmlns/"/>
    <ds:schemaRef ds:uri="http://www.w3.org/2001/XMLSchema"/>
    <ds:schemaRef ds:uri="f7ff1548-ea36-4159-a306-74aa0083697f"/>
    <ds:schemaRef ds:uri="d59ba5de-05cd-4945-add5-aa2c30c31883"/>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1646126D-72FF-43C3-B754-1B03FE5D0211}">
  <ds:schemaRefs>
    <ds:schemaRef ds:uri="http://schemas.microsoft.com/office/2006/metadata/properties"/>
    <ds:schemaRef ds:uri="http://www.w3.org/2000/xmln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Menú</vt:lpstr>
      <vt:lpstr>1</vt:lpstr>
      <vt:lpstr>2</vt:lpstr>
      <vt:lpstr>3</vt:lpstr>
      <vt:lpstr>4</vt:lpstr>
      <vt:lpstr>5</vt:lpstr>
      <vt:lpstr>Hoja1</vt:lpstr>
      <vt:lpstr>Hoja5</vt:lpstr>
      <vt:lpstr>Calculo de la muestra</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Alejandro Alvarez Alonso</cp:lastModifiedBy>
  <dcterms:created xsi:type="dcterms:W3CDTF">2013-07-30T17:19:59Z</dcterms:created>
  <dcterms:modified xsi:type="dcterms:W3CDTF">2024-02-07T23:03:26Z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