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EDR" sheetId="2" r:id="rId1"/>
  </sheets>
  <calcPr calcId="125725"/>
</workbook>
</file>

<file path=xl/calcChain.xml><?xml version="1.0" encoding="utf-8"?>
<calcChain xmlns="http://schemas.openxmlformats.org/spreadsheetml/2006/main">
  <c r="A63" i="2"/>
  <c r="B36"/>
  <c r="C16" s="1"/>
  <c r="B37"/>
  <c r="B40"/>
  <c r="B38"/>
  <c r="B29"/>
  <c r="E47" l="1"/>
  <c r="E49" l="1"/>
  <c r="E50" s="1"/>
  <c r="E30"/>
  <c r="B31"/>
  <c r="E33" l="1"/>
  <c r="C20" s="1"/>
  <c r="B44" l="1"/>
  <c r="B43"/>
  <c r="B45" l="1"/>
  <c r="C17" s="1"/>
  <c r="G2"/>
  <c r="G3" s="1"/>
  <c r="C5" s="1"/>
  <c r="E51" s="1"/>
  <c r="B30"/>
  <c r="B32" s="1"/>
  <c r="C12" l="1"/>
  <c r="C18" s="1"/>
  <c r="E53"/>
  <c r="C7"/>
  <c r="C13" s="1"/>
  <c r="C14" s="1"/>
  <c r="F6"/>
  <c r="G15" l="1"/>
  <c r="G12"/>
  <c r="G14"/>
  <c r="F8"/>
  <c r="F9" s="1"/>
  <c r="G13" l="1"/>
  <c r="C11"/>
  <c r="C15" s="1"/>
  <c r="C19" s="1"/>
  <c r="D20" l="1"/>
  <c r="D18"/>
  <c r="F7" l="1"/>
  <c r="D12"/>
  <c r="D13"/>
  <c r="D17"/>
  <c r="D16"/>
  <c r="D11"/>
  <c r="D14" l="1"/>
  <c r="D15" l="1"/>
  <c r="D19"/>
  <c r="C21"/>
  <c r="D21" l="1"/>
  <c r="C22"/>
  <c r="D22" s="1"/>
  <c r="C23" l="1"/>
  <c r="D23" l="1"/>
  <c r="G17" l="1"/>
  <c r="G16"/>
</calcChain>
</file>

<file path=xl/comments1.xml><?xml version="1.0" encoding="utf-8"?>
<comments xmlns="http://schemas.openxmlformats.org/spreadsheetml/2006/main">
  <authors>
    <author>Alumno</author>
    <author>Duo</author>
  </authors>
  <commentList>
    <comment ref="C5" authorId="0">
      <text>
        <r>
          <rPr>
            <b/>
            <sz val="9"/>
            <color indexed="81"/>
            <rFont val="Tahoma"/>
            <family val="2"/>
          </rPr>
          <t>Alumno:</t>
        </r>
        <r>
          <rPr>
            <sz val="9"/>
            <color indexed="81"/>
            <rFont val="Tahoma"/>
            <family val="2"/>
          </rPr>
          <t xml:space="preserve">
(1g cuajo/10kg de queso)</t>
        </r>
      </text>
    </comment>
    <comment ref="E49" authorId="1">
      <text>
        <r>
          <rPr>
            <b/>
            <sz val="9"/>
            <color indexed="81"/>
            <rFont val="Tahoma"/>
            <family val="2"/>
          </rPr>
          <t>Duo:</t>
        </r>
        <r>
          <rPr>
            <sz val="9"/>
            <color indexed="81"/>
            <rFont val="Tahoma"/>
            <family val="2"/>
          </rPr>
          <t xml:space="preserve">
60g de quimosina por litro de resina. Resina de 10 litros de capacidad. Son pasados 2100 Litros (700 diluidos 3 veces)</t>
        </r>
      </text>
    </comment>
  </commentList>
</comments>
</file>

<file path=xl/sharedStrings.xml><?xml version="1.0" encoding="utf-8"?>
<sst xmlns="http://schemas.openxmlformats.org/spreadsheetml/2006/main" count="115" uniqueCount="107">
  <si>
    <t>EDR</t>
  </si>
  <si>
    <t>PERIODO:</t>
  </si>
  <si>
    <t>UN AÑO</t>
  </si>
  <si>
    <t>EMPRESA</t>
  </si>
  <si>
    <t>SIGLA</t>
  </si>
  <si>
    <t>Participación (base ingresos como) (%)</t>
  </si>
  <si>
    <t>INGRESOS</t>
  </si>
  <si>
    <t>Ys</t>
  </si>
  <si>
    <t>COSTOS FIJOS TOTALES</t>
  </si>
  <si>
    <t>CFT</t>
  </si>
  <si>
    <t>COSTOS VARIABLES TOTALES</t>
  </si>
  <si>
    <t>CVT</t>
  </si>
  <si>
    <t>COSTOS TOTALES</t>
  </si>
  <si>
    <t>CT</t>
  </si>
  <si>
    <t>UTILIDAD OPERACIONAL</t>
  </si>
  <si>
    <t>UO</t>
  </si>
  <si>
    <t>GASTOS DE VENTAS</t>
  </si>
  <si>
    <t>GV</t>
  </si>
  <si>
    <t>GASTOS ADMINISTRATIVOS</t>
  </si>
  <si>
    <t>GA</t>
  </si>
  <si>
    <t>UTILIDAD ANTES DE INTERESES E IMPUESTOS</t>
  </si>
  <si>
    <t>UAII</t>
  </si>
  <si>
    <t>GASTOS FINANCIEROS</t>
  </si>
  <si>
    <t>GF</t>
  </si>
  <si>
    <t>UTILIDAD ANTES DE IMPUESTOS</t>
  </si>
  <si>
    <t>UAI o BG</t>
  </si>
  <si>
    <t>IMPUESTOS</t>
  </si>
  <si>
    <t>I</t>
  </si>
  <si>
    <t>RESULTADO NETO</t>
  </si>
  <si>
    <t>RN</t>
  </si>
  <si>
    <t>PRECIO PROMEDIO PONDERADO</t>
  </si>
  <si>
    <t>kg/año</t>
  </si>
  <si>
    <t>kg/mes</t>
  </si>
  <si>
    <t>kg/semana</t>
  </si>
  <si>
    <t>Cantidad</t>
  </si>
  <si>
    <t>Frecuencia</t>
  </si>
  <si>
    <t>CANTIDAD 2014</t>
  </si>
  <si>
    <t>TASA IMPUESTOS 2014</t>
  </si>
  <si>
    <t>ESTADO DE RESULTADOS 2014</t>
  </si>
  <si>
    <t>VALOR 2014</t>
  </si>
  <si>
    <t>Q (g)</t>
  </si>
  <si>
    <t>P ($/g)</t>
  </si>
  <si>
    <t>COSTO VARIABLE UNITARIO</t>
  </si>
  <si>
    <t>CVU ($)</t>
  </si>
  <si>
    <t>Tx (%)</t>
  </si>
  <si>
    <t>%</t>
  </si>
  <si>
    <t>kg queso</t>
  </si>
  <si>
    <t>Total</t>
  </si>
  <si>
    <t>COSTOS FIJOS</t>
  </si>
  <si>
    <t>CFU ($)</t>
  </si>
  <si>
    <t>CFT ($)</t>
  </si>
  <si>
    <t>CVT ($)</t>
  </si>
  <si>
    <t>Ys ($)</t>
  </si>
  <si>
    <t>Seguros</t>
  </si>
  <si>
    <t>Material de empaque</t>
  </si>
  <si>
    <t>Transporte de producto</t>
  </si>
  <si>
    <t>Mantenimiento equipos</t>
  </si>
  <si>
    <t>Arrendamiento lugar</t>
  </si>
  <si>
    <t>Sustrato</t>
  </si>
  <si>
    <t>Agua</t>
  </si>
  <si>
    <t>Salarios Administrativos</t>
  </si>
  <si>
    <t>Salarios Operativos</t>
  </si>
  <si>
    <t>Cepas</t>
  </si>
  <si>
    <t>P. EQ.</t>
  </si>
  <si>
    <t>GFT</t>
  </si>
  <si>
    <t>COSTOS Y GASTOS FIJOS TOTALES</t>
  </si>
  <si>
    <t>Energía</t>
  </si>
  <si>
    <t>GASTOS FIJOS</t>
  </si>
  <si>
    <t>Administrativo y RRHH</t>
  </si>
  <si>
    <t>Mercadeo</t>
  </si>
  <si>
    <t>ÍTEM</t>
  </si>
  <si>
    <t>Valor ($)</t>
  </si>
  <si>
    <t>S. Públicos operativos</t>
  </si>
  <si>
    <t>S. Públicos no operativos</t>
  </si>
  <si>
    <t>SZ BIOTEC LTDA</t>
  </si>
  <si>
    <t>No. Personas</t>
  </si>
  <si>
    <t>Salario mensual</t>
  </si>
  <si>
    <t>Teléfono + Internet</t>
  </si>
  <si>
    <t>kg/dia (L-S)</t>
  </si>
  <si>
    <t>Materia Prima Purificación</t>
  </si>
  <si>
    <t>Gramos / Bache</t>
  </si>
  <si>
    <t>COSTOS VARIABLES ($/Bache)</t>
  </si>
  <si>
    <t>Disposición de Residuos</t>
  </si>
  <si>
    <t>Tasa / mes</t>
  </si>
  <si>
    <t>Monto</t>
  </si>
  <si>
    <t>Cuota mensual</t>
  </si>
  <si>
    <t>Duración (meses)</t>
  </si>
  <si>
    <t>Participacón</t>
  </si>
  <si>
    <t>CVU ($/g)</t>
  </si>
  <si>
    <t>Año 0</t>
  </si>
  <si>
    <t>Año 1</t>
  </si>
  <si>
    <t>Año 2</t>
  </si>
  <si>
    <t>Año 3</t>
  </si>
  <si>
    <t>Año 4</t>
  </si>
  <si>
    <t>Año 5</t>
  </si>
  <si>
    <t>TIR</t>
  </si>
  <si>
    <t>Costos anuales (3 ton)</t>
  </si>
  <si>
    <t>Baches por año</t>
  </si>
  <si>
    <t>Arrendamiento equipos (PCs)</t>
  </si>
  <si>
    <t>FINANCIACIÓN</t>
  </si>
  <si>
    <t>Tasa E.A.</t>
  </si>
  <si>
    <t>DETALLE DE COSTOS, GASTOS Y FINANCIACIÓN</t>
  </si>
  <si>
    <t>Agentes de Limpieza y desinfección</t>
  </si>
  <si>
    <t>Total / Bache</t>
  </si>
  <si>
    <t>Ventas y contador</t>
  </si>
  <si>
    <t>Director</t>
  </si>
  <si>
    <t>FLUJO DE CAJA (5 AÑOS, APROXIMACIÓN GRUESA)</t>
  </si>
</sst>
</file>

<file path=xl/styles.xml><?xml version="1.0" encoding="utf-8"?>
<styleSheet xmlns="http://schemas.openxmlformats.org/spreadsheetml/2006/main">
  <numFmts count="9">
    <numFmt numFmtId="6" formatCode="&quot;$&quot;\ #,##0_);[Red]\(&quot;$&quot;\ #,##0\)"/>
    <numFmt numFmtId="8" formatCode="&quot;$&quot;\ #,##0.00_);[Red]\(&quot;$&quot;\ #,##0.00\)"/>
    <numFmt numFmtId="43" formatCode="_(* #,##0.00_);_(* \(#,##0.00\);_(* &quot;-&quot;??_);_(@_)"/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_(&quot;$&quot;\ * #,##0_);_(&quot;$&quot;\ * \(#,##0\);_(&quot;$&quot;\ * &quot;-&quot;??_);_(@_)"/>
    <numFmt numFmtId="167" formatCode="_-[$$-240A]\ * #,##0_ ;_-[$$-240A]\ * \-#,##0\ ;_-[$$-240A]\ * &quot;-&quot;??_ ;_-@_ "/>
    <numFmt numFmtId="168" formatCode="_-* #,##0\ _€_-;\-* #,##0\ _€_-;_-* &quot;-&quot;??\ _€_-;_-@_-"/>
    <numFmt numFmtId="170" formatCode="0.0%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0" fillId="2" borderId="1" xfId="0" applyFill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/>
    <xf numFmtId="166" fontId="0" fillId="3" borderId="1" xfId="1" applyNumberFormat="1" applyFont="1" applyFill="1" applyBorder="1" applyAlignment="1">
      <alignment horizontal="right"/>
    </xf>
    <xf numFmtId="10" fontId="0" fillId="3" borderId="1" xfId="2" applyNumberFormat="1" applyFont="1" applyFill="1" applyBorder="1" applyAlignment="1">
      <alignment horizontal="center"/>
    </xf>
    <xf numFmtId="166" fontId="0" fillId="0" borderId="1" xfId="1" applyNumberFormat="1" applyFont="1" applyFill="1" applyBorder="1" applyAlignment="1">
      <alignment horizontal="right"/>
    </xf>
    <xf numFmtId="168" fontId="0" fillId="0" borderId="0" xfId="0" applyNumberFormat="1"/>
    <xf numFmtId="168" fontId="0" fillId="3" borderId="1" xfId="0" applyNumberForma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0" fillId="0" borderId="1" xfId="0" applyFill="1" applyBorder="1"/>
    <xf numFmtId="168" fontId="0" fillId="3" borderId="1" xfId="3" applyNumberFormat="1" applyFont="1" applyFill="1" applyBorder="1" applyAlignment="1">
      <alignment horizontal="right"/>
    </xf>
    <xf numFmtId="166" fontId="0" fillId="3" borderId="1" xfId="0" applyNumberFormat="1" applyFill="1" applyBorder="1" applyAlignment="1">
      <alignment horizontal="right"/>
    </xf>
    <xf numFmtId="167" fontId="0" fillId="3" borderId="1" xfId="1" applyNumberFormat="1" applyFont="1" applyFill="1" applyBorder="1" applyAlignment="1">
      <alignment horizontal="right"/>
    </xf>
    <xf numFmtId="166" fontId="0" fillId="0" borderId="0" xfId="0" applyNumberFormat="1"/>
    <xf numFmtId="9" fontId="0" fillId="0" borderId="1" xfId="0" applyNumberFormat="1" applyFill="1" applyBorder="1" applyAlignment="1">
      <alignment horizontal="center"/>
    </xf>
    <xf numFmtId="168" fontId="0" fillId="3" borderId="1" xfId="3" applyNumberFormat="1" applyFont="1" applyFill="1" applyBorder="1"/>
    <xf numFmtId="166" fontId="2" fillId="0" borderId="1" xfId="1" applyNumberFormat="1" applyFont="1" applyFill="1" applyBorder="1" applyAlignment="1">
      <alignment horizontal="right"/>
    </xf>
    <xf numFmtId="166" fontId="2" fillId="0" borderId="1" xfId="1" applyNumberFormat="1" applyFont="1" applyFill="1" applyBorder="1" applyAlignment="1"/>
    <xf numFmtId="8" fontId="0" fillId="0" borderId="0" xfId="0" applyNumberFormat="1"/>
    <xf numFmtId="168" fontId="0" fillId="0" borderId="1" xfId="3" applyNumberFormat="1" applyFont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9" fontId="0" fillId="3" borderId="1" xfId="2" applyFont="1" applyFill="1" applyBorder="1" applyAlignment="1">
      <alignment horizontal="right"/>
    </xf>
    <xf numFmtId="9" fontId="0" fillId="3" borderId="1" xfId="0" applyNumberForma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6" fontId="0" fillId="3" borderId="1" xfId="0" applyNumberForma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7" fontId="0" fillId="0" borderId="1" xfId="0" applyNumberFormat="1" applyBorder="1"/>
    <xf numFmtId="1" fontId="0" fillId="3" borderId="1" xfId="0" applyNumberFormat="1" applyFill="1" applyBorder="1"/>
    <xf numFmtId="166" fontId="2" fillId="3" borderId="1" xfId="1" applyNumberFormat="1" applyFont="1" applyFill="1" applyBorder="1" applyAlignment="1">
      <alignment horizontal="right"/>
    </xf>
    <xf numFmtId="170" fontId="0" fillId="0" borderId="1" xfId="0" applyNumberFormat="1" applyBorder="1" applyAlignment="1">
      <alignment horizontal="center"/>
    </xf>
    <xf numFmtId="170" fontId="0" fillId="3" borderId="1" xfId="0" applyNumberFormat="1" applyFill="1" applyBorder="1" applyAlignment="1">
      <alignment horizontal="center"/>
    </xf>
    <xf numFmtId="168" fontId="0" fillId="0" borderId="0" xfId="3" applyNumberFormat="1" applyFont="1"/>
    <xf numFmtId="0" fontId="2" fillId="2" borderId="1" xfId="0" applyFont="1" applyFill="1" applyBorder="1" applyAlignment="1">
      <alignment horizontal="center"/>
    </xf>
    <xf numFmtId="0" fontId="0" fillId="0" borderId="1" xfId="1" applyNumberFormat="1" applyFont="1" applyFill="1" applyBorder="1" applyAlignment="1">
      <alignment horizontal="right"/>
    </xf>
    <xf numFmtId="0" fontId="0" fillId="0" borderId="2" xfId="0" applyBorder="1"/>
    <xf numFmtId="168" fontId="0" fillId="5" borderId="0" xfId="0" applyNumberFormat="1" applyFill="1"/>
    <xf numFmtId="0" fontId="0" fillId="5" borderId="0" xfId="0" applyFill="1"/>
    <xf numFmtId="0" fontId="2" fillId="5" borderId="0" xfId="0" applyFont="1" applyFill="1"/>
    <xf numFmtId="0" fontId="2" fillId="5" borderId="0" xfId="0" applyFont="1" applyFill="1" applyAlignment="1">
      <alignment horizontal="left"/>
    </xf>
    <xf numFmtId="166" fontId="0" fillId="5" borderId="0" xfId="0" applyNumberFormat="1" applyFill="1"/>
    <xf numFmtId="168" fontId="0" fillId="5" borderId="0" xfId="3" applyNumberFormat="1" applyFont="1" applyFill="1"/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5">
    <cellStyle name="Millares" xfId="3" builtinId="3"/>
    <cellStyle name="Millares 2" xfId="4"/>
    <cellStyle name="Moneda" xfId="1" builtinId="4"/>
    <cellStyle name="Normal" xfId="0" builtinId="0"/>
    <cellStyle name="Porcentual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3"/>
  <sheetViews>
    <sheetView tabSelected="1" zoomScale="90" zoomScaleNormal="90" workbookViewId="0">
      <selection activeCell="A59" sqref="A59:XFD59"/>
    </sheetView>
  </sheetViews>
  <sheetFormatPr baseColWidth="10" defaultRowHeight="15"/>
  <cols>
    <col min="1" max="1" width="40.28515625" bestFit="1" customWidth="1"/>
    <col min="2" max="2" width="16.42578125" customWidth="1"/>
    <col min="3" max="3" width="16.42578125" bestFit="1" customWidth="1"/>
    <col min="4" max="4" width="26.85546875" customWidth="1"/>
    <col min="5" max="5" width="14.85546875" bestFit="1" customWidth="1"/>
    <col min="6" max="6" width="15" customWidth="1"/>
    <col min="7" max="7" width="14.85546875" bestFit="1" customWidth="1"/>
    <col min="8" max="8" width="16.5703125" bestFit="1" customWidth="1"/>
    <col min="9" max="9" width="17.42578125" customWidth="1"/>
    <col min="10" max="10" width="17.42578125" bestFit="1" customWidth="1"/>
    <col min="11" max="11" width="16.7109375" bestFit="1" customWidth="1"/>
  </cols>
  <sheetData>
    <row r="1" spans="1:9">
      <c r="A1" s="43" t="s">
        <v>0</v>
      </c>
      <c r="B1" s="43" t="s">
        <v>1</v>
      </c>
      <c r="C1" s="42" t="s">
        <v>2</v>
      </c>
      <c r="D1" s="42"/>
      <c r="E1" s="42"/>
      <c r="G1" s="29" t="s">
        <v>46</v>
      </c>
      <c r="H1" s="29" t="s">
        <v>45</v>
      </c>
    </row>
    <row r="2" spans="1:9">
      <c r="A2" s="43" t="s">
        <v>3</v>
      </c>
      <c r="B2" s="44" t="s">
        <v>74</v>
      </c>
      <c r="C2" s="42"/>
      <c r="D2" s="42"/>
      <c r="E2" s="42"/>
      <c r="F2" s="5" t="s">
        <v>47</v>
      </c>
      <c r="G2" s="19">
        <f>100000000</f>
        <v>100000000</v>
      </c>
      <c r="H2" s="28">
        <v>1</v>
      </c>
    </row>
    <row r="3" spans="1:9">
      <c r="A3" s="42"/>
      <c r="B3" s="42"/>
      <c r="C3" s="42"/>
      <c r="D3" s="42"/>
      <c r="E3" s="42"/>
      <c r="F3" s="5" t="s">
        <v>87</v>
      </c>
      <c r="G3" s="19">
        <f>G2*H3</f>
        <v>30000000</v>
      </c>
      <c r="H3" s="18">
        <v>0.3</v>
      </c>
    </row>
    <row r="4" spans="1:9">
      <c r="A4" s="53" t="s">
        <v>38</v>
      </c>
      <c r="B4" s="54"/>
      <c r="C4" s="55"/>
      <c r="D4" s="42"/>
      <c r="E4" s="42"/>
      <c r="G4" s="9"/>
      <c r="H4" s="41"/>
    </row>
    <row r="5" spans="1:9">
      <c r="A5" s="2" t="s">
        <v>36</v>
      </c>
      <c r="B5" s="3" t="s">
        <v>40</v>
      </c>
      <c r="C5" s="14">
        <f>G3/10</f>
        <v>3000000</v>
      </c>
      <c r="D5" s="41"/>
      <c r="E5" s="42"/>
      <c r="F5" s="11" t="s">
        <v>34</v>
      </c>
      <c r="G5" s="11" t="s">
        <v>35</v>
      </c>
      <c r="H5" s="42"/>
    </row>
    <row r="6" spans="1:9">
      <c r="A6" s="2" t="s">
        <v>30</v>
      </c>
      <c r="B6" s="3" t="s">
        <v>41</v>
      </c>
      <c r="C6" s="8">
        <v>175</v>
      </c>
      <c r="D6" s="42"/>
      <c r="E6" s="42"/>
      <c r="F6" s="10">
        <f>C5/1000</f>
        <v>3000</v>
      </c>
      <c r="G6" s="4" t="s">
        <v>31</v>
      </c>
      <c r="H6" s="42"/>
    </row>
    <row r="7" spans="1:9">
      <c r="A7" s="2" t="s">
        <v>42</v>
      </c>
      <c r="B7" s="3" t="s">
        <v>43</v>
      </c>
      <c r="C7" s="6">
        <f>E50</f>
        <v>100</v>
      </c>
      <c r="D7" s="42"/>
      <c r="E7" s="42"/>
      <c r="F7" s="10">
        <f>F6/12</f>
        <v>250</v>
      </c>
      <c r="G7" s="4" t="s">
        <v>32</v>
      </c>
      <c r="H7" s="42"/>
      <c r="I7" s="9"/>
    </row>
    <row r="8" spans="1:9">
      <c r="A8" s="2" t="s">
        <v>37</v>
      </c>
      <c r="B8" s="3" t="s">
        <v>44</v>
      </c>
      <c r="C8" s="27">
        <v>0.35</v>
      </c>
      <c r="D8" s="42"/>
      <c r="E8" s="42"/>
      <c r="F8" s="10">
        <f>F6/52</f>
        <v>57.692307692307693</v>
      </c>
      <c r="G8" s="4" t="s">
        <v>33</v>
      </c>
      <c r="H8" s="42"/>
    </row>
    <row r="9" spans="1:9">
      <c r="A9" s="42"/>
      <c r="B9" s="42"/>
      <c r="D9" s="42"/>
      <c r="E9" s="42"/>
      <c r="F9" s="10">
        <f>F8/6</f>
        <v>9.615384615384615</v>
      </c>
      <c r="G9" s="4" t="s">
        <v>78</v>
      </c>
      <c r="H9" s="42"/>
    </row>
    <row r="10" spans="1:9" ht="30">
      <c r="A10" s="25" t="s">
        <v>70</v>
      </c>
      <c r="B10" s="25" t="s">
        <v>4</v>
      </c>
      <c r="C10" s="25" t="s">
        <v>39</v>
      </c>
      <c r="D10" s="26" t="s">
        <v>5</v>
      </c>
      <c r="E10" s="42"/>
      <c r="F10" s="42"/>
      <c r="H10" s="42"/>
    </row>
    <row r="11" spans="1:9">
      <c r="A11" s="4" t="s">
        <v>6</v>
      </c>
      <c r="B11" s="3" t="s">
        <v>7</v>
      </c>
      <c r="C11" s="6">
        <f>C5*C6</f>
        <v>525000000</v>
      </c>
      <c r="D11" s="7">
        <f>C11/$C$11</f>
        <v>1</v>
      </c>
      <c r="E11" s="42"/>
      <c r="F11" s="47" t="s">
        <v>63</v>
      </c>
      <c r="G11" s="47"/>
      <c r="H11" s="42"/>
    </row>
    <row r="12" spans="1:9">
      <c r="A12" s="4" t="s">
        <v>8</v>
      </c>
      <c r="B12" s="3" t="s">
        <v>9</v>
      </c>
      <c r="C12" s="6">
        <f>B32</f>
        <v>37200000</v>
      </c>
      <c r="D12" s="7">
        <f t="shared" ref="D12:D22" si="0">C12/$C$11</f>
        <v>7.0857142857142855E-2</v>
      </c>
      <c r="E12" s="42"/>
      <c r="F12" s="5" t="s">
        <v>40</v>
      </c>
      <c r="G12" s="14">
        <f>(C18+C20)/(C6-C7)</f>
        <v>2269233.9561713226</v>
      </c>
      <c r="H12" s="42"/>
    </row>
    <row r="13" spans="1:9">
      <c r="A13" s="4" t="s">
        <v>10</v>
      </c>
      <c r="B13" s="3" t="s">
        <v>11</v>
      </c>
      <c r="C13" s="6">
        <f>C7*C5</f>
        <v>300000000</v>
      </c>
      <c r="D13" s="7">
        <f t="shared" si="0"/>
        <v>0.5714285714285714</v>
      </c>
      <c r="E13" s="42"/>
      <c r="F13" s="5" t="s">
        <v>49</v>
      </c>
      <c r="G13" s="15">
        <f>C12/G12</f>
        <v>16.393197316139346</v>
      </c>
      <c r="H13" s="42"/>
    </row>
    <row r="14" spans="1:9">
      <c r="A14" s="4" t="s">
        <v>12</v>
      </c>
      <c r="B14" s="3" t="s">
        <v>13</v>
      </c>
      <c r="C14" s="6">
        <f>SUM(C12:C13)</f>
        <v>337200000</v>
      </c>
      <c r="D14" s="7">
        <f t="shared" si="0"/>
        <v>0.64228571428571424</v>
      </c>
      <c r="E14" s="45"/>
      <c r="F14" s="5" t="s">
        <v>43</v>
      </c>
      <c r="G14" s="15">
        <f>C13/C5</f>
        <v>100</v>
      </c>
      <c r="H14" s="42"/>
    </row>
    <row r="15" spans="1:9">
      <c r="A15" s="4" t="s">
        <v>14</v>
      </c>
      <c r="B15" s="3" t="s">
        <v>15</v>
      </c>
      <c r="C15" s="6">
        <f>C11-C14</f>
        <v>187800000</v>
      </c>
      <c r="D15" s="7">
        <f t="shared" si="0"/>
        <v>0.35771428571428571</v>
      </c>
      <c r="E15" s="42"/>
      <c r="F15" s="5" t="s">
        <v>50</v>
      </c>
      <c r="G15" s="15">
        <f>C12</f>
        <v>37200000</v>
      </c>
      <c r="H15" s="42"/>
    </row>
    <row r="16" spans="1:9">
      <c r="A16" s="4" t="s">
        <v>16</v>
      </c>
      <c r="B16" s="3" t="s">
        <v>17</v>
      </c>
      <c r="C16" s="6">
        <f>B36</f>
        <v>28800000</v>
      </c>
      <c r="D16" s="7">
        <f t="shared" si="0"/>
        <v>5.4857142857142854E-2</v>
      </c>
      <c r="E16" s="42"/>
      <c r="F16" s="5" t="s">
        <v>51</v>
      </c>
      <c r="G16" s="16">
        <f>G12*G14</f>
        <v>226923395.61713225</v>
      </c>
      <c r="H16" s="42"/>
    </row>
    <row r="17" spans="1:10">
      <c r="A17" s="4" t="s">
        <v>18</v>
      </c>
      <c r="B17" s="3" t="s">
        <v>19</v>
      </c>
      <c r="C17" s="6">
        <f>B37+B45+B38</f>
        <v>52600000</v>
      </c>
      <c r="D17" s="7">
        <f t="shared" si="0"/>
        <v>0.10019047619047619</v>
      </c>
      <c r="E17" s="45"/>
      <c r="F17" s="5" t="s">
        <v>52</v>
      </c>
      <c r="G17" s="16">
        <f>C6*G12</f>
        <v>397115942.32998145</v>
      </c>
      <c r="H17" s="42"/>
    </row>
    <row r="18" spans="1:10">
      <c r="A18" s="4" t="s">
        <v>65</v>
      </c>
      <c r="B18" s="3" t="s">
        <v>64</v>
      </c>
      <c r="C18" s="6">
        <f>C12+C16+C17</f>
        <v>118600000</v>
      </c>
      <c r="D18" s="7">
        <f>C18/$C$11</f>
        <v>0.22590476190476191</v>
      </c>
      <c r="E18" s="42"/>
      <c r="F18" s="42"/>
      <c r="G18" s="42"/>
      <c r="H18" s="42"/>
      <c r="J18" s="22"/>
    </row>
    <row r="19" spans="1:10">
      <c r="A19" s="4" t="s">
        <v>20</v>
      </c>
      <c r="B19" s="3" t="s">
        <v>21</v>
      </c>
      <c r="C19" s="6">
        <f>C15-(C17+C16)</f>
        <v>106400000</v>
      </c>
      <c r="D19" s="7">
        <f t="shared" si="0"/>
        <v>0.20266666666666666</v>
      </c>
      <c r="E19" s="42"/>
      <c r="F19" s="42"/>
      <c r="G19" s="42"/>
      <c r="H19" s="42"/>
    </row>
    <row r="20" spans="1:10">
      <c r="A20" s="4" t="s">
        <v>22</v>
      </c>
      <c r="B20" s="3" t="s">
        <v>23</v>
      </c>
      <c r="C20" s="6">
        <f>-E33*12</f>
        <v>51592546.712849185</v>
      </c>
      <c r="D20" s="7">
        <f t="shared" si="0"/>
        <v>9.8271517548284157E-2</v>
      </c>
      <c r="E20" s="46"/>
      <c r="F20" s="42"/>
      <c r="G20" s="42"/>
      <c r="H20" s="42"/>
    </row>
    <row r="21" spans="1:10">
      <c r="A21" s="4" t="s">
        <v>24</v>
      </c>
      <c r="B21" s="3" t="s">
        <v>25</v>
      </c>
      <c r="C21" s="6">
        <f>IF(C19-C20&lt;0,0,C19-C20)</f>
        <v>54807453.287150815</v>
      </c>
      <c r="D21" s="7">
        <f t="shared" si="0"/>
        <v>0.1043951491183825</v>
      </c>
      <c r="E21" s="42"/>
      <c r="F21" s="42"/>
      <c r="G21" s="45"/>
      <c r="H21" s="42"/>
    </row>
    <row r="22" spans="1:10">
      <c r="A22" s="4" t="s">
        <v>26</v>
      </c>
      <c r="B22" s="3" t="s">
        <v>27</v>
      </c>
      <c r="C22" s="6">
        <f>IF(C21&lt;0,0,C21*C8)</f>
        <v>19182608.650502782</v>
      </c>
      <c r="D22" s="7">
        <f t="shared" si="0"/>
        <v>3.653830219143387E-2</v>
      </c>
      <c r="E22" s="42"/>
      <c r="F22" s="42"/>
      <c r="G22" s="45"/>
      <c r="H22" s="42"/>
    </row>
    <row r="23" spans="1:10">
      <c r="A23" s="4" t="s">
        <v>28</v>
      </c>
      <c r="B23" s="3" t="s">
        <v>29</v>
      </c>
      <c r="C23" s="6">
        <f>C21-C22</f>
        <v>35624844.636648029</v>
      </c>
      <c r="D23" s="7">
        <f>C23/$C$11</f>
        <v>6.7856846926948627E-2</v>
      </c>
      <c r="E23" s="42"/>
      <c r="F23" s="42"/>
      <c r="G23" s="45"/>
      <c r="H23" s="42"/>
    </row>
    <row r="26" spans="1:10" ht="21">
      <c r="A26" s="48" t="s">
        <v>101</v>
      </c>
      <c r="B26" s="48"/>
      <c r="C26" s="48"/>
      <c r="D26" s="48"/>
      <c r="E26" s="48"/>
    </row>
    <row r="27" spans="1:10">
      <c r="A27" s="42"/>
      <c r="B27" s="42"/>
      <c r="C27" s="42"/>
      <c r="D27" s="42"/>
      <c r="E27" s="42"/>
    </row>
    <row r="28" spans="1:10">
      <c r="A28" s="11" t="s">
        <v>48</v>
      </c>
      <c r="B28" s="31" t="s">
        <v>71</v>
      </c>
      <c r="C28" s="42"/>
      <c r="D28" s="49" t="s">
        <v>99</v>
      </c>
      <c r="E28" s="50"/>
      <c r="F28" s="17"/>
    </row>
    <row r="29" spans="1:10">
      <c r="A29" s="4" t="s">
        <v>61</v>
      </c>
      <c r="B29" s="8">
        <f>(600000*1.5)*12</f>
        <v>10800000</v>
      </c>
      <c r="C29" s="42"/>
      <c r="D29" s="5" t="s">
        <v>83</v>
      </c>
      <c r="E29" s="24">
        <v>0.02</v>
      </c>
      <c r="F29" s="17"/>
    </row>
    <row r="30" spans="1:10">
      <c r="A30" s="4" t="s">
        <v>57</v>
      </c>
      <c r="B30" s="8">
        <f>(2000000)*12</f>
        <v>24000000</v>
      </c>
      <c r="C30" s="42"/>
      <c r="D30" s="5" t="s">
        <v>100</v>
      </c>
      <c r="E30" s="36">
        <f>(1+E29)^12-1</f>
        <v>0.26824179456254527</v>
      </c>
      <c r="F30" s="37"/>
      <c r="G30" s="17"/>
    </row>
    <row r="31" spans="1:10">
      <c r="A31" s="4" t="s">
        <v>98</v>
      </c>
      <c r="B31" s="8">
        <f>200000*12</f>
        <v>2400000</v>
      </c>
      <c r="C31" s="42"/>
      <c r="D31" s="5" t="s">
        <v>86</v>
      </c>
      <c r="E31" s="3">
        <v>120</v>
      </c>
      <c r="F31" s="37"/>
      <c r="G31" s="17"/>
    </row>
    <row r="32" spans="1:10">
      <c r="A32" s="5" t="s">
        <v>47</v>
      </c>
      <c r="B32" s="20">
        <f>SUM(B29:B31)</f>
        <v>37200000</v>
      </c>
      <c r="C32" s="42"/>
      <c r="D32" s="5" t="s">
        <v>84</v>
      </c>
      <c r="E32" s="23">
        <v>195000000</v>
      </c>
      <c r="F32" s="37"/>
      <c r="G32" s="17"/>
    </row>
    <row r="33" spans="1:7">
      <c r="A33" s="42"/>
      <c r="B33" s="42"/>
      <c r="C33" s="42"/>
      <c r="D33" s="5" t="s">
        <v>85</v>
      </c>
      <c r="E33" s="30">
        <f>PMT(E29,E31,E32,0)</f>
        <v>-4299378.8927374324</v>
      </c>
      <c r="F33" s="37"/>
      <c r="G33" s="17"/>
    </row>
    <row r="34" spans="1:7">
      <c r="A34" s="11" t="s">
        <v>67</v>
      </c>
      <c r="B34" s="31" t="s">
        <v>71</v>
      </c>
      <c r="C34" s="42"/>
      <c r="D34" s="42"/>
      <c r="E34" s="42"/>
      <c r="F34" s="37"/>
      <c r="G34" s="17"/>
    </row>
    <row r="35" spans="1:7">
      <c r="A35" s="51" t="s">
        <v>60</v>
      </c>
      <c r="B35" s="52"/>
      <c r="C35" s="42"/>
      <c r="D35" s="11" t="s">
        <v>81</v>
      </c>
      <c r="E35" s="12" t="s">
        <v>71</v>
      </c>
      <c r="F35" s="37"/>
      <c r="G35" s="17"/>
    </row>
    <row r="36" spans="1:7">
      <c r="A36" s="4" t="s">
        <v>104</v>
      </c>
      <c r="B36" s="6">
        <f>B48*A48*12</f>
        <v>28800000</v>
      </c>
      <c r="C36" s="42"/>
      <c r="D36" s="51" t="s">
        <v>72</v>
      </c>
      <c r="E36" s="52"/>
      <c r="F36" s="37"/>
      <c r="G36" s="17"/>
    </row>
    <row r="37" spans="1:7">
      <c r="A37" s="4" t="s">
        <v>68</v>
      </c>
      <c r="B37" s="6">
        <f>B49*A49*12</f>
        <v>24000000</v>
      </c>
      <c r="C37" s="42"/>
      <c r="D37" s="4" t="s">
        <v>59</v>
      </c>
      <c r="E37" s="8">
        <v>130000</v>
      </c>
      <c r="F37" s="37"/>
      <c r="G37" s="17"/>
    </row>
    <row r="38" spans="1:7">
      <c r="A38" s="40" t="s">
        <v>105</v>
      </c>
      <c r="B38" s="6">
        <f>B50*A50*12</f>
        <v>18000000</v>
      </c>
      <c r="C38" s="42"/>
      <c r="D38" s="4" t="s">
        <v>66</v>
      </c>
      <c r="E38" s="8">
        <v>200000</v>
      </c>
      <c r="F38" s="37"/>
      <c r="G38" s="17"/>
    </row>
    <row r="39" spans="1:7">
      <c r="A39" s="51" t="s">
        <v>73</v>
      </c>
      <c r="B39" s="52"/>
      <c r="C39" s="42"/>
      <c r="D39" s="4" t="s">
        <v>58</v>
      </c>
      <c r="E39" s="8">
        <v>120000</v>
      </c>
      <c r="F39" s="37"/>
      <c r="G39" s="17"/>
    </row>
    <row r="40" spans="1:7">
      <c r="A40" s="4" t="s">
        <v>77</v>
      </c>
      <c r="B40" s="8">
        <f>250000*12</f>
        <v>3000000</v>
      </c>
      <c r="C40" s="46"/>
      <c r="D40" s="4" t="s">
        <v>62</v>
      </c>
      <c r="E40" s="8">
        <v>300000</v>
      </c>
      <c r="F40" s="37"/>
      <c r="G40" s="17"/>
    </row>
    <row r="41" spans="1:7">
      <c r="A41" s="4" t="s">
        <v>53</v>
      </c>
      <c r="B41" s="8">
        <v>1000000</v>
      </c>
      <c r="C41" s="46"/>
      <c r="D41" s="4" t="s">
        <v>79</v>
      </c>
      <c r="E41" s="8">
        <v>200000</v>
      </c>
      <c r="F41" s="17"/>
    </row>
    <row r="42" spans="1:7">
      <c r="A42" s="4" t="s">
        <v>69</v>
      </c>
      <c r="B42" s="8">
        <v>3000000</v>
      </c>
      <c r="C42" s="46"/>
      <c r="D42" s="4" t="s">
        <v>54</v>
      </c>
      <c r="E42" s="8">
        <v>130000</v>
      </c>
      <c r="F42" s="17"/>
    </row>
    <row r="43" spans="1:7">
      <c r="A43" s="4" t="s">
        <v>59</v>
      </c>
      <c r="B43" s="8">
        <f>200000*12</f>
        <v>2400000</v>
      </c>
      <c r="C43" s="46"/>
      <c r="D43" s="4" t="s">
        <v>55</v>
      </c>
      <c r="E43" s="8">
        <v>100000</v>
      </c>
    </row>
    <row r="44" spans="1:7">
      <c r="A44" s="4" t="s">
        <v>66</v>
      </c>
      <c r="B44" s="8">
        <f>100000*12</f>
        <v>1200000</v>
      </c>
      <c r="C44" s="46"/>
      <c r="D44" s="4" t="s">
        <v>56</v>
      </c>
      <c r="E44" s="8">
        <v>40000</v>
      </c>
    </row>
    <row r="45" spans="1:7">
      <c r="A45" s="5" t="s">
        <v>47</v>
      </c>
      <c r="B45" s="34">
        <f>SUM(B40:B44)</f>
        <v>10600000</v>
      </c>
      <c r="C45" s="42"/>
      <c r="D45" s="4" t="s">
        <v>82</v>
      </c>
      <c r="E45" s="8">
        <v>20000</v>
      </c>
    </row>
    <row r="46" spans="1:7">
      <c r="A46" s="42"/>
      <c r="B46" s="42"/>
      <c r="C46" s="42"/>
      <c r="D46" s="4" t="s">
        <v>102</v>
      </c>
      <c r="E46" s="8">
        <v>20000</v>
      </c>
    </row>
    <row r="47" spans="1:7">
      <c r="A47" s="21" t="s">
        <v>75</v>
      </c>
      <c r="B47" s="21" t="s">
        <v>76</v>
      </c>
      <c r="C47" s="42"/>
      <c r="D47" s="5" t="s">
        <v>103</v>
      </c>
      <c r="E47" s="6">
        <f>SUM(E37:E46)</f>
        <v>1260000</v>
      </c>
    </row>
    <row r="48" spans="1:7">
      <c r="A48" s="39">
        <v>3</v>
      </c>
      <c r="B48" s="8">
        <v>800000</v>
      </c>
      <c r="C48" s="42"/>
      <c r="D48" s="42"/>
      <c r="E48" s="42"/>
    </row>
    <row r="49" spans="1:6">
      <c r="A49" s="39">
        <v>2</v>
      </c>
      <c r="B49" s="8">
        <v>1000000</v>
      </c>
      <c r="C49" s="42"/>
      <c r="D49" s="4" t="s">
        <v>80</v>
      </c>
      <c r="E49" s="4">
        <f>60*(2100/10)</f>
        <v>12600</v>
      </c>
    </row>
    <row r="50" spans="1:6">
      <c r="A50" s="39">
        <v>1</v>
      </c>
      <c r="B50" s="8">
        <v>1500000</v>
      </c>
      <c r="C50" s="42"/>
      <c r="D50" s="13" t="s">
        <v>88</v>
      </c>
      <c r="E50" s="6">
        <f>E47/E49</f>
        <v>100</v>
      </c>
    </row>
    <row r="51" spans="1:6">
      <c r="A51" s="42"/>
      <c r="B51" s="42"/>
      <c r="C51" s="42"/>
      <c r="D51" s="4" t="s">
        <v>97</v>
      </c>
      <c r="E51" s="33">
        <f>C5/E49</f>
        <v>238.0952380952381</v>
      </c>
    </row>
    <row r="52" spans="1:6">
      <c r="A52" s="42"/>
      <c r="B52" s="42"/>
      <c r="C52" s="42"/>
      <c r="D52" s="42"/>
      <c r="E52" s="42"/>
    </row>
    <row r="53" spans="1:6">
      <c r="A53" s="42"/>
      <c r="B53" s="42"/>
      <c r="C53" s="42"/>
      <c r="D53" s="5" t="s">
        <v>96</v>
      </c>
      <c r="E53" s="34">
        <f>E50*C5</f>
        <v>300000000</v>
      </c>
    </row>
    <row r="57" spans="1:6" ht="21">
      <c r="A57" s="48" t="s">
        <v>106</v>
      </c>
      <c r="B57" s="48"/>
      <c r="C57" s="48"/>
      <c r="D57" s="48"/>
      <c r="E57" s="48"/>
    </row>
    <row r="58" spans="1:6">
      <c r="A58" s="1"/>
      <c r="B58" s="1"/>
    </row>
    <row r="59" spans="1:6">
      <c r="A59" s="31" t="s">
        <v>89</v>
      </c>
      <c r="B59" s="31" t="s">
        <v>90</v>
      </c>
      <c r="C59" s="31" t="s">
        <v>91</v>
      </c>
      <c r="D59" s="31" t="s">
        <v>92</v>
      </c>
      <c r="E59" s="31" t="s">
        <v>93</v>
      </c>
      <c r="F59" s="31" t="s">
        <v>94</v>
      </c>
    </row>
    <row r="60" spans="1:6">
      <c r="A60" s="32">
        <v>-200000000</v>
      </c>
      <c r="B60" s="32">
        <v>30000000</v>
      </c>
      <c r="C60" s="32">
        <v>50000000</v>
      </c>
      <c r="D60" s="32">
        <v>80000000</v>
      </c>
      <c r="E60" s="32">
        <v>90000000</v>
      </c>
      <c r="F60" s="32">
        <v>90000000</v>
      </c>
    </row>
    <row r="62" spans="1:6">
      <c r="A62" s="38" t="s">
        <v>95</v>
      </c>
    </row>
    <row r="63" spans="1:6">
      <c r="A63" s="35">
        <f>IRR(A60:F60)</f>
        <v>0.1721739131685211</v>
      </c>
    </row>
  </sheetData>
  <mergeCells count="8">
    <mergeCell ref="A57:E57"/>
    <mergeCell ref="F11:G11"/>
    <mergeCell ref="A26:E26"/>
    <mergeCell ref="D28:E28"/>
    <mergeCell ref="A39:B39"/>
    <mergeCell ref="A4:C4"/>
    <mergeCell ref="D36:E36"/>
    <mergeCell ref="A35:B3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Duo</dc:creator>
  <cp:lastModifiedBy>Duo</cp:lastModifiedBy>
  <dcterms:created xsi:type="dcterms:W3CDTF">2013-09-25T02:48:50Z</dcterms:created>
  <dcterms:modified xsi:type="dcterms:W3CDTF">2014-05-20T00:38:48Z</dcterms:modified>
</cp:coreProperties>
</file>