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10212d89a6696fd/Maestria/Trabajo de grado/"/>
    </mc:Choice>
  </mc:AlternateContent>
  <xr:revisionPtr revIDLastSave="6" documentId="8_{F835344C-9E96-42C7-A5B9-50949989409C}" xr6:coauthVersionLast="45" xr6:coauthVersionMax="45" xr10:uidLastSave="{36BFE16E-229C-42C3-8512-79CA8DBD3BF1}"/>
  <bookViews>
    <workbookView xWindow="-110" yWindow="-110" windowWidth="19420" windowHeight="10420" tabRatio="780" xr2:uid="{467BAB4D-58B1-4E4F-A426-7C8FE818F45C}"/>
  </bookViews>
  <sheets>
    <sheet name="Presupuesto economico" sheetId="1" r:id="rId1"/>
    <sheet name="Contabilización Año 1" sheetId="12" r:id="rId2"/>
    <sheet name="Flujo de caja año 1" sheetId="8" r:id="rId3"/>
    <sheet name="Contabilización Año 2" sheetId="13" r:id="rId4"/>
    <sheet name="Flujo de caja año 2" sheetId="14" r:id="rId5"/>
    <sheet name="Estado de resultados" sheetId="4" r:id="rId6"/>
    <sheet name="Balance general" sheetId="3" r:id="rId7"/>
  </sheets>
  <definedNames>
    <definedName name="_xlnm._FilterDatabase" localSheetId="1" hidden="1">'Contabilización Año 1'!$A$2:$Q$101</definedName>
    <definedName name="_xlnm._FilterDatabase" localSheetId="3" hidden="1">'Contabilización Año 2'!$A$2:$Q$107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9" i="3" l="1"/>
  <c r="N63" i="3"/>
  <c r="M63" i="3"/>
  <c r="N58" i="3"/>
  <c r="N33" i="3"/>
  <c r="I14" i="4" l="1"/>
  <c r="I13" i="4"/>
  <c r="I12" i="4"/>
  <c r="I11" i="4"/>
  <c r="I10" i="4"/>
  <c r="I8" i="4"/>
  <c r="I7" i="4"/>
  <c r="J12" i="4"/>
  <c r="F25" i="3"/>
  <c r="B12" i="1"/>
  <c r="D9" i="1"/>
  <c r="D12" i="1" s="1"/>
  <c r="D42" i="1"/>
  <c r="E49" i="1"/>
  <c r="E50" i="1"/>
  <c r="F70" i="1"/>
  <c r="F75" i="12"/>
  <c r="D54" i="1" l="1"/>
  <c r="D53" i="1"/>
  <c r="E54" i="1"/>
  <c r="F13" i="13" l="1"/>
  <c r="E53" i="1"/>
  <c r="E13" i="13" s="1"/>
  <c r="J13" i="12"/>
  <c r="L13" i="12"/>
  <c r="I13" i="12"/>
  <c r="K13" i="12"/>
  <c r="P13" i="12"/>
  <c r="H13" i="12"/>
  <c r="O13" i="12"/>
  <c r="G13" i="12"/>
  <c r="N13" i="12"/>
  <c r="F13" i="12"/>
  <c r="M13" i="12"/>
  <c r="E13" i="12"/>
  <c r="D5" i="1"/>
  <c r="O13" i="13" l="1"/>
  <c r="G13" i="13"/>
  <c r="N13" i="13"/>
  <c r="M13" i="13"/>
  <c r="P13" i="13"/>
  <c r="L13" i="13"/>
  <c r="H13" i="13"/>
  <c r="K13" i="13"/>
  <c r="I13" i="13"/>
  <c r="J13" i="13"/>
  <c r="C19" i="8"/>
  <c r="D19" i="8"/>
  <c r="E19" i="8"/>
  <c r="F19" i="8"/>
  <c r="G19" i="8"/>
  <c r="H19" i="8"/>
  <c r="J19" i="8"/>
  <c r="L19" i="8"/>
  <c r="N19" i="8"/>
  <c r="N17" i="8"/>
  <c r="M17" i="8"/>
  <c r="L17" i="8"/>
  <c r="K17" i="8"/>
  <c r="J17" i="8"/>
  <c r="I17" i="8"/>
  <c r="H17" i="8"/>
  <c r="G17" i="8"/>
  <c r="F17" i="8"/>
  <c r="E17" i="8"/>
  <c r="D17" i="8"/>
  <c r="E81" i="12"/>
  <c r="E82" i="12" s="1"/>
  <c r="Q83" i="12"/>
  <c r="G65" i="1"/>
  <c r="E62" i="13"/>
  <c r="N17" i="14"/>
  <c r="M17" i="14"/>
  <c r="L17" i="14"/>
  <c r="K17" i="14"/>
  <c r="J17" i="14"/>
  <c r="I17" i="14"/>
  <c r="H17" i="14"/>
  <c r="G17" i="14"/>
  <c r="F17" i="14"/>
  <c r="E17" i="14"/>
  <c r="D17" i="14"/>
  <c r="O24" i="14"/>
  <c r="N21" i="14"/>
  <c r="M21" i="14"/>
  <c r="L21" i="14"/>
  <c r="K21" i="14"/>
  <c r="J21" i="14"/>
  <c r="I21" i="14"/>
  <c r="H21" i="14"/>
  <c r="G21" i="14"/>
  <c r="F21" i="14"/>
  <c r="E21" i="14"/>
  <c r="C21" i="14"/>
  <c r="Q99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E7" i="13"/>
  <c r="E6" i="13"/>
  <c r="G68" i="1"/>
  <c r="E56" i="13" s="1"/>
  <c r="E76" i="1"/>
  <c r="L78" i="13" s="1"/>
  <c r="L79" i="13" s="1"/>
  <c r="E75" i="1"/>
  <c r="P68" i="13" s="1"/>
  <c r="P69" i="13" s="1"/>
  <c r="E74" i="1"/>
  <c r="N81" i="13" s="1"/>
  <c r="N82" i="13" s="1"/>
  <c r="E68" i="13" l="1"/>
  <c r="F68" i="13"/>
  <c r="F69" i="13" s="1"/>
  <c r="G68" i="13"/>
  <c r="G69" i="13" s="1"/>
  <c r="E65" i="13"/>
  <c r="E66" i="13" s="1"/>
  <c r="I68" i="13"/>
  <c r="I69" i="13" s="1"/>
  <c r="M68" i="13"/>
  <c r="M69" i="13" s="1"/>
  <c r="G70" i="1"/>
  <c r="E55" i="13"/>
  <c r="E59" i="13" s="1"/>
  <c r="I65" i="13"/>
  <c r="I66" i="13" s="1"/>
  <c r="J65" i="13"/>
  <c r="J66" i="13" s="1"/>
  <c r="N68" i="13"/>
  <c r="N69" i="13" s="1"/>
  <c r="K65" i="13"/>
  <c r="K66" i="13" s="1"/>
  <c r="O68" i="13"/>
  <c r="O69" i="13" s="1"/>
  <c r="M65" i="13"/>
  <c r="M66" i="13" s="1"/>
  <c r="G81" i="13"/>
  <c r="G82" i="13" s="1"/>
  <c r="C17" i="8"/>
  <c r="O17" i="8" s="1"/>
  <c r="Q81" i="12"/>
  <c r="E12" i="4" s="1"/>
  <c r="Q82" i="12"/>
  <c r="O55" i="13"/>
  <c r="O56" i="13" s="1"/>
  <c r="G55" i="13"/>
  <c r="G56" i="13" s="1"/>
  <c r="N55" i="13"/>
  <c r="N56" i="13" s="1"/>
  <c r="N57" i="13" s="1"/>
  <c r="L55" i="13"/>
  <c r="L56" i="13" s="1"/>
  <c r="K55" i="13"/>
  <c r="K56" i="13" s="1"/>
  <c r="P55" i="13"/>
  <c r="P56" i="13" s="1"/>
  <c r="F55" i="13"/>
  <c r="F56" i="13" s="1"/>
  <c r="J55" i="13"/>
  <c r="J56" i="13" s="1"/>
  <c r="H55" i="13"/>
  <c r="H56" i="13" s="1"/>
  <c r="H57" i="13" s="1"/>
  <c r="I55" i="13"/>
  <c r="I56" i="13" s="1"/>
  <c r="M55" i="13"/>
  <c r="M56" i="13" s="1"/>
  <c r="F65" i="13"/>
  <c r="F66" i="13" s="1"/>
  <c r="N65" i="13"/>
  <c r="N66" i="13" s="1"/>
  <c r="J68" i="13"/>
  <c r="J69" i="13" s="1"/>
  <c r="G65" i="13"/>
  <c r="G66" i="13" s="1"/>
  <c r="O65" i="13"/>
  <c r="O66" i="13" s="1"/>
  <c r="K68" i="13"/>
  <c r="K69" i="13" s="1"/>
  <c r="H65" i="13"/>
  <c r="H66" i="13" s="1"/>
  <c r="P65" i="13"/>
  <c r="P66" i="13" s="1"/>
  <c r="L68" i="13"/>
  <c r="L69" i="13" s="1"/>
  <c r="L65" i="13"/>
  <c r="L66" i="13" s="1"/>
  <c r="H68" i="13"/>
  <c r="H69" i="13" s="1"/>
  <c r="L78" i="12"/>
  <c r="L79" i="12" s="1"/>
  <c r="N84" i="12"/>
  <c r="N85" i="12" s="1"/>
  <c r="G84" i="12"/>
  <c r="G85" i="12" s="1"/>
  <c r="P68" i="12"/>
  <c r="P69" i="12" s="1"/>
  <c r="O68" i="12"/>
  <c r="O69" i="12" s="1"/>
  <c r="N68" i="12"/>
  <c r="N69" i="12" s="1"/>
  <c r="M68" i="12"/>
  <c r="M69" i="12" s="1"/>
  <c r="L68" i="12"/>
  <c r="L69" i="12" s="1"/>
  <c r="K68" i="12"/>
  <c r="K69" i="12" s="1"/>
  <c r="J68" i="12"/>
  <c r="J69" i="12" s="1"/>
  <c r="I68" i="12"/>
  <c r="I69" i="12" s="1"/>
  <c r="H68" i="12"/>
  <c r="H69" i="12" s="1"/>
  <c r="G68" i="12"/>
  <c r="G69" i="12" s="1"/>
  <c r="F68" i="12"/>
  <c r="F69" i="12" s="1"/>
  <c r="E68" i="12"/>
  <c r="E69" i="12" s="1"/>
  <c r="P65" i="12"/>
  <c r="P66" i="12" s="1"/>
  <c r="O65" i="12"/>
  <c r="O66" i="12" s="1"/>
  <c r="N65" i="12"/>
  <c r="N66" i="12" s="1"/>
  <c r="M65" i="12"/>
  <c r="M66" i="12" s="1"/>
  <c r="L65" i="12"/>
  <c r="L66" i="12" s="1"/>
  <c r="K65" i="12"/>
  <c r="K66" i="12" s="1"/>
  <c r="J65" i="12"/>
  <c r="J66" i="12" s="1"/>
  <c r="I65" i="12"/>
  <c r="I66" i="12" s="1"/>
  <c r="H65" i="12"/>
  <c r="H66" i="12" s="1"/>
  <c r="G65" i="12"/>
  <c r="G66" i="12" s="1"/>
  <c r="F65" i="12"/>
  <c r="F66" i="12" s="1"/>
  <c r="E65" i="12"/>
  <c r="E66" i="12" s="1"/>
  <c r="E62" i="12"/>
  <c r="E63" i="12" s="1"/>
  <c r="E49" i="12"/>
  <c r="K48" i="12" s="1"/>
  <c r="K49" i="12" s="1"/>
  <c r="E56" i="12"/>
  <c r="P55" i="12" s="1"/>
  <c r="P56" i="12" s="1"/>
  <c r="E48" i="12"/>
  <c r="E55" i="12"/>
  <c r="E45" i="12"/>
  <c r="Q45" i="12" s="1"/>
  <c r="P26" i="12"/>
  <c r="O26" i="12"/>
  <c r="N26" i="12"/>
  <c r="M26" i="12"/>
  <c r="L26" i="12"/>
  <c r="K26" i="12"/>
  <c r="J26" i="12"/>
  <c r="I26" i="12"/>
  <c r="H26" i="12"/>
  <c r="G26" i="12"/>
  <c r="F26" i="12"/>
  <c r="E26" i="12"/>
  <c r="E7" i="12"/>
  <c r="E8" i="12" s="1"/>
  <c r="E3" i="12"/>
  <c r="E4" i="12" s="1"/>
  <c r="C5" i="8"/>
  <c r="M74" i="3" s="1"/>
  <c r="E10" i="12"/>
  <c r="E57" i="13" l="1"/>
  <c r="E58" i="13"/>
  <c r="M57" i="13"/>
  <c r="G57" i="13"/>
  <c r="O57" i="13"/>
  <c r="I57" i="13"/>
  <c r="J57" i="13"/>
  <c r="F57" i="13"/>
  <c r="K57" i="13"/>
  <c r="L57" i="13"/>
  <c r="P57" i="13"/>
  <c r="E11" i="12"/>
  <c r="E97" i="12"/>
  <c r="O48" i="12"/>
  <c r="O49" i="12" s="1"/>
  <c r="L55" i="12"/>
  <c r="L56" i="12" s="1"/>
  <c r="G48" i="12"/>
  <c r="G49" i="12" s="1"/>
  <c r="J48" i="12"/>
  <c r="J49" i="12" s="1"/>
  <c r="L48" i="12"/>
  <c r="L49" i="12" s="1"/>
  <c r="I55" i="12"/>
  <c r="I56" i="12" s="1"/>
  <c r="M48" i="12"/>
  <c r="M49" i="12" s="1"/>
  <c r="J55" i="12"/>
  <c r="J56" i="12" s="1"/>
  <c r="F48" i="12"/>
  <c r="F49" i="12" s="1"/>
  <c r="N48" i="12"/>
  <c r="N49" i="12" s="1"/>
  <c r="K55" i="12"/>
  <c r="K56" i="12" s="1"/>
  <c r="H48" i="12"/>
  <c r="H49" i="12" s="1"/>
  <c r="P48" i="12"/>
  <c r="P49" i="12" s="1"/>
  <c r="M55" i="12"/>
  <c r="M56" i="12" s="1"/>
  <c r="E46" i="12"/>
  <c r="I48" i="12"/>
  <c r="I49" i="12" s="1"/>
  <c r="F55" i="12"/>
  <c r="F56" i="12" s="1"/>
  <c r="N55" i="12"/>
  <c r="N56" i="12" s="1"/>
  <c r="G55" i="12"/>
  <c r="G56" i="12" s="1"/>
  <c r="O55" i="12"/>
  <c r="O56" i="12" s="1"/>
  <c r="H55" i="12"/>
  <c r="H56" i="12" s="1"/>
  <c r="E50" i="12"/>
  <c r="E60" i="13" l="1"/>
  <c r="C17" i="14" s="1"/>
  <c r="D43" i="1"/>
  <c r="L100" i="13" s="1"/>
  <c r="E15" i="3" l="1"/>
  <c r="E10" i="3"/>
  <c r="E9" i="3"/>
  <c r="L101" i="13"/>
  <c r="J22" i="14" s="1"/>
  <c r="N22" i="14"/>
  <c r="M22" i="14"/>
  <c r="L22" i="14"/>
  <c r="K22" i="14"/>
  <c r="I22" i="14"/>
  <c r="H22" i="14"/>
  <c r="G22" i="14"/>
  <c r="F22" i="14"/>
  <c r="E22" i="14"/>
  <c r="D22" i="14"/>
  <c r="N20" i="14"/>
  <c r="M20" i="14"/>
  <c r="L20" i="14"/>
  <c r="K20" i="14"/>
  <c r="J20" i="14"/>
  <c r="I20" i="14"/>
  <c r="G20" i="14"/>
  <c r="F20" i="14"/>
  <c r="E20" i="14"/>
  <c r="D20" i="14"/>
  <c r="C22" i="14"/>
  <c r="C20" i="14"/>
  <c r="Q96" i="13"/>
  <c r="Q100" i="13"/>
  <c r="Q102" i="13"/>
  <c r="N35" i="14"/>
  <c r="M35" i="14"/>
  <c r="L35" i="14"/>
  <c r="K35" i="14"/>
  <c r="J35" i="14"/>
  <c r="I35" i="14"/>
  <c r="H35" i="14"/>
  <c r="G35" i="14"/>
  <c r="F35" i="14"/>
  <c r="E35" i="14"/>
  <c r="D35" i="14"/>
  <c r="N18" i="14"/>
  <c r="L18" i="14"/>
  <c r="J18" i="14"/>
  <c r="H18" i="14"/>
  <c r="F18" i="14"/>
  <c r="D18" i="14"/>
  <c r="N15" i="14"/>
  <c r="M15" i="14"/>
  <c r="L15" i="14"/>
  <c r="K15" i="14"/>
  <c r="J15" i="14"/>
  <c r="I15" i="14"/>
  <c r="H15" i="14"/>
  <c r="G15" i="14"/>
  <c r="F15" i="14"/>
  <c r="E15" i="14"/>
  <c r="D15" i="14"/>
  <c r="N14" i="14"/>
  <c r="M14" i="14"/>
  <c r="L14" i="14"/>
  <c r="K14" i="14"/>
  <c r="J14" i="14"/>
  <c r="I14" i="14"/>
  <c r="H14" i="14"/>
  <c r="G14" i="14"/>
  <c r="F14" i="14"/>
  <c r="E14" i="14"/>
  <c r="D14" i="14"/>
  <c r="N13" i="14"/>
  <c r="M13" i="14"/>
  <c r="L13" i="14"/>
  <c r="K13" i="14"/>
  <c r="J13" i="14"/>
  <c r="I13" i="14"/>
  <c r="H13" i="14"/>
  <c r="G13" i="14"/>
  <c r="F13" i="14"/>
  <c r="E13" i="14"/>
  <c r="D13" i="14"/>
  <c r="C15" i="14"/>
  <c r="C14" i="14"/>
  <c r="C13" i="14"/>
  <c r="F76" i="13"/>
  <c r="F75" i="13"/>
  <c r="F74" i="13"/>
  <c r="N16" i="14"/>
  <c r="M16" i="14"/>
  <c r="L16" i="14"/>
  <c r="K16" i="14"/>
  <c r="J16" i="14"/>
  <c r="I16" i="14"/>
  <c r="H16" i="14"/>
  <c r="G16" i="14"/>
  <c r="F16" i="14"/>
  <c r="E16" i="14"/>
  <c r="D16" i="14"/>
  <c r="E69" i="13"/>
  <c r="C16" i="14" s="1"/>
  <c r="E8" i="13"/>
  <c r="C35" i="14" s="1"/>
  <c r="N25" i="14"/>
  <c r="M25" i="14"/>
  <c r="L25" i="14"/>
  <c r="J25" i="14"/>
  <c r="H25" i="14"/>
  <c r="F25" i="14"/>
  <c r="E25" i="14"/>
  <c r="D25" i="14"/>
  <c r="E63" i="13"/>
  <c r="C25" i="14" s="1"/>
  <c r="Q101" i="13" l="1"/>
  <c r="I25" i="14"/>
  <c r="O22" i="14"/>
  <c r="G25" i="14"/>
  <c r="K25" i="14"/>
  <c r="N36" i="14"/>
  <c r="M36" i="14"/>
  <c r="L36" i="14"/>
  <c r="K36" i="14"/>
  <c r="J36" i="14"/>
  <c r="I36" i="14"/>
  <c r="H36" i="14"/>
  <c r="G36" i="14"/>
  <c r="F36" i="14"/>
  <c r="E36" i="14"/>
  <c r="D36" i="14"/>
  <c r="N30" i="14"/>
  <c r="M30" i="14"/>
  <c r="L30" i="14"/>
  <c r="K30" i="14"/>
  <c r="J30" i="14"/>
  <c r="I30" i="14"/>
  <c r="H30" i="14"/>
  <c r="G30" i="14"/>
  <c r="F30" i="14"/>
  <c r="E30" i="14"/>
  <c r="D30" i="14"/>
  <c r="O23" i="14"/>
  <c r="O16" i="14"/>
  <c r="O15" i="14"/>
  <c r="O14" i="14"/>
  <c r="O13" i="14"/>
  <c r="P121" i="13"/>
  <c r="O121" i="13"/>
  <c r="N121" i="13"/>
  <c r="M121" i="13"/>
  <c r="L121" i="13"/>
  <c r="K121" i="13"/>
  <c r="J121" i="13"/>
  <c r="I121" i="13"/>
  <c r="H121" i="13"/>
  <c r="G121" i="13"/>
  <c r="F121" i="13"/>
  <c r="E121" i="13"/>
  <c r="P117" i="13"/>
  <c r="O117" i="13"/>
  <c r="N117" i="13"/>
  <c r="M117" i="13"/>
  <c r="L117" i="13"/>
  <c r="K117" i="13"/>
  <c r="J117" i="13"/>
  <c r="I117" i="13"/>
  <c r="H117" i="13"/>
  <c r="G117" i="13"/>
  <c r="F117" i="13"/>
  <c r="E117" i="13"/>
  <c r="Q105" i="13"/>
  <c r="Q93" i="13"/>
  <c r="Q90" i="13"/>
  <c r="Q83" i="13"/>
  <c r="Q82" i="13"/>
  <c r="Q81" i="13"/>
  <c r="Q80" i="13"/>
  <c r="Q79" i="13"/>
  <c r="Q78" i="13"/>
  <c r="Q77" i="13"/>
  <c r="Q76" i="13"/>
  <c r="Q74" i="13"/>
  <c r="F13" i="4" s="1"/>
  <c r="Q73" i="13"/>
  <c r="Q70" i="13"/>
  <c r="Q69" i="13"/>
  <c r="Q68" i="13"/>
  <c r="Q67" i="13"/>
  <c r="Q66" i="13"/>
  <c r="Q65" i="13"/>
  <c r="Q64" i="13"/>
  <c r="Q63" i="13"/>
  <c r="Q62" i="13"/>
  <c r="Q61" i="13"/>
  <c r="L116" i="13"/>
  <c r="H116" i="13"/>
  <c r="O116" i="13"/>
  <c r="Q59" i="13"/>
  <c r="Q54" i="13"/>
  <c r="Q52" i="13"/>
  <c r="Q51" i="13"/>
  <c r="Q50" i="13"/>
  <c r="Q49" i="13"/>
  <c r="Q48" i="13"/>
  <c r="Q47" i="13"/>
  <c r="Q46" i="13"/>
  <c r="Q45" i="13"/>
  <c r="Q44" i="13"/>
  <c r="Q41" i="13"/>
  <c r="Q38" i="13"/>
  <c r="Q26" i="13"/>
  <c r="Q12" i="13"/>
  <c r="Q11" i="13"/>
  <c r="Q10" i="13"/>
  <c r="Q9" i="13"/>
  <c r="Q8" i="13"/>
  <c r="Q7" i="13"/>
  <c r="D17" i="3" s="1"/>
  <c r="Q6" i="13"/>
  <c r="D16" i="3" s="1"/>
  <c r="Q5" i="13"/>
  <c r="Q4" i="13"/>
  <c r="Q3" i="13"/>
  <c r="O25" i="14" l="1"/>
  <c r="O35" i="14"/>
  <c r="Q117" i="13"/>
  <c r="Q121" i="13"/>
  <c r="C36" i="14"/>
  <c r="O36" i="14" s="1"/>
  <c r="O30" i="14"/>
  <c r="Q58" i="13"/>
  <c r="I116" i="13"/>
  <c r="M116" i="13"/>
  <c r="Q75" i="13"/>
  <c r="D18" i="3" s="1"/>
  <c r="Q55" i="13"/>
  <c r="N116" i="13"/>
  <c r="Q57" i="13"/>
  <c r="E116" i="13"/>
  <c r="G116" i="13"/>
  <c r="K116" i="13"/>
  <c r="Q3" i="12"/>
  <c r="C34" i="3" s="1"/>
  <c r="E34" i="3" s="1"/>
  <c r="I110" i="12"/>
  <c r="Q5" i="12"/>
  <c r="Q4" i="12"/>
  <c r="Q99" i="12"/>
  <c r="Q96" i="12"/>
  <c r="Q93" i="12"/>
  <c r="Q86" i="12"/>
  <c r="Q85" i="12"/>
  <c r="Q84" i="12"/>
  <c r="Q80" i="12"/>
  <c r="Q79" i="12"/>
  <c r="Q78" i="12"/>
  <c r="Q77" i="12"/>
  <c r="Q74" i="12"/>
  <c r="E13" i="4" s="1"/>
  <c r="K13" i="4" s="1"/>
  <c r="Q73" i="12"/>
  <c r="Q70" i="12"/>
  <c r="Q69" i="12"/>
  <c r="Q68" i="12"/>
  <c r="Q67" i="12"/>
  <c r="Q66" i="12"/>
  <c r="Q65" i="12"/>
  <c r="Q64" i="12"/>
  <c r="Q63" i="12"/>
  <c r="Q62" i="12"/>
  <c r="Q61" i="12"/>
  <c r="Q54" i="12"/>
  <c r="Q49" i="12"/>
  <c r="Q48" i="12"/>
  <c r="Q47" i="12"/>
  <c r="Q46" i="12"/>
  <c r="Q44" i="12"/>
  <c r="Q41" i="12"/>
  <c r="Q38" i="12"/>
  <c r="Q26" i="12"/>
  <c r="Q12" i="12"/>
  <c r="Q11" i="12"/>
  <c r="Q10" i="12"/>
  <c r="Q9" i="12"/>
  <c r="Q8" i="12"/>
  <c r="Q7" i="12"/>
  <c r="C17" i="3" s="1"/>
  <c r="E17" i="3" s="1"/>
  <c r="Q6" i="12"/>
  <c r="C16" i="3" s="1"/>
  <c r="E16" i="3" s="1"/>
  <c r="D33" i="8"/>
  <c r="E33" i="8"/>
  <c r="F33" i="8"/>
  <c r="G33" i="8"/>
  <c r="H33" i="8"/>
  <c r="I33" i="8"/>
  <c r="J33" i="8"/>
  <c r="K33" i="8"/>
  <c r="L33" i="8"/>
  <c r="M33" i="8"/>
  <c r="N33" i="8"/>
  <c r="C33" i="8"/>
  <c r="C29" i="8"/>
  <c r="N28" i="8"/>
  <c r="M28" i="8"/>
  <c r="L28" i="8"/>
  <c r="K28" i="8"/>
  <c r="J28" i="8"/>
  <c r="I28" i="8"/>
  <c r="H28" i="8"/>
  <c r="G28" i="8"/>
  <c r="F28" i="8"/>
  <c r="E28" i="8"/>
  <c r="D28" i="8"/>
  <c r="N23" i="8"/>
  <c r="M23" i="8"/>
  <c r="L23" i="8"/>
  <c r="K23" i="8"/>
  <c r="J23" i="8"/>
  <c r="I23" i="8"/>
  <c r="H23" i="8"/>
  <c r="G23" i="8"/>
  <c r="F23" i="8"/>
  <c r="E23" i="8"/>
  <c r="D23" i="8"/>
  <c r="N22" i="8"/>
  <c r="M22" i="8"/>
  <c r="L22" i="8"/>
  <c r="K22" i="8"/>
  <c r="J22" i="8"/>
  <c r="I22" i="8"/>
  <c r="H22" i="8"/>
  <c r="G22" i="8"/>
  <c r="F22" i="8"/>
  <c r="E22" i="8"/>
  <c r="D22" i="8"/>
  <c r="N21" i="8"/>
  <c r="M21" i="8"/>
  <c r="L21" i="8"/>
  <c r="K21" i="8"/>
  <c r="J21" i="8"/>
  <c r="I21" i="8"/>
  <c r="H21" i="8"/>
  <c r="G21" i="8"/>
  <c r="F21" i="8"/>
  <c r="E21" i="8"/>
  <c r="D21" i="8"/>
  <c r="C21" i="8"/>
  <c r="N18" i="8"/>
  <c r="M18" i="8"/>
  <c r="L18" i="8"/>
  <c r="K18" i="8"/>
  <c r="J18" i="8"/>
  <c r="I18" i="8"/>
  <c r="H18" i="8"/>
  <c r="G18" i="8"/>
  <c r="F18" i="8"/>
  <c r="E18" i="8"/>
  <c r="D18" i="8"/>
  <c r="N16" i="8"/>
  <c r="M16" i="8"/>
  <c r="L16" i="8"/>
  <c r="K16" i="8"/>
  <c r="J16" i="8"/>
  <c r="I16" i="8"/>
  <c r="H16" i="8"/>
  <c r="G16" i="8"/>
  <c r="F16" i="8"/>
  <c r="E16" i="8"/>
  <c r="D16" i="8"/>
  <c r="N15" i="8"/>
  <c r="M15" i="8"/>
  <c r="L15" i="8"/>
  <c r="K15" i="8"/>
  <c r="J15" i="8"/>
  <c r="I15" i="8"/>
  <c r="H15" i="8"/>
  <c r="G15" i="8"/>
  <c r="F15" i="8"/>
  <c r="E15" i="8"/>
  <c r="D15" i="8"/>
  <c r="C15" i="8"/>
  <c r="N14" i="8"/>
  <c r="M14" i="8"/>
  <c r="L14" i="8"/>
  <c r="K14" i="8"/>
  <c r="J14" i="8"/>
  <c r="I14" i="8"/>
  <c r="H14" i="8"/>
  <c r="G14" i="8"/>
  <c r="F14" i="8"/>
  <c r="E14" i="8"/>
  <c r="D14" i="8"/>
  <c r="C14" i="8"/>
  <c r="N13" i="8"/>
  <c r="M13" i="8"/>
  <c r="L13" i="8"/>
  <c r="K13" i="8"/>
  <c r="J13" i="8"/>
  <c r="I13" i="8"/>
  <c r="H13" i="8"/>
  <c r="G13" i="8"/>
  <c r="F13" i="8"/>
  <c r="E13" i="8"/>
  <c r="D13" i="8"/>
  <c r="C13" i="8"/>
  <c r="E117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E112" i="12"/>
  <c r="P111" i="12"/>
  <c r="O111" i="12"/>
  <c r="N111" i="12"/>
  <c r="M111" i="12"/>
  <c r="L111" i="12"/>
  <c r="K111" i="12"/>
  <c r="J111" i="12"/>
  <c r="I111" i="12"/>
  <c r="H111" i="12"/>
  <c r="G111" i="12"/>
  <c r="F111" i="12"/>
  <c r="E111" i="12"/>
  <c r="E98" i="12"/>
  <c r="F76" i="12"/>
  <c r="Q76" i="12" s="1"/>
  <c r="E59" i="12"/>
  <c r="C16" i="8" s="1"/>
  <c r="E58" i="12"/>
  <c r="Q58" i="12" s="1"/>
  <c r="E52" i="12"/>
  <c r="C23" i="8" s="1"/>
  <c r="E51" i="12"/>
  <c r="Q51" i="12" s="1"/>
  <c r="Q50" i="12"/>
  <c r="E10" i="4" l="1"/>
  <c r="H16" i="3"/>
  <c r="H34" i="3"/>
  <c r="D19" i="3"/>
  <c r="Q53" i="13"/>
  <c r="Q60" i="13"/>
  <c r="O17" i="14" s="1"/>
  <c r="Q56" i="13"/>
  <c r="F8" i="4" s="1"/>
  <c r="Q59" i="12"/>
  <c r="J110" i="12"/>
  <c r="F110" i="12"/>
  <c r="L110" i="12"/>
  <c r="M110" i="12"/>
  <c r="Q52" i="12"/>
  <c r="N110" i="12"/>
  <c r="K110" i="12"/>
  <c r="G110" i="12"/>
  <c r="O110" i="12"/>
  <c r="H110" i="12"/>
  <c r="Q55" i="12"/>
  <c r="C11" i="3" s="1"/>
  <c r="E11" i="3" s="1"/>
  <c r="O16" i="8"/>
  <c r="O14" i="8"/>
  <c r="O21" i="8"/>
  <c r="O23" i="8"/>
  <c r="O13" i="8"/>
  <c r="O15" i="8"/>
  <c r="Q111" i="12"/>
  <c r="Q115" i="12"/>
  <c r="E53" i="12"/>
  <c r="Q53" i="12" s="1"/>
  <c r="E57" i="12"/>
  <c r="E110" i="12"/>
  <c r="E60" i="12" l="1"/>
  <c r="Q60" i="12" s="1"/>
  <c r="Q57" i="12"/>
  <c r="Q56" i="12"/>
  <c r="E8" i="4" s="1"/>
  <c r="K8" i="4" s="1"/>
  <c r="Q75" i="12"/>
  <c r="C18" i="3" s="1"/>
  <c r="C22" i="8"/>
  <c r="O22" i="8" s="1"/>
  <c r="C28" i="8"/>
  <c r="C19" i="3" l="1"/>
  <c r="E18" i="3"/>
  <c r="E19" i="3" s="1"/>
  <c r="C18" i="8"/>
  <c r="O18" i="8" s="1"/>
  <c r="C30" i="8" a="1"/>
  <c r="C30" i="8" s="1"/>
  <c r="O28" i="8"/>
  <c r="H19" i="3" l="1"/>
  <c r="N34" i="8" l="1"/>
  <c r="M34" i="8"/>
  <c r="L34" i="8"/>
  <c r="K34" i="8"/>
  <c r="J34" i="8"/>
  <c r="I34" i="8"/>
  <c r="H34" i="8"/>
  <c r="G34" i="8"/>
  <c r="F34" i="8"/>
  <c r="E34" i="8"/>
  <c r="D34" i="8"/>
  <c r="C34" i="8"/>
  <c r="O33" i="8"/>
  <c r="O34" i="8" l="1"/>
  <c r="O5" i="8"/>
  <c r="D6" i="1" l="1"/>
  <c r="D7" i="1" l="1"/>
  <c r="D8" i="1" s="1"/>
  <c r="E88" i="12" l="1"/>
  <c r="K20" i="13"/>
  <c r="K16" i="13"/>
  <c r="K25" i="13"/>
  <c r="K14" i="13"/>
  <c r="K17" i="13"/>
  <c r="K32" i="13"/>
  <c r="K23" i="13"/>
  <c r="K19" i="13"/>
  <c r="K33" i="13"/>
  <c r="K34" i="13"/>
  <c r="K21" i="13"/>
  <c r="K29" i="13"/>
  <c r="K30" i="13"/>
  <c r="K35" i="13"/>
  <c r="K28" i="13"/>
  <c r="K37" i="13"/>
  <c r="K15" i="13"/>
  <c r="K18" i="13"/>
  <c r="K24" i="13"/>
  <c r="K31" i="13"/>
  <c r="O16" i="13"/>
  <c r="O29" i="13"/>
  <c r="O32" i="13"/>
  <c r="O14" i="13"/>
  <c r="O28" i="13"/>
  <c r="O25" i="13"/>
  <c r="O31" i="13"/>
  <c r="O34" i="13"/>
  <c r="O37" i="13"/>
  <c r="O23" i="13"/>
  <c r="O15" i="13"/>
  <c r="O35" i="13"/>
  <c r="O17" i="13"/>
  <c r="O30" i="13"/>
  <c r="O24" i="13"/>
  <c r="O19" i="13"/>
  <c r="O33" i="13"/>
  <c r="O20" i="13"/>
  <c r="O18" i="13"/>
  <c r="O21" i="13"/>
  <c r="F37" i="13"/>
  <c r="F20" i="13"/>
  <c r="F14" i="13"/>
  <c r="F21" i="13"/>
  <c r="F25" i="13"/>
  <c r="F31" i="13"/>
  <c r="F32" i="13"/>
  <c r="F33" i="13"/>
  <c r="F23" i="13"/>
  <c r="F28" i="13"/>
  <c r="F29" i="13"/>
  <c r="F35" i="13"/>
  <c r="F30" i="13"/>
  <c r="F19" i="13"/>
  <c r="F17" i="13"/>
  <c r="F34" i="13"/>
  <c r="F18" i="13"/>
  <c r="F15" i="13"/>
  <c r="F24" i="13"/>
  <c r="F16" i="13"/>
  <c r="G16" i="13"/>
  <c r="G37" i="13"/>
  <c r="G32" i="13"/>
  <c r="G35" i="13"/>
  <c r="G29" i="13"/>
  <c r="G14" i="13"/>
  <c r="G28" i="13"/>
  <c r="G19" i="13"/>
  <c r="G33" i="13"/>
  <c r="G34" i="13"/>
  <c r="G23" i="13"/>
  <c r="G15" i="13"/>
  <c r="G31" i="13"/>
  <c r="G17" i="13"/>
  <c r="G30" i="13"/>
  <c r="G24" i="13"/>
  <c r="G20" i="13"/>
  <c r="G18" i="13"/>
  <c r="G21" i="13"/>
  <c r="G25" i="13"/>
  <c r="M14" i="13"/>
  <c r="M28" i="13"/>
  <c r="M31" i="13"/>
  <c r="M37" i="13"/>
  <c r="M34" i="13"/>
  <c r="M23" i="13"/>
  <c r="M20" i="13"/>
  <c r="M15" i="13"/>
  <c r="M24" i="13"/>
  <c r="M25" i="13"/>
  <c r="M30" i="13"/>
  <c r="M18" i="13"/>
  <c r="M16" i="13"/>
  <c r="M19" i="13"/>
  <c r="M33" i="13"/>
  <c r="M21" i="13"/>
  <c r="M17" i="13"/>
  <c r="M29" i="13"/>
  <c r="M32" i="13"/>
  <c r="M35" i="13"/>
  <c r="I24" i="13"/>
  <c r="I20" i="13"/>
  <c r="I29" i="13"/>
  <c r="I32" i="13"/>
  <c r="I35" i="13"/>
  <c r="I15" i="13"/>
  <c r="I37" i="13"/>
  <c r="I28" i="13"/>
  <c r="I21" i="13"/>
  <c r="I16" i="13"/>
  <c r="I31" i="13"/>
  <c r="I34" i="13"/>
  <c r="I19" i="13"/>
  <c r="I14" i="13"/>
  <c r="I23" i="13"/>
  <c r="I33" i="13"/>
  <c r="I25" i="13"/>
  <c r="I27" i="13" s="1"/>
  <c r="I17" i="13"/>
  <c r="I30" i="13"/>
  <c r="I18" i="13"/>
  <c r="H21" i="13"/>
  <c r="H19" i="13"/>
  <c r="H33" i="13"/>
  <c r="H14" i="13"/>
  <c r="H23" i="13"/>
  <c r="H34" i="13"/>
  <c r="H24" i="13"/>
  <c r="H17" i="13"/>
  <c r="H15" i="13"/>
  <c r="H18" i="13"/>
  <c r="H25" i="13"/>
  <c r="H29" i="13"/>
  <c r="H20" i="13"/>
  <c r="H30" i="13"/>
  <c r="H35" i="13"/>
  <c r="H32" i="13"/>
  <c r="H28" i="13"/>
  <c r="H31" i="13"/>
  <c r="H37" i="13"/>
  <c r="H16" i="13"/>
  <c r="N37" i="13"/>
  <c r="N14" i="13"/>
  <c r="N30" i="13"/>
  <c r="N18" i="13"/>
  <c r="N19" i="13"/>
  <c r="N31" i="13"/>
  <c r="N15" i="13"/>
  <c r="N20" i="13"/>
  <c r="N29" i="13"/>
  <c r="N21" i="13"/>
  <c r="N25" i="13"/>
  <c r="N32" i="13"/>
  <c r="N33" i="13"/>
  <c r="N16" i="13"/>
  <c r="N23" i="13"/>
  <c r="N28" i="13"/>
  <c r="N35" i="13"/>
  <c r="N17" i="13"/>
  <c r="N34" i="13"/>
  <c r="N24" i="13"/>
  <c r="J34" i="13"/>
  <c r="J24" i="13"/>
  <c r="J37" i="13"/>
  <c r="J31" i="13"/>
  <c r="J32" i="13"/>
  <c r="J35" i="13"/>
  <c r="J14" i="13"/>
  <c r="J21" i="13"/>
  <c r="J16" i="13"/>
  <c r="J25" i="13"/>
  <c r="J23" i="13"/>
  <c r="J28" i="13"/>
  <c r="J19" i="13"/>
  <c r="J33" i="13"/>
  <c r="J17" i="13"/>
  <c r="J20" i="13"/>
  <c r="J15" i="13"/>
  <c r="J18" i="13"/>
  <c r="J29" i="13"/>
  <c r="J30" i="13"/>
  <c r="P21" i="13"/>
  <c r="P25" i="13"/>
  <c r="P28" i="13"/>
  <c r="P19" i="13"/>
  <c r="P33" i="13"/>
  <c r="P14" i="13"/>
  <c r="P23" i="13"/>
  <c r="P34" i="13"/>
  <c r="P24" i="13"/>
  <c r="P16" i="13"/>
  <c r="P17" i="13"/>
  <c r="P15" i="13"/>
  <c r="P18" i="13"/>
  <c r="P29" i="13"/>
  <c r="P20" i="13"/>
  <c r="P30" i="13"/>
  <c r="P35" i="13"/>
  <c r="P31" i="13"/>
  <c r="P37" i="13"/>
  <c r="P32" i="13"/>
  <c r="E25" i="13"/>
  <c r="E19" i="13"/>
  <c r="E34" i="13"/>
  <c r="E14" i="13"/>
  <c r="E28" i="13"/>
  <c r="E23" i="13"/>
  <c r="E31" i="13"/>
  <c r="E30" i="13"/>
  <c r="E33" i="13"/>
  <c r="E24" i="13"/>
  <c r="E17" i="13"/>
  <c r="E21" i="13"/>
  <c r="E29" i="13"/>
  <c r="E18" i="13"/>
  <c r="E32" i="13"/>
  <c r="E16" i="13"/>
  <c r="E35" i="13"/>
  <c r="E20" i="13"/>
  <c r="E37" i="13"/>
  <c r="E15" i="13"/>
  <c r="Q13" i="13"/>
  <c r="L23" i="13"/>
  <c r="L32" i="13"/>
  <c r="L20" i="13"/>
  <c r="L28" i="13"/>
  <c r="L29" i="13"/>
  <c r="L34" i="13"/>
  <c r="L35" i="13"/>
  <c r="L19" i="13"/>
  <c r="L15" i="13"/>
  <c r="L37" i="13"/>
  <c r="L21" i="13"/>
  <c r="L30" i="13"/>
  <c r="L31" i="13"/>
  <c r="L14" i="13"/>
  <c r="L24" i="13"/>
  <c r="L16" i="13"/>
  <c r="L17" i="13"/>
  <c r="L33" i="13"/>
  <c r="L18" i="13"/>
  <c r="L25" i="13"/>
  <c r="P32" i="12"/>
  <c r="P37" i="12"/>
  <c r="P20" i="12"/>
  <c r="P28" i="12"/>
  <c r="P15" i="12"/>
  <c r="P17" i="12"/>
  <c r="P24" i="12"/>
  <c r="P18" i="12"/>
  <c r="P23" i="12"/>
  <c r="P31" i="12"/>
  <c r="P14" i="12"/>
  <c r="P21" i="12"/>
  <c r="P16" i="12"/>
  <c r="P33" i="12"/>
  <c r="P25" i="12"/>
  <c r="P30" i="12"/>
  <c r="P34" i="12"/>
  <c r="P35" i="12"/>
  <c r="P29" i="12"/>
  <c r="P19" i="12"/>
  <c r="F33" i="12"/>
  <c r="F31" i="12"/>
  <c r="F30" i="12"/>
  <c r="F15" i="12"/>
  <c r="F18" i="12"/>
  <c r="F23" i="12"/>
  <c r="F34" i="12"/>
  <c r="F29" i="12"/>
  <c r="F17" i="12"/>
  <c r="F21" i="12"/>
  <c r="F25" i="12"/>
  <c r="F35" i="12"/>
  <c r="F28" i="12"/>
  <c r="F32" i="12"/>
  <c r="F37" i="12"/>
  <c r="F20" i="12"/>
  <c r="F16" i="12"/>
  <c r="F19" i="12"/>
  <c r="F24" i="12"/>
  <c r="F14" i="12"/>
  <c r="K33" i="12"/>
  <c r="K20" i="12"/>
  <c r="K31" i="12"/>
  <c r="K18" i="12"/>
  <c r="K29" i="12"/>
  <c r="K16" i="12"/>
  <c r="K19" i="12"/>
  <c r="K14" i="12"/>
  <c r="K37" i="12"/>
  <c r="K24" i="12"/>
  <c r="K25" i="12"/>
  <c r="K35" i="12"/>
  <c r="K23" i="12"/>
  <c r="K34" i="12"/>
  <c r="K32" i="12"/>
  <c r="K30" i="12"/>
  <c r="K28" i="12"/>
  <c r="K21" i="12"/>
  <c r="K17" i="12"/>
  <c r="K15" i="12"/>
  <c r="I35" i="12"/>
  <c r="I14" i="12"/>
  <c r="I33" i="12"/>
  <c r="I17" i="12"/>
  <c r="I32" i="12"/>
  <c r="I31" i="12"/>
  <c r="I20" i="12"/>
  <c r="I18" i="12"/>
  <c r="I24" i="12"/>
  <c r="I16" i="12"/>
  <c r="I23" i="12"/>
  <c r="I34" i="12"/>
  <c r="I19" i="12"/>
  <c r="I15" i="12"/>
  <c r="I29" i="12"/>
  <c r="I25" i="12"/>
  <c r="I30" i="12"/>
  <c r="I28" i="12"/>
  <c r="I21" i="12"/>
  <c r="I37" i="12"/>
  <c r="O29" i="12"/>
  <c r="O18" i="12"/>
  <c r="O15" i="12"/>
  <c r="O20" i="12"/>
  <c r="O33" i="12"/>
  <c r="O16" i="12"/>
  <c r="O24" i="12"/>
  <c r="O14" i="12"/>
  <c r="O31" i="12"/>
  <c r="O35" i="12"/>
  <c r="O28" i="12"/>
  <c r="O17" i="12"/>
  <c r="O37" i="12"/>
  <c r="O25" i="12"/>
  <c r="O34" i="12"/>
  <c r="O21" i="12"/>
  <c r="O23" i="12"/>
  <c r="O19" i="12"/>
  <c r="O32" i="12"/>
  <c r="O30" i="12"/>
  <c r="L37" i="12"/>
  <c r="L35" i="12"/>
  <c r="L24" i="12"/>
  <c r="L25" i="12"/>
  <c r="L15" i="12"/>
  <c r="L31" i="12"/>
  <c r="L18" i="12"/>
  <c r="L14" i="12"/>
  <c r="L29" i="12"/>
  <c r="L30" i="12"/>
  <c r="L17" i="12"/>
  <c r="L23" i="12"/>
  <c r="L16" i="12"/>
  <c r="L32" i="12"/>
  <c r="L19" i="12"/>
  <c r="L20" i="12"/>
  <c r="L33" i="12"/>
  <c r="L21" i="12"/>
  <c r="L34" i="12"/>
  <c r="L28" i="12"/>
  <c r="G37" i="12"/>
  <c r="G25" i="12"/>
  <c r="G24" i="12"/>
  <c r="G14" i="12"/>
  <c r="G35" i="12"/>
  <c r="G15" i="12"/>
  <c r="G34" i="12"/>
  <c r="G33" i="12"/>
  <c r="G20" i="12"/>
  <c r="G18" i="12"/>
  <c r="G29" i="12"/>
  <c r="G16" i="12"/>
  <c r="G17" i="12"/>
  <c r="G23" i="12"/>
  <c r="G32" i="12"/>
  <c r="G30" i="12"/>
  <c r="G21" i="12"/>
  <c r="G31" i="12"/>
  <c r="G19" i="12"/>
  <c r="G28" i="12"/>
  <c r="H31" i="12"/>
  <c r="H29" i="12"/>
  <c r="H28" i="12"/>
  <c r="H37" i="12"/>
  <c r="H17" i="12"/>
  <c r="H15" i="12"/>
  <c r="H20" i="12"/>
  <c r="H16" i="12"/>
  <c r="H30" i="12"/>
  <c r="H18" i="12"/>
  <c r="H23" i="12"/>
  <c r="H35" i="12"/>
  <c r="H14" i="12"/>
  <c r="H32" i="12"/>
  <c r="H24" i="12"/>
  <c r="H19" i="12"/>
  <c r="H33" i="12"/>
  <c r="H25" i="12"/>
  <c r="H34" i="12"/>
  <c r="H21" i="12"/>
  <c r="E30" i="12"/>
  <c r="E35" i="12"/>
  <c r="E28" i="12"/>
  <c r="E24" i="12"/>
  <c r="E25" i="12"/>
  <c r="E29" i="12"/>
  <c r="E37" i="12"/>
  <c r="E32" i="12"/>
  <c r="E33" i="12"/>
  <c r="E31" i="12"/>
  <c r="E34" i="12"/>
  <c r="E15" i="12"/>
  <c r="E16" i="12"/>
  <c r="E23" i="12"/>
  <c r="E14" i="12"/>
  <c r="E21" i="12"/>
  <c r="E18" i="12"/>
  <c r="E17" i="12"/>
  <c r="E20" i="12"/>
  <c r="E19" i="12"/>
  <c r="Q13" i="12"/>
  <c r="M31" i="12"/>
  <c r="M35" i="12"/>
  <c r="M18" i="12"/>
  <c r="M37" i="12"/>
  <c r="M21" i="12"/>
  <c r="M14" i="12"/>
  <c r="M19" i="12"/>
  <c r="M25" i="12"/>
  <c r="M33" i="12"/>
  <c r="M16" i="12"/>
  <c r="M28" i="12"/>
  <c r="M17" i="12"/>
  <c r="M34" i="12"/>
  <c r="M29" i="12"/>
  <c r="M23" i="12"/>
  <c r="M24" i="12"/>
  <c r="M32" i="12"/>
  <c r="M30" i="12"/>
  <c r="M20" i="12"/>
  <c r="M15" i="12"/>
  <c r="J30" i="12"/>
  <c r="J25" i="12"/>
  <c r="J17" i="12"/>
  <c r="J19" i="12"/>
  <c r="J14" i="12"/>
  <c r="J34" i="12"/>
  <c r="J31" i="12"/>
  <c r="J23" i="12"/>
  <c r="J20" i="12"/>
  <c r="J21" i="12"/>
  <c r="J32" i="12"/>
  <c r="J29" i="12"/>
  <c r="J15" i="12"/>
  <c r="J24" i="12"/>
  <c r="J18" i="12"/>
  <c r="J35" i="12"/>
  <c r="J28" i="12"/>
  <c r="J37" i="12"/>
  <c r="J33" i="12"/>
  <c r="J16" i="12"/>
  <c r="N34" i="12"/>
  <c r="N18" i="12"/>
  <c r="N15" i="12"/>
  <c r="N30" i="12"/>
  <c r="N23" i="12"/>
  <c r="N31" i="12"/>
  <c r="N32" i="12"/>
  <c r="N17" i="12"/>
  <c r="N29" i="12"/>
  <c r="N19" i="12"/>
  <c r="N16" i="12"/>
  <c r="N20" i="12"/>
  <c r="N33" i="12"/>
  <c r="N14" i="12"/>
  <c r="N35" i="12"/>
  <c r="N28" i="12"/>
  <c r="N24" i="12"/>
  <c r="N21" i="12"/>
  <c r="N37" i="12"/>
  <c r="N25" i="12"/>
  <c r="E92" i="12" l="1"/>
  <c r="E91" i="12"/>
  <c r="E89" i="12"/>
  <c r="E108" i="12"/>
  <c r="D13" i="1"/>
  <c r="F88" i="12" s="1"/>
  <c r="F89" i="12" s="1"/>
  <c r="F27" i="13"/>
  <c r="G27" i="13"/>
  <c r="E13" i="1"/>
  <c r="B13" i="1" s="1"/>
  <c r="F108" i="12"/>
  <c r="L27" i="13"/>
  <c r="M27" i="13"/>
  <c r="Q23" i="13"/>
  <c r="Q37" i="13"/>
  <c r="Q17" i="13"/>
  <c r="Q34" i="13"/>
  <c r="Q33" i="13"/>
  <c r="Q25" i="13"/>
  <c r="Q32" i="13"/>
  <c r="N27" i="13"/>
  <c r="Q18" i="13"/>
  <c r="H39" i="13"/>
  <c r="H40" i="13" s="1"/>
  <c r="M39" i="13"/>
  <c r="M40" i="13" s="1"/>
  <c r="Q29" i="13"/>
  <c r="Q28" i="13"/>
  <c r="J39" i="13"/>
  <c r="J40" i="13" s="1"/>
  <c r="M22" i="13"/>
  <c r="M115" i="13" s="1"/>
  <c r="M36" i="13"/>
  <c r="F36" i="13"/>
  <c r="F22" i="13"/>
  <c r="F115" i="13" s="1"/>
  <c r="L39" i="13"/>
  <c r="L40" i="13" s="1"/>
  <c r="Q15" i="13"/>
  <c r="E22" i="13"/>
  <c r="E36" i="13"/>
  <c r="Q21" i="13"/>
  <c r="Q14" i="13"/>
  <c r="H27" i="13"/>
  <c r="F39" i="13"/>
  <c r="F40" i="13" s="1"/>
  <c r="I22" i="13"/>
  <c r="I115" i="13" s="1"/>
  <c r="I36" i="13"/>
  <c r="I39" i="13"/>
  <c r="I40" i="13" s="1"/>
  <c r="G12" i="14" s="1"/>
  <c r="J22" i="13"/>
  <c r="J115" i="13" s="1"/>
  <c r="J36" i="13"/>
  <c r="Q20" i="13"/>
  <c r="E27" i="13"/>
  <c r="E39" i="13"/>
  <c r="Q24" i="13"/>
  <c r="Q19" i="13"/>
  <c r="P27" i="13"/>
  <c r="P39" i="13"/>
  <c r="P40" i="13" s="1"/>
  <c r="P22" i="13"/>
  <c r="P115" i="13" s="1"/>
  <c r="P36" i="13"/>
  <c r="G22" i="13"/>
  <c r="G115" i="13" s="1"/>
  <c r="G36" i="13"/>
  <c r="O39" i="13"/>
  <c r="O40" i="13" s="1"/>
  <c r="N39" i="13"/>
  <c r="N40" i="13" s="1"/>
  <c r="K39" i="13"/>
  <c r="K40" i="13" s="1"/>
  <c r="K22" i="13"/>
  <c r="K115" i="13" s="1"/>
  <c r="K36" i="13"/>
  <c r="K27" i="13"/>
  <c r="L36" i="13"/>
  <c r="L22" i="13"/>
  <c r="L115" i="13" s="1"/>
  <c r="Q35" i="13"/>
  <c r="Q16" i="13"/>
  <c r="Q30" i="13"/>
  <c r="J27" i="13"/>
  <c r="H22" i="13"/>
  <c r="H115" i="13" s="1"/>
  <c r="H36" i="13"/>
  <c r="O27" i="13"/>
  <c r="Q31" i="13"/>
  <c r="N36" i="13"/>
  <c r="N22" i="13"/>
  <c r="N115" i="13" s="1"/>
  <c r="G39" i="13"/>
  <c r="G40" i="13" s="1"/>
  <c r="E12" i="14" s="1"/>
  <c r="O22" i="13"/>
  <c r="O115" i="13" s="1"/>
  <c r="O36" i="13"/>
  <c r="P27" i="12"/>
  <c r="G27" i="12"/>
  <c r="N27" i="12"/>
  <c r="O27" i="12"/>
  <c r="H27" i="12"/>
  <c r="Q32" i="12"/>
  <c r="Q14" i="12"/>
  <c r="F27" i="12"/>
  <c r="Q23" i="12"/>
  <c r="Q37" i="12"/>
  <c r="F22" i="12"/>
  <c r="F109" i="12" s="1"/>
  <c r="F36" i="12"/>
  <c r="M36" i="12"/>
  <c r="M22" i="12"/>
  <c r="M39" i="12" s="1"/>
  <c r="M40" i="12" s="1"/>
  <c r="Q16" i="12"/>
  <c r="Q29" i="12"/>
  <c r="L22" i="12"/>
  <c r="L39" i="12" s="1"/>
  <c r="L40" i="12" s="1"/>
  <c r="L36" i="12"/>
  <c r="L27" i="12"/>
  <c r="O36" i="12"/>
  <c r="O22" i="12"/>
  <c r="O109" i="12" s="1"/>
  <c r="Q15" i="12"/>
  <c r="Q25" i="12"/>
  <c r="J36" i="12"/>
  <c r="J22" i="12"/>
  <c r="J109" i="12" s="1"/>
  <c r="J27" i="12"/>
  <c r="Q20" i="12"/>
  <c r="Q34" i="12"/>
  <c r="Q24" i="12"/>
  <c r="I27" i="12"/>
  <c r="K36" i="12"/>
  <c r="K22" i="12"/>
  <c r="K39" i="12" s="1"/>
  <c r="K40" i="12" s="1"/>
  <c r="K27" i="12"/>
  <c r="P36" i="12"/>
  <c r="P22" i="12"/>
  <c r="Q17" i="12"/>
  <c r="Q31" i="12"/>
  <c r="Q28" i="12"/>
  <c r="H36" i="12"/>
  <c r="H22" i="12"/>
  <c r="G22" i="12"/>
  <c r="G109" i="12" s="1"/>
  <c r="G36" i="12"/>
  <c r="I36" i="12"/>
  <c r="I22" i="12"/>
  <c r="I109" i="12" s="1"/>
  <c r="Q19" i="12"/>
  <c r="N22" i="12"/>
  <c r="N109" i="12" s="1"/>
  <c r="N36" i="12"/>
  <c r="Q18" i="12"/>
  <c r="E27" i="12"/>
  <c r="Q35" i="12"/>
  <c r="M27" i="12"/>
  <c r="E36" i="12"/>
  <c r="E22" i="12"/>
  <c r="Q21" i="12"/>
  <c r="Q33" i="12"/>
  <c r="Q30" i="12"/>
  <c r="I124" i="13" l="1"/>
  <c r="G124" i="13"/>
  <c r="D12" i="14"/>
  <c r="F97" i="12"/>
  <c r="F91" i="12"/>
  <c r="F92" i="12"/>
  <c r="E90" i="12"/>
  <c r="E119" i="12"/>
  <c r="E87" i="12"/>
  <c r="C8" i="8" s="1"/>
  <c r="C9" i="8" s="1"/>
  <c r="D14" i="1"/>
  <c r="G88" i="12" s="1"/>
  <c r="G89" i="12" s="1"/>
  <c r="J12" i="14"/>
  <c r="O124" i="13"/>
  <c r="H124" i="13"/>
  <c r="K12" i="14"/>
  <c r="F112" i="12"/>
  <c r="F98" i="12"/>
  <c r="F90" i="12"/>
  <c r="F87" i="12" s="1"/>
  <c r="D8" i="8" s="1"/>
  <c r="D9" i="8" s="1"/>
  <c r="F119" i="12"/>
  <c r="J124" i="13"/>
  <c r="M118" i="12"/>
  <c r="M124" i="13"/>
  <c r="N124" i="13"/>
  <c r="E124" i="13"/>
  <c r="L12" i="14"/>
  <c r="L124" i="13"/>
  <c r="K124" i="13"/>
  <c r="F124" i="13"/>
  <c r="M12" i="14"/>
  <c r="H12" i="14"/>
  <c r="Q36" i="13"/>
  <c r="P42" i="13" s="1"/>
  <c r="E40" i="13"/>
  <c r="Q39" i="13"/>
  <c r="Q22" i="13"/>
  <c r="E115" i="13"/>
  <c r="Q115" i="13" s="1"/>
  <c r="K12" i="8"/>
  <c r="I12" i="14"/>
  <c r="Q27" i="13"/>
  <c r="L109" i="12"/>
  <c r="F12" i="14"/>
  <c r="F39" i="12"/>
  <c r="F40" i="12" s="1"/>
  <c r="D12" i="8" s="1"/>
  <c r="I39" i="12"/>
  <c r="I40" i="12" s="1"/>
  <c r="G12" i="8" s="1"/>
  <c r="K118" i="12"/>
  <c r="O39" i="12"/>
  <c r="O40" i="12" s="1"/>
  <c r="M12" i="8" s="1"/>
  <c r="L118" i="12"/>
  <c r="J39" i="12"/>
  <c r="J40" i="12" s="1"/>
  <c r="H12" i="8" s="1"/>
  <c r="Q36" i="12"/>
  <c r="Q27" i="12"/>
  <c r="H39" i="12"/>
  <c r="H40" i="12" s="1"/>
  <c r="F12" i="8" s="1"/>
  <c r="H109" i="12"/>
  <c r="P39" i="12"/>
  <c r="P40" i="12" s="1"/>
  <c r="P109" i="12"/>
  <c r="J12" i="8"/>
  <c r="E39" i="12"/>
  <c r="Q22" i="12"/>
  <c r="G39" i="12"/>
  <c r="M109" i="12"/>
  <c r="N39" i="12"/>
  <c r="I12" i="8"/>
  <c r="E109" i="12"/>
  <c r="K109" i="12"/>
  <c r="D93" i="1"/>
  <c r="G108" i="12" l="1"/>
  <c r="G91" i="12"/>
  <c r="G97" i="12"/>
  <c r="D15" i="1"/>
  <c r="H88" i="12" s="1"/>
  <c r="H92" i="12" s="1"/>
  <c r="E14" i="1"/>
  <c r="B14" i="1" s="1"/>
  <c r="G92" i="12"/>
  <c r="E15" i="1"/>
  <c r="D16" i="1"/>
  <c r="I88" i="12" s="1"/>
  <c r="H97" i="12"/>
  <c r="H108" i="12"/>
  <c r="H89" i="12"/>
  <c r="G119" i="12"/>
  <c r="G90" i="12"/>
  <c r="G112" i="12"/>
  <c r="G98" i="12"/>
  <c r="P43" i="13"/>
  <c r="Q42" i="13"/>
  <c r="P124" i="13"/>
  <c r="Q124" i="13" s="1"/>
  <c r="C12" i="14"/>
  <c r="Q40" i="13"/>
  <c r="F118" i="12"/>
  <c r="I118" i="12"/>
  <c r="O118" i="12"/>
  <c r="J118" i="12"/>
  <c r="P42" i="12"/>
  <c r="P118" i="12" s="1"/>
  <c r="H118" i="12"/>
  <c r="Q109" i="12"/>
  <c r="G40" i="12"/>
  <c r="E12" i="8" s="1"/>
  <c r="G118" i="12"/>
  <c r="N40" i="12"/>
  <c r="L12" i="8" s="1"/>
  <c r="N118" i="12"/>
  <c r="E40" i="12"/>
  <c r="Q39" i="12"/>
  <c r="E118" i="12"/>
  <c r="D88" i="1"/>
  <c r="H91" i="12" l="1"/>
  <c r="B15" i="1"/>
  <c r="G87" i="12"/>
  <c r="E8" i="8" s="1"/>
  <c r="E9" i="8" s="1"/>
  <c r="H98" i="12"/>
  <c r="H112" i="12"/>
  <c r="I97" i="12"/>
  <c r="I92" i="12"/>
  <c r="I89" i="12"/>
  <c r="I91" i="12"/>
  <c r="I108" i="12"/>
  <c r="E16" i="1"/>
  <c r="D17" i="1"/>
  <c r="J88" i="12" s="1"/>
  <c r="H90" i="12"/>
  <c r="H87" i="12" s="1"/>
  <c r="F8" i="8" s="1"/>
  <c r="F9" i="8" s="1"/>
  <c r="H119" i="12"/>
  <c r="K71" i="12"/>
  <c r="K72" i="12" s="1"/>
  <c r="I29" i="8" s="1"/>
  <c r="I30" i="8" s="1"/>
  <c r="L71" i="13"/>
  <c r="I71" i="13"/>
  <c r="P71" i="13"/>
  <c r="H71" i="13"/>
  <c r="K71" i="13"/>
  <c r="O71" i="13"/>
  <c r="G71" i="13"/>
  <c r="M71" i="13"/>
  <c r="E71" i="13"/>
  <c r="J71" i="13"/>
  <c r="N71" i="13"/>
  <c r="F71" i="13"/>
  <c r="Q43" i="13"/>
  <c r="N12" i="14"/>
  <c r="P43" i="12"/>
  <c r="N12" i="8" s="1"/>
  <c r="Q42" i="12"/>
  <c r="C27" i="3" s="1"/>
  <c r="E27" i="3" s="1"/>
  <c r="H71" i="12"/>
  <c r="H72" i="12" s="1"/>
  <c r="P71" i="12"/>
  <c r="P117" i="12" s="1"/>
  <c r="M71" i="12"/>
  <c r="M72" i="12" s="1"/>
  <c r="K29" i="8" s="1"/>
  <c r="K30" i="8" s="1"/>
  <c r="F71" i="12"/>
  <c r="F72" i="12" s="1"/>
  <c r="N71" i="12"/>
  <c r="N72" i="12" s="1"/>
  <c r="Q118" i="12"/>
  <c r="L71" i="12"/>
  <c r="L72" i="12" s="1"/>
  <c r="I71" i="12"/>
  <c r="I72" i="12" s="1"/>
  <c r="G71" i="12"/>
  <c r="G117" i="12" s="1"/>
  <c r="J71" i="12"/>
  <c r="J72" i="12" s="1"/>
  <c r="Q40" i="12"/>
  <c r="E116" i="12"/>
  <c r="C12" i="8"/>
  <c r="E104" i="12"/>
  <c r="O71" i="12"/>
  <c r="O72" i="12" s="1"/>
  <c r="M29" i="8" s="1"/>
  <c r="M30" i="8" s="1"/>
  <c r="K117" i="12"/>
  <c r="O117" i="12"/>
  <c r="D24" i="8"/>
  <c r="H24" i="8"/>
  <c r="G24" i="8"/>
  <c r="F24" i="8"/>
  <c r="E24" i="8"/>
  <c r="K69" i="3"/>
  <c r="K52" i="3"/>
  <c r="K70" i="3" s="1"/>
  <c r="K51" i="3"/>
  <c r="K63" i="3" s="1"/>
  <c r="K29" i="3"/>
  <c r="K28" i="3"/>
  <c r="K24" i="3"/>
  <c r="K23" i="3"/>
  <c r="B16" i="1" l="1"/>
  <c r="N117" i="12"/>
  <c r="I90" i="12"/>
  <c r="I87" i="12" s="1"/>
  <c r="I119" i="12"/>
  <c r="I98" i="12"/>
  <c r="I112" i="12"/>
  <c r="J97" i="12"/>
  <c r="J108" i="12"/>
  <c r="J92" i="12"/>
  <c r="J91" i="12"/>
  <c r="J89" i="12"/>
  <c r="E17" i="1"/>
  <c r="B17" i="1" s="1"/>
  <c r="D18" i="1"/>
  <c r="K88" i="12" s="1"/>
  <c r="M117" i="12"/>
  <c r="G72" i="12"/>
  <c r="E29" i="8" s="1"/>
  <c r="E30" i="8" s="1"/>
  <c r="P72" i="12"/>
  <c r="F117" i="12"/>
  <c r="J117" i="12"/>
  <c r="F72" i="13"/>
  <c r="F123" i="13"/>
  <c r="H72" i="13"/>
  <c r="F31" i="14" s="1"/>
  <c r="F32" i="14" s="1"/>
  <c r="H123" i="13"/>
  <c r="N72" i="13"/>
  <c r="L31" i="14" s="1"/>
  <c r="L32" i="14" s="1"/>
  <c r="N123" i="13"/>
  <c r="P72" i="13"/>
  <c r="N31" i="14" s="1"/>
  <c r="N32" i="14" s="1"/>
  <c r="P123" i="13"/>
  <c r="H117" i="12"/>
  <c r="J72" i="13"/>
  <c r="H31" i="14" s="1"/>
  <c r="H32" i="14" s="1"/>
  <c r="J123" i="13"/>
  <c r="I72" i="13"/>
  <c r="G31" i="14" s="1"/>
  <c r="G32" i="14" s="1"/>
  <c r="I123" i="13"/>
  <c r="L117" i="12"/>
  <c r="E72" i="13"/>
  <c r="Q71" i="13"/>
  <c r="D25" i="3" s="1"/>
  <c r="E123" i="13"/>
  <c r="L72" i="13"/>
  <c r="J31" i="14" s="1"/>
  <c r="J32" i="14" s="1"/>
  <c r="L123" i="13"/>
  <c r="M72" i="13"/>
  <c r="K31" i="14" s="1"/>
  <c r="K32" i="14" s="1"/>
  <c r="M123" i="13"/>
  <c r="G72" i="13"/>
  <c r="E31" i="14" s="1"/>
  <c r="E32" i="14" s="1"/>
  <c r="G123" i="13"/>
  <c r="O72" i="13"/>
  <c r="M31" i="14" s="1"/>
  <c r="M32" i="14" s="1"/>
  <c r="O123" i="13"/>
  <c r="O12" i="14"/>
  <c r="F11" i="4" s="1"/>
  <c r="K72" i="13"/>
  <c r="I31" i="14" s="1"/>
  <c r="I32" i="14" s="1"/>
  <c r="K123" i="13"/>
  <c r="Q43" i="12"/>
  <c r="O12" i="8"/>
  <c r="E11" i="4" s="1"/>
  <c r="I117" i="12"/>
  <c r="Q71" i="12"/>
  <c r="C25" i="3" s="1"/>
  <c r="C24" i="8"/>
  <c r="C36" i="8" s="1"/>
  <c r="L29" i="8"/>
  <c r="L30" i="8" s="1"/>
  <c r="G29" i="8"/>
  <c r="G30" i="8" s="1"/>
  <c r="D29" i="8"/>
  <c r="F104" i="12"/>
  <c r="F116" i="12"/>
  <c r="F29" i="8"/>
  <c r="F30" i="8" s="1"/>
  <c r="H104" i="12"/>
  <c r="H116" i="12"/>
  <c r="H29" i="8"/>
  <c r="H30" i="8" s="1"/>
  <c r="J29" i="8"/>
  <c r="J30" i="8" s="1"/>
  <c r="K12" i="3"/>
  <c r="K11" i="3"/>
  <c r="G8" i="8" l="1"/>
  <c r="G9" i="8" s="1"/>
  <c r="I116" i="12"/>
  <c r="I104" i="12"/>
  <c r="G116" i="12"/>
  <c r="G104" i="12"/>
  <c r="Q72" i="12"/>
  <c r="N29" i="8"/>
  <c r="N30" i="8" s="1"/>
  <c r="J112" i="12"/>
  <c r="J98" i="12"/>
  <c r="K108" i="12"/>
  <c r="K97" i="12"/>
  <c r="K112" i="12" s="1"/>
  <c r="K92" i="12"/>
  <c r="K91" i="12"/>
  <c r="K89" i="12"/>
  <c r="E18" i="1"/>
  <c r="B18" i="1" s="1"/>
  <c r="D19" i="1"/>
  <c r="L88" i="12" s="1"/>
  <c r="J90" i="12"/>
  <c r="J87" i="12" s="1"/>
  <c r="K94" i="12"/>
  <c r="J119" i="12"/>
  <c r="E25" i="3"/>
  <c r="H25" i="3" s="1"/>
  <c r="Q117" i="12"/>
  <c r="D31" i="14"/>
  <c r="D32" i="14" s="1"/>
  <c r="Q123" i="13"/>
  <c r="C31" i="14"/>
  <c r="Q72" i="13"/>
  <c r="K11" i="4"/>
  <c r="D30" i="8"/>
  <c r="O29" i="8" l="1"/>
  <c r="O30" i="8"/>
  <c r="J116" i="12"/>
  <c r="J104" i="12"/>
  <c r="H8" i="8"/>
  <c r="H9" i="8" s="1"/>
  <c r="E19" i="1"/>
  <c r="B19" i="1" s="1"/>
  <c r="D20" i="1"/>
  <c r="M88" i="12" s="1"/>
  <c r="K90" i="12"/>
  <c r="K119" i="12"/>
  <c r="L92" i="12"/>
  <c r="L97" i="12"/>
  <c r="L89" i="12"/>
  <c r="M94" i="12" s="1"/>
  <c r="L91" i="12"/>
  <c r="L108" i="12"/>
  <c r="C32" i="14" a="1"/>
  <c r="C32" i="14" s="1"/>
  <c r="O32" i="14" s="1"/>
  <c r="O31" i="14"/>
  <c r="M108" i="12" l="1"/>
  <c r="M91" i="12"/>
  <c r="M97" i="12"/>
  <c r="M112" i="12" s="1"/>
  <c r="M92" i="12"/>
  <c r="M89" i="12"/>
  <c r="E20" i="1"/>
  <c r="B20" i="1" s="1"/>
  <c r="D21" i="1"/>
  <c r="N88" i="12" s="1"/>
  <c r="L119" i="12"/>
  <c r="L90" i="12"/>
  <c r="L87" i="12" s="1"/>
  <c r="L112" i="12"/>
  <c r="L98" i="12"/>
  <c r="J24" i="8" s="1"/>
  <c r="E21" i="1" l="1"/>
  <c r="B21" i="1" s="1"/>
  <c r="D22" i="1"/>
  <c r="O88" i="12" s="1"/>
  <c r="M90" i="12"/>
  <c r="M119" i="12"/>
  <c r="L116" i="12"/>
  <c r="L104" i="12"/>
  <c r="J8" i="8"/>
  <c r="J9" i="8" s="1"/>
  <c r="N108" i="12"/>
  <c r="N91" i="12"/>
  <c r="N92" i="12"/>
  <c r="N89" i="12"/>
  <c r="O94" i="12" s="1"/>
  <c r="Q94" i="12" s="1"/>
  <c r="N97" i="12"/>
  <c r="F26" i="14"/>
  <c r="N98" i="12" l="1"/>
  <c r="L24" i="8" s="1"/>
  <c r="N112" i="12"/>
  <c r="N90" i="12"/>
  <c r="N87" i="12" s="1"/>
  <c r="N119" i="12"/>
  <c r="O97" i="12"/>
  <c r="O112" i="12" s="1"/>
  <c r="O108" i="12"/>
  <c r="O89" i="12"/>
  <c r="O91" i="12"/>
  <c r="O92" i="12"/>
  <c r="E22" i="1"/>
  <c r="B22" i="1" s="1"/>
  <c r="D23" i="1"/>
  <c r="P88" i="12" s="1"/>
  <c r="Q88" i="12" s="1"/>
  <c r="E7" i="4" s="1"/>
  <c r="J17" i="4" l="1"/>
  <c r="J11" i="4"/>
  <c r="J8" i="4"/>
  <c r="J15" i="4"/>
  <c r="J7" i="4"/>
  <c r="E9" i="4"/>
  <c r="J13" i="4"/>
  <c r="D24" i="1"/>
  <c r="E85" i="13" s="1"/>
  <c r="E23" i="1"/>
  <c r="B23" i="1" s="1"/>
  <c r="L8" i="8"/>
  <c r="L9" i="8" s="1"/>
  <c r="N104" i="12"/>
  <c r="N116" i="12"/>
  <c r="E114" i="13"/>
  <c r="E86" i="13"/>
  <c r="E88" i="13"/>
  <c r="E89" i="13"/>
  <c r="E103" i="13"/>
  <c r="P97" i="12"/>
  <c r="P108" i="12"/>
  <c r="Q108" i="12" s="1"/>
  <c r="P91" i="12"/>
  <c r="Q91" i="12" s="1"/>
  <c r="P89" i="12"/>
  <c r="Q89" i="12" s="1"/>
  <c r="C26" i="3" s="1"/>
  <c r="P92" i="12"/>
  <c r="Q92" i="12" s="1"/>
  <c r="O90" i="12"/>
  <c r="O119" i="12"/>
  <c r="P112" i="12" l="1"/>
  <c r="Q112" i="12" s="1"/>
  <c r="P98" i="12"/>
  <c r="N24" i="8" s="1"/>
  <c r="M33" i="3"/>
  <c r="J9" i="4"/>
  <c r="E104" i="13"/>
  <c r="E118" i="13"/>
  <c r="F88" i="13"/>
  <c r="F103" i="13"/>
  <c r="F114" i="13"/>
  <c r="D25" i="1"/>
  <c r="F85" i="13" s="1"/>
  <c r="F86" i="13" s="1"/>
  <c r="G91" i="13" s="1"/>
  <c r="G92" i="13" s="1"/>
  <c r="E18" i="14" s="1"/>
  <c r="E24" i="1"/>
  <c r="B24" i="1" s="1"/>
  <c r="E92" i="13"/>
  <c r="P90" i="12"/>
  <c r="Q90" i="12" s="1"/>
  <c r="P119" i="12"/>
  <c r="Q119" i="12" s="1"/>
  <c r="E87" i="13"/>
  <c r="E84" i="13" s="1"/>
  <c r="J26" i="14"/>
  <c r="C26" i="8"/>
  <c r="F89" i="13" l="1"/>
  <c r="D26" i="1"/>
  <c r="G85" i="13" s="1"/>
  <c r="G88" i="13" s="1"/>
  <c r="E25" i="1"/>
  <c r="B25" i="1" s="1"/>
  <c r="G114" i="13"/>
  <c r="C8" i="14"/>
  <c r="C9" i="14" s="1"/>
  <c r="E110" i="13"/>
  <c r="P87" i="12"/>
  <c r="F87" i="13"/>
  <c r="F84" i="13" s="1"/>
  <c r="F125" i="13"/>
  <c r="F104" i="13"/>
  <c r="F118" i="13"/>
  <c r="E122" i="13"/>
  <c r="E91" i="13"/>
  <c r="E125" i="13" s="1"/>
  <c r="C18" i="14"/>
  <c r="C26" i="14" s="1"/>
  <c r="D5" i="8"/>
  <c r="D36" i="8" s="1"/>
  <c r="G89" i="13" l="1"/>
  <c r="G103" i="13"/>
  <c r="G86" i="13"/>
  <c r="G125" i="13"/>
  <c r="G87" i="13"/>
  <c r="G84" i="13" s="1"/>
  <c r="G104" i="13"/>
  <c r="E26" i="14" s="1"/>
  <c r="G118" i="13"/>
  <c r="D8" i="14"/>
  <c r="D9" i="14" s="1"/>
  <c r="F110" i="13"/>
  <c r="N8" i="8"/>
  <c r="N9" i="8" s="1"/>
  <c r="P104" i="12"/>
  <c r="H114" i="13"/>
  <c r="D27" i="1"/>
  <c r="H85" i="13" s="1"/>
  <c r="H88" i="13" s="1"/>
  <c r="E26" i="1"/>
  <c r="B26" i="1" s="1"/>
  <c r="D26" i="8"/>
  <c r="H86" i="13" l="1"/>
  <c r="I91" i="13" s="1"/>
  <c r="H89" i="13"/>
  <c r="H103" i="13"/>
  <c r="I92" i="13"/>
  <c r="G18" i="14" s="1"/>
  <c r="H125" i="13"/>
  <c r="H87" i="13"/>
  <c r="H104" i="13"/>
  <c r="H118" i="13"/>
  <c r="I114" i="13"/>
  <c r="G122" i="13"/>
  <c r="G110" i="13"/>
  <c r="E8" i="14"/>
  <c r="E9" i="14" s="1"/>
  <c r="D28" i="1"/>
  <c r="I85" i="13" s="1"/>
  <c r="I86" i="13" s="1"/>
  <c r="E27" i="1"/>
  <c r="B27" i="1" s="1"/>
  <c r="N26" i="14"/>
  <c r="E5" i="8"/>
  <c r="E36" i="8" s="1"/>
  <c r="I88" i="13" l="1"/>
  <c r="I89" i="13"/>
  <c r="I103" i="13"/>
  <c r="H84" i="13"/>
  <c r="I118" i="13"/>
  <c r="I104" i="13"/>
  <c r="G26" i="14" s="1"/>
  <c r="J89" i="13"/>
  <c r="J88" i="13"/>
  <c r="J114" i="13"/>
  <c r="D29" i="1"/>
  <c r="J85" i="13" s="1"/>
  <c r="J86" i="13" s="1"/>
  <c r="K91" i="13" s="1"/>
  <c r="E28" i="1"/>
  <c r="B28" i="1" s="1"/>
  <c r="I125" i="13"/>
  <c r="I87" i="13"/>
  <c r="I84" i="13" s="1"/>
  <c r="E26" i="8"/>
  <c r="F5" i="8"/>
  <c r="J103" i="13" l="1"/>
  <c r="G8" i="14"/>
  <c r="G9" i="14" s="1"/>
  <c r="I110" i="13"/>
  <c r="I122" i="13"/>
  <c r="K114" i="13"/>
  <c r="D30" i="1"/>
  <c r="K85" i="13" s="1"/>
  <c r="K103" i="13" s="1"/>
  <c r="E29" i="1"/>
  <c r="B29" i="1" s="1"/>
  <c r="J104" i="13"/>
  <c r="J118" i="13"/>
  <c r="F8" i="14"/>
  <c r="H122" i="13"/>
  <c r="H110" i="13"/>
  <c r="K92" i="13"/>
  <c r="J125" i="13"/>
  <c r="J87" i="13"/>
  <c r="J84" i="13" s="1"/>
  <c r="F26" i="8"/>
  <c r="F36" i="8"/>
  <c r="G5" i="8" s="1"/>
  <c r="G36" i="8" s="1"/>
  <c r="K89" i="13" l="1"/>
  <c r="K86" i="13"/>
  <c r="K88" i="13"/>
  <c r="L86" i="13"/>
  <c r="M91" i="13" s="1"/>
  <c r="L103" i="13"/>
  <c r="L114" i="13"/>
  <c r="I18" i="14"/>
  <c r="K104" i="13"/>
  <c r="K118" i="13"/>
  <c r="D31" i="1"/>
  <c r="L85" i="13" s="1"/>
  <c r="L89" i="13" s="1"/>
  <c r="E30" i="1"/>
  <c r="B30" i="1" s="1"/>
  <c r="H8" i="14"/>
  <c r="H9" i="14" s="1"/>
  <c r="F9" i="14"/>
  <c r="K125" i="13"/>
  <c r="K87" i="13"/>
  <c r="K84" i="13" s="1"/>
  <c r="G26" i="8"/>
  <c r="L88" i="13" l="1"/>
  <c r="I26" i="14"/>
  <c r="L104" i="13"/>
  <c r="L118" i="13"/>
  <c r="M92" i="13"/>
  <c r="K122" i="13"/>
  <c r="K110" i="13"/>
  <c r="I8" i="14"/>
  <c r="I9" i="14" s="1"/>
  <c r="M114" i="13"/>
  <c r="L125" i="13"/>
  <c r="L87" i="13"/>
  <c r="D32" i="1"/>
  <c r="M85" i="13" s="1"/>
  <c r="M86" i="13" s="1"/>
  <c r="E31" i="1"/>
  <c r="B31" i="1" s="1"/>
  <c r="H5" i="8"/>
  <c r="H36" i="8" s="1"/>
  <c r="M89" i="13" l="1"/>
  <c r="M88" i="13"/>
  <c r="M103" i="13"/>
  <c r="L84" i="13"/>
  <c r="N114" i="13"/>
  <c r="K18" i="14"/>
  <c r="M87" i="13"/>
  <c r="M84" i="13" s="1"/>
  <c r="M125" i="13"/>
  <c r="D33" i="1"/>
  <c r="N85" i="13" s="1"/>
  <c r="N103" i="13" s="1"/>
  <c r="E32" i="1"/>
  <c r="B32" i="1" s="1"/>
  <c r="M104" i="13"/>
  <c r="M118" i="13"/>
  <c r="H26" i="8"/>
  <c r="N89" i="13" l="1"/>
  <c r="N88" i="13"/>
  <c r="N86" i="13"/>
  <c r="O91" i="13" s="1"/>
  <c r="K26" i="14"/>
  <c r="D34" i="1"/>
  <c r="E33" i="1"/>
  <c r="B33" i="1" s="1"/>
  <c r="O92" i="13"/>
  <c r="Q91" i="13"/>
  <c r="N104" i="13"/>
  <c r="L26" i="14" s="1"/>
  <c r="N118" i="13"/>
  <c r="N87" i="13"/>
  <c r="N84" i="13" s="1"/>
  <c r="N125" i="13"/>
  <c r="M110" i="13"/>
  <c r="M122" i="13"/>
  <c r="K8" i="14"/>
  <c r="K9" i="14" s="1"/>
  <c r="J8" i="14"/>
  <c r="L110" i="13"/>
  <c r="L122" i="13"/>
  <c r="I5" i="8"/>
  <c r="D35" i="1" l="1"/>
  <c r="O85" i="13"/>
  <c r="E34" i="1"/>
  <c r="B34" i="1" s="1"/>
  <c r="L8" i="14"/>
  <c r="L9" i="14" s="1"/>
  <c r="N110" i="13"/>
  <c r="N122" i="13"/>
  <c r="M18" i="14"/>
  <c r="Q92" i="13"/>
  <c r="J9" i="14"/>
  <c r="K87" i="12"/>
  <c r="M87" i="12"/>
  <c r="O87" i="12"/>
  <c r="M8" i="8" s="1"/>
  <c r="K95" i="12"/>
  <c r="I19" i="8" s="1"/>
  <c r="M95" i="12"/>
  <c r="K19" i="8" s="1"/>
  <c r="O95" i="12"/>
  <c r="M19" i="8" s="1"/>
  <c r="K98" i="12"/>
  <c r="M98" i="12"/>
  <c r="O98" i="12"/>
  <c r="O114" i="13" l="1"/>
  <c r="O88" i="13"/>
  <c r="O89" i="13"/>
  <c r="O86" i="13"/>
  <c r="O103" i="13"/>
  <c r="E35" i="1"/>
  <c r="B35" i="1" s="1"/>
  <c r="P85" i="13"/>
  <c r="K116" i="12"/>
  <c r="O116" i="12"/>
  <c r="M26" i="14"/>
  <c r="O18" i="14"/>
  <c r="K8" i="8"/>
  <c r="K9" i="8" s="1"/>
  <c r="I8" i="8"/>
  <c r="I9" i="8" s="1"/>
  <c r="M24" i="8"/>
  <c r="M116" i="12"/>
  <c r="Q95" i="12"/>
  <c r="Q87" i="12"/>
  <c r="E14" i="4"/>
  <c r="O19" i="8"/>
  <c r="K24" i="8"/>
  <c r="O104" i="12"/>
  <c r="M104" i="12"/>
  <c r="K104" i="12"/>
  <c r="M9" i="8"/>
  <c r="P86" i="13" l="1"/>
  <c r="P114" i="13"/>
  <c r="Q114" i="13" s="1"/>
  <c r="F7" i="4" s="1"/>
  <c r="P103" i="13"/>
  <c r="P89" i="13"/>
  <c r="Q89" i="13" s="1"/>
  <c r="P88" i="13"/>
  <c r="Q88" i="13" s="1"/>
  <c r="Q85" i="13"/>
  <c r="O118" i="13"/>
  <c r="O104" i="13"/>
  <c r="O87" i="13"/>
  <c r="O84" i="13" s="1"/>
  <c r="O125" i="13"/>
  <c r="J10" i="4"/>
  <c r="M34" i="3"/>
  <c r="M35" i="3" s="1"/>
  <c r="O9" i="8"/>
  <c r="Q104" i="12"/>
  <c r="O24" i="8"/>
  <c r="I24" i="8"/>
  <c r="O8" i="8"/>
  <c r="P104" i="13" l="1"/>
  <c r="P118" i="13"/>
  <c r="Q118" i="13" s="1"/>
  <c r="M8" i="14"/>
  <c r="M9" i="14" s="1"/>
  <c r="O110" i="13"/>
  <c r="O122" i="13"/>
  <c r="Q86" i="13"/>
  <c r="D26" i="3" s="1"/>
  <c r="E26" i="3" s="1"/>
  <c r="P87" i="13"/>
  <c r="Q87" i="13" s="1"/>
  <c r="P125" i="13"/>
  <c r="Q125" i="13" s="1"/>
  <c r="I15" i="4"/>
  <c r="K7" i="4"/>
  <c r="J14" i="4"/>
  <c r="N69" i="3"/>
  <c r="E16" i="4"/>
  <c r="O36" i="8"/>
  <c r="O26" i="8"/>
  <c r="I26" i="8"/>
  <c r="I36" i="8"/>
  <c r="J5" i="8" s="1"/>
  <c r="I17" i="4"/>
  <c r="F9" i="4"/>
  <c r="H26" i="3" l="1"/>
  <c r="E28" i="3"/>
  <c r="P84" i="13"/>
  <c r="C5" i="14"/>
  <c r="C28" i="14" s="1"/>
  <c r="M75" i="3"/>
  <c r="E18" i="4"/>
  <c r="J16" i="4"/>
  <c r="K9" i="4"/>
  <c r="N51" i="3"/>
  <c r="J36" i="8"/>
  <c r="K5" i="8" s="1"/>
  <c r="J26" i="8"/>
  <c r="I9" i="4"/>
  <c r="P110" i="13" l="1"/>
  <c r="N8" i="14"/>
  <c r="Q84" i="13"/>
  <c r="E30" i="3"/>
  <c r="N12" i="3"/>
  <c r="O5" i="14"/>
  <c r="C38" i="14"/>
  <c r="D5" i="14" s="1"/>
  <c r="L80" i="3"/>
  <c r="E19" i="4"/>
  <c r="J18" i="4"/>
  <c r="K26" i="8"/>
  <c r="K36" i="8"/>
  <c r="L5" i="8" s="1"/>
  <c r="N28" i="3" l="1"/>
  <c r="N23" i="3"/>
  <c r="O8" i="14"/>
  <c r="N9" i="14"/>
  <c r="O9" i="14" s="1"/>
  <c r="E20" i="4"/>
  <c r="E77" i="1" s="1"/>
  <c r="P100" i="12"/>
  <c r="P101" i="12" s="1"/>
  <c r="J19" i="4"/>
  <c r="L36" i="8"/>
  <c r="M5" i="8" s="1"/>
  <c r="L26" i="8"/>
  <c r="E78" i="1" l="1"/>
  <c r="J94" i="13" s="1"/>
  <c r="F97" i="13"/>
  <c r="M36" i="8"/>
  <c r="N5" i="8" s="1"/>
  <c r="M26" i="8"/>
  <c r="M57" i="3"/>
  <c r="J20" i="4"/>
  <c r="C35" i="3"/>
  <c r="C37" i="3" s="1"/>
  <c r="M44" i="3" s="1"/>
  <c r="Q94" i="13" l="1"/>
  <c r="F10" i="4" s="1"/>
  <c r="J95" i="13"/>
  <c r="J116" i="13"/>
  <c r="D21" i="14"/>
  <c r="F98" i="13"/>
  <c r="Q97" i="13"/>
  <c r="F116" i="13"/>
  <c r="N36" i="8"/>
  <c r="C8" i="3" s="1"/>
  <c r="N26" i="8"/>
  <c r="D28" i="3"/>
  <c r="D30" i="3" s="1"/>
  <c r="H20" i="14" l="1"/>
  <c r="Q95" i="13"/>
  <c r="J110" i="13"/>
  <c r="Q110" i="13" s="1"/>
  <c r="Q111" i="13" s="1"/>
  <c r="J122" i="13"/>
  <c r="K10" i="4"/>
  <c r="Q98" i="13"/>
  <c r="F122" i="13"/>
  <c r="O21" i="14"/>
  <c r="D26" i="14"/>
  <c r="M58" i="3"/>
  <c r="M64" i="3" s="1"/>
  <c r="M65" i="3" s="1"/>
  <c r="C28" i="3"/>
  <c r="O20" i="14" l="1"/>
  <c r="O26" i="14" s="1"/>
  <c r="H26" i="14"/>
  <c r="D28" i="14"/>
  <c r="D38" i="14"/>
  <c r="E5" i="14" s="1"/>
  <c r="F12" i="4"/>
  <c r="C30" i="3"/>
  <c r="H30" i="3" s="1"/>
  <c r="H28" i="3"/>
  <c r="M59" i="3"/>
  <c r="M12" i="3"/>
  <c r="O38" i="14" l="1"/>
  <c r="O28" i="14"/>
  <c r="K12" i="4"/>
  <c r="N34" i="3"/>
  <c r="N35" i="3" s="1"/>
  <c r="F14" i="4"/>
  <c r="E38" i="14"/>
  <c r="F5" i="14" s="1"/>
  <c r="E28" i="14"/>
  <c r="M28" i="3"/>
  <c r="M23" i="3"/>
  <c r="F28" i="14" l="1"/>
  <c r="F38" i="14"/>
  <c r="G5" i="14" s="1"/>
  <c r="F16" i="4"/>
  <c r="K14" i="4"/>
  <c r="M76" i="3"/>
  <c r="L85" i="3" s="1"/>
  <c r="D8" i="3"/>
  <c r="E8" i="3" l="1"/>
  <c r="M82" i="3"/>
  <c r="L81" i="3"/>
  <c r="L82" i="3" s="1"/>
  <c r="I16" i="4"/>
  <c r="K16" i="4"/>
  <c r="F18" i="4"/>
  <c r="G38" i="14"/>
  <c r="H5" i="14" s="1"/>
  <c r="G28" i="14"/>
  <c r="M24" i="3"/>
  <c r="M25" i="3" s="1"/>
  <c r="C39" i="3"/>
  <c r="F19" i="4" l="1"/>
  <c r="F20" i="4" s="1"/>
  <c r="I18" i="4"/>
  <c r="K18" i="4"/>
  <c r="H28" i="14"/>
  <c r="H38" i="14"/>
  <c r="I5" i="14" s="1"/>
  <c r="H8" i="3"/>
  <c r="N64" i="3"/>
  <c r="N65" i="3" s="1"/>
  <c r="D35" i="3" l="1"/>
  <c r="K20" i="4"/>
  <c r="I20" i="4"/>
  <c r="N57" i="3"/>
  <c r="N43" i="3"/>
  <c r="M45" i="3" s="1"/>
  <c r="I38" i="14"/>
  <c r="J5" i="14" s="1"/>
  <c r="I28" i="14"/>
  <c r="K19" i="4"/>
  <c r="I19" i="4"/>
  <c r="P106" i="13"/>
  <c r="J38" i="14" l="1"/>
  <c r="K5" i="14" s="1"/>
  <c r="J28" i="14"/>
  <c r="P107" i="13"/>
  <c r="Q106" i="13"/>
  <c r="P116" i="13"/>
  <c r="Q116" i="13" s="1"/>
  <c r="Q119" i="13" s="1"/>
  <c r="E35" i="3"/>
  <c r="E37" i="3" s="1"/>
  <c r="D37" i="3"/>
  <c r="D39" i="3" s="1"/>
  <c r="P116" i="12"/>
  <c r="Q116" i="12" s="1"/>
  <c r="Q120" i="12" s="1"/>
  <c r="P110" i="12"/>
  <c r="Q110" i="12" s="1"/>
  <c r="Q113" i="12" s="1"/>
  <c r="H37" i="3" l="1"/>
  <c r="E39" i="3"/>
  <c r="H39" i="3" s="1"/>
  <c r="N24" i="3"/>
  <c r="N25" i="3" s="1"/>
  <c r="Q107" i="13"/>
  <c r="D12" i="3" s="1"/>
  <c r="D13" i="3" s="1"/>
  <c r="D21" i="3" s="1"/>
  <c r="D45" i="3" s="1"/>
  <c r="P122" i="13"/>
  <c r="Q122" i="13" s="1"/>
  <c r="Q126" i="13" s="1"/>
  <c r="K38" i="14"/>
  <c r="L5" i="14" s="1"/>
  <c r="K28" i="14"/>
  <c r="Q101" i="12"/>
  <c r="C12" i="3" s="1"/>
  <c r="Q100" i="12"/>
  <c r="L28" i="14" l="1"/>
  <c r="L38" i="14"/>
  <c r="M5" i="14" s="1"/>
  <c r="C13" i="3"/>
  <c r="C21" i="3" s="1"/>
  <c r="E12" i="3"/>
  <c r="E13" i="3" s="1"/>
  <c r="N11" i="3" s="1"/>
  <c r="N13" i="3" s="1"/>
  <c r="M28" i="14" l="1"/>
  <c r="M38" i="14"/>
  <c r="N5" i="14" s="1"/>
  <c r="F13" i="3"/>
  <c r="M52" i="3"/>
  <c r="F8" i="3"/>
  <c r="H13" i="3"/>
  <c r="M11" i="3"/>
  <c r="M13" i="3" s="1"/>
  <c r="E21" i="3"/>
  <c r="C45" i="3"/>
  <c r="F26" i="3"/>
  <c r="F30" i="3"/>
  <c r="F39" i="3"/>
  <c r="F19" i="3"/>
  <c r="M29" i="3"/>
  <c r="M30" i="3" s="1"/>
  <c r="P30" i="3" s="1"/>
  <c r="F37" i="3"/>
  <c r="F16" i="3"/>
  <c r="F34" i="3"/>
  <c r="F21" i="3"/>
  <c r="F28" i="3"/>
  <c r="N38" i="14" l="1"/>
  <c r="N28" i="14"/>
  <c r="G8" i="3"/>
  <c r="N29" i="3"/>
  <c r="N30" i="3" s="1"/>
  <c r="G13" i="3"/>
  <c r="E45" i="3"/>
  <c r="G21" i="3"/>
  <c r="H21" i="3"/>
  <c r="G16" i="3"/>
  <c r="G34" i="3"/>
  <c r="G25" i="3"/>
  <c r="G19" i="3"/>
  <c r="G26" i="3"/>
  <c r="G28" i="3"/>
  <c r="G30" i="3"/>
  <c r="G37" i="3"/>
  <c r="G39" i="3"/>
  <c r="M53" i="3"/>
  <c r="M70" i="3"/>
  <c r="M7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<sst xmlns="http://schemas.openxmlformats.org/spreadsheetml/2006/main" count="828" uniqueCount="275">
  <si>
    <t>Arriendo</t>
  </si>
  <si>
    <t>Servicios</t>
  </si>
  <si>
    <t>Total</t>
  </si>
  <si>
    <t>Impuestos</t>
  </si>
  <si>
    <t>Estrategia asociada</t>
  </si>
  <si>
    <t>Acción</t>
  </si>
  <si>
    <t>Item</t>
  </si>
  <si>
    <t>Valor</t>
  </si>
  <si>
    <t>Creación de logo</t>
  </si>
  <si>
    <t>Publicitarios</t>
  </si>
  <si>
    <t>Alquiler salon de conferencias</t>
  </si>
  <si>
    <t>Conferencias</t>
  </si>
  <si>
    <t>Computadores</t>
  </si>
  <si>
    <t>Compra de computadores para los servicios</t>
  </si>
  <si>
    <t>De marca</t>
  </si>
  <si>
    <t>De distribución</t>
  </si>
  <si>
    <t>De comunicación</t>
  </si>
  <si>
    <t>Pagina web</t>
  </si>
  <si>
    <t>Creación del sitio web</t>
  </si>
  <si>
    <t>Inscripción, Broshure, pendones</t>
  </si>
  <si>
    <t>De ventas</t>
  </si>
  <si>
    <t>Visita a clientes</t>
  </si>
  <si>
    <t>Viajes, almuerzos, tarjetas, combustible</t>
  </si>
  <si>
    <t>TOTAL</t>
  </si>
  <si>
    <t>Mes 1</t>
  </si>
  <si>
    <t>Mes 2</t>
  </si>
  <si>
    <t>Mes 3</t>
  </si>
  <si>
    <t>Mes 4</t>
  </si>
  <si>
    <t>Mes 5</t>
  </si>
  <si>
    <t>Mes 6</t>
  </si>
  <si>
    <t>STATISTIC AND MEASUREMENTS SAS</t>
  </si>
  <si>
    <t>(Cifras expresadas pesos colombianos)</t>
  </si>
  <si>
    <t>ACTIVOS</t>
  </si>
  <si>
    <t>Efectivo</t>
  </si>
  <si>
    <t>Deudores</t>
  </si>
  <si>
    <t>Inventarios</t>
  </si>
  <si>
    <t>Gastos pagados por anticipado</t>
  </si>
  <si>
    <t>Maquinaria y Equipo</t>
  </si>
  <si>
    <t>Muebles y enseres</t>
  </si>
  <si>
    <t>PASIVOS</t>
  </si>
  <si>
    <t>Pasivos corrientes</t>
  </si>
  <si>
    <t>Impuestos por pagar</t>
  </si>
  <si>
    <t>Pasivos estimados y provisiones</t>
  </si>
  <si>
    <t>PATRIMONIO</t>
  </si>
  <si>
    <t>Aportes Sociales</t>
  </si>
  <si>
    <t>-</t>
  </si>
  <si>
    <t>Capital de los accionistas</t>
  </si>
  <si>
    <t>ESTADO DE RESULTADOS</t>
  </si>
  <si>
    <t>Ventas totales</t>
  </si>
  <si>
    <t>Utilidad bruta</t>
  </si>
  <si>
    <t>Depreciación</t>
  </si>
  <si>
    <t>Utilidad de la operación</t>
  </si>
  <si>
    <t>Otros ingresos</t>
  </si>
  <si>
    <t>Ingresos por interés (gastos)</t>
  </si>
  <si>
    <t>Utilidad antes de impuestos</t>
  </si>
  <si>
    <t>Utilidad neta</t>
  </si>
  <si>
    <t xml:space="preserve">Segundo año </t>
  </si>
  <si>
    <t xml:space="preserve">Primer año </t>
  </si>
  <si>
    <t xml:space="preserve">Analisis vertical Primer año </t>
  </si>
  <si>
    <t xml:space="preserve">Analisis vertical Segundo año </t>
  </si>
  <si>
    <t>Total, activos corrientes</t>
  </si>
  <si>
    <t>Equipo de cómputo y Comunicación</t>
  </si>
  <si>
    <t>Total, activos no corrientes</t>
  </si>
  <si>
    <t>TOTAL, ACTIVOS</t>
  </si>
  <si>
    <t>Total, pasivos corrientes</t>
  </si>
  <si>
    <t>TOTAL, PASIVOS</t>
  </si>
  <si>
    <t>TOTAL, PATRIMONIO</t>
  </si>
  <si>
    <t>TOTAL, PASIVOS Y PATRIMONIO</t>
  </si>
  <si>
    <t>Analisis vertical 
Primer año</t>
  </si>
  <si>
    <t xml:space="preserve">Analisis vertical  
Segundo año </t>
  </si>
  <si>
    <t>Analisis Horizontal</t>
  </si>
  <si>
    <t>Indicadores de liquidez</t>
  </si>
  <si>
    <t>Razón corriente</t>
  </si>
  <si>
    <t>Indicadores de endeudamiento</t>
  </si>
  <si>
    <t>Estructura de capital</t>
  </si>
  <si>
    <t>Margen neto</t>
  </si>
  <si>
    <t>Margen operativo</t>
  </si>
  <si>
    <t>Rendimiento sobre la inversión</t>
  </si>
  <si>
    <t>Tasa mes vencido</t>
  </si>
  <si>
    <t>periodo</t>
  </si>
  <si>
    <t>Cuota mensual</t>
  </si>
  <si>
    <t>Mes 7</t>
  </si>
  <si>
    <t>Mes 8</t>
  </si>
  <si>
    <t>Mes 9</t>
  </si>
  <si>
    <t>Mes 10</t>
  </si>
  <si>
    <t>Mes 11</t>
  </si>
  <si>
    <t>Mes 12</t>
  </si>
  <si>
    <t>Saldo inicial</t>
  </si>
  <si>
    <t>Ingresos</t>
  </si>
  <si>
    <t>Total Ingresos</t>
  </si>
  <si>
    <t>Egresos</t>
  </si>
  <si>
    <t>Pago de nómina</t>
  </si>
  <si>
    <t>Pago de alquiler</t>
  </si>
  <si>
    <t>Pago de publicidad</t>
  </si>
  <si>
    <t>Total Egresos</t>
  </si>
  <si>
    <t>Flujo de caja económico</t>
  </si>
  <si>
    <t>Financiamiento</t>
  </si>
  <si>
    <t>Pago de préstamos</t>
  </si>
  <si>
    <t>Total Financiamiento</t>
  </si>
  <si>
    <t>Flujo de caja financiero</t>
  </si>
  <si>
    <t>Pago proveedores (Certificación)</t>
  </si>
  <si>
    <t>Flujo de caja Año 1</t>
  </si>
  <si>
    <t>Flujo de caja Año 2</t>
  </si>
  <si>
    <t>Valor hora consultoría</t>
  </si>
  <si>
    <t>Relación de cobro por servicios</t>
  </si>
  <si>
    <t>Tarifa ONAC</t>
  </si>
  <si>
    <t>Presupuesto de ventas</t>
  </si>
  <si>
    <t>Presupuesto de costos laborales</t>
  </si>
  <si>
    <t>Salario dirección de calidad</t>
  </si>
  <si>
    <t>Salario Gerencia de innovación</t>
  </si>
  <si>
    <t>Salario Gerente</t>
  </si>
  <si>
    <t>Presupuesto de costos de comercialización</t>
  </si>
  <si>
    <t>Certificación en calidad</t>
  </si>
  <si>
    <t>Presupuesto de inversión</t>
  </si>
  <si>
    <t>Tasa de interes (Mes vencida)</t>
  </si>
  <si>
    <t>Plazo (meses)</t>
  </si>
  <si>
    <t>Valor cuota</t>
  </si>
  <si>
    <t>Prestamo gastos generales y administrativos</t>
  </si>
  <si>
    <t>Primer año</t>
  </si>
  <si>
    <t>Segundo año</t>
  </si>
  <si>
    <t>Prestamo presupuesto de comercialización</t>
  </si>
  <si>
    <t xml:space="preserve">BALANCE </t>
  </si>
  <si>
    <t>Inversón</t>
  </si>
  <si>
    <t>Total Inversión</t>
  </si>
  <si>
    <t>Apertura de empresa</t>
  </si>
  <si>
    <t>ACTIVIDAD</t>
  </si>
  <si>
    <t>CUENTA
CONTABLE</t>
  </si>
  <si>
    <t>NOMBRE CUENTA
CONTABLE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</si>
  <si>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</si>
  <si>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</si>
  <si>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</si>
  <si>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</si>
  <si>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</si>
  <si>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</si>
  <si>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</si>
  <si>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</si>
  <si>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</si>
  <si>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</si>
  <si>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</si>
  <si>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</si>
  <si>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FONDO SOCIAL</t>
  </si>
  <si>
    <t>ACTIVO</t>
  </si>
  <si>
    <t>CAJA</t>
  </si>
  <si>
    <t>compra de dotacion</t>
  </si>
  <si>
    <t>MUEBLES Y ENSERES</t>
  </si>
  <si>
    <t>EQUIPO DE COMPUTO</t>
  </si>
  <si>
    <t>prestamo a entidad bancaria</t>
  </si>
  <si>
    <t>PASIVO FINANCIERO</t>
  </si>
  <si>
    <t>OBLIGACIONES FINANCIERAS</t>
  </si>
  <si>
    <t>nomina</t>
  </si>
  <si>
    <t>GASTOS DE NOMINA</t>
  </si>
  <si>
    <t>SUELDOS</t>
  </si>
  <si>
    <t>APORTES A PENSIÓN</t>
  </si>
  <si>
    <t>APORTES A SALUD</t>
  </si>
  <si>
    <t>APORTES A RIESGOS LABORALES</t>
  </si>
  <si>
    <t>SENA</t>
  </si>
  <si>
    <t>ICBF</t>
  </si>
  <si>
    <t>CAJAS DE COMPENSACIÓN</t>
  </si>
  <si>
    <t>PRIMA DE SERVICIOS</t>
  </si>
  <si>
    <t>CESANTÍA</t>
  </si>
  <si>
    <t>INTERESES SOBRE CESANTÍAS</t>
  </si>
  <si>
    <t>PROVISÓN DE VACACIONES</t>
  </si>
  <si>
    <t>PASIVO NOMINA</t>
  </si>
  <si>
    <t>FONDO DE SOLIDARIDAD</t>
  </si>
  <si>
    <t>BANCOS</t>
  </si>
  <si>
    <t>pago parafiscales y prestaciones sociales</t>
  </si>
  <si>
    <t>PAGO CESANTIAS Y VACACIONES</t>
  </si>
  <si>
    <t>Copra de logo</t>
  </si>
  <si>
    <t>OTROS GTOS DE VENTAS</t>
  </si>
  <si>
    <t>GASTOS</t>
  </si>
  <si>
    <t>Elaboracion pagina Weeb</t>
  </si>
  <si>
    <t>DIFERIDOS</t>
  </si>
  <si>
    <t>PASIVO IMPUESTOS</t>
  </si>
  <si>
    <t>IVA</t>
  </si>
  <si>
    <t>RTE RENTA</t>
  </si>
  <si>
    <t>ICA</t>
  </si>
  <si>
    <t>Compra de publicidad</t>
  </si>
  <si>
    <t>Gastos de representacion gerencia</t>
  </si>
  <si>
    <t>Pago de arriendo</t>
  </si>
  <si>
    <t>Servicios Publicos</t>
  </si>
  <si>
    <t>Pago prestamo</t>
  </si>
  <si>
    <t>DEPRECIACION</t>
  </si>
  <si>
    <t>Compra certifiacion</t>
  </si>
  <si>
    <t>Alquiler de salon para conferencia</t>
  </si>
  <si>
    <t>Ingreso conferencia o capacitacion</t>
  </si>
  <si>
    <t>INGRESOS</t>
  </si>
  <si>
    <t>RETE IVA</t>
  </si>
  <si>
    <t>RETE ICA</t>
  </si>
  <si>
    <t>RETE HONORARIOS</t>
  </si>
  <si>
    <t>Pago de Iva</t>
  </si>
  <si>
    <t>BANCO</t>
  </si>
  <si>
    <t>Pago de 4*1000</t>
  </si>
  <si>
    <t>GASTOS BANCARIOS</t>
  </si>
  <si>
    <t>GASTO BANCARIOS</t>
  </si>
  <si>
    <t>FUJO DE CAJA</t>
  </si>
  <si>
    <t>BALANCE</t>
  </si>
  <si>
    <t>*Patrimonio</t>
  </si>
  <si>
    <t>Compra de activos fijos</t>
  </si>
  <si>
    <t>Pago de salon conferencia</t>
  </si>
  <si>
    <t>Pago de impuestos</t>
  </si>
  <si>
    <t>Compra Logo</t>
  </si>
  <si>
    <t>Elaboración pagina Web</t>
  </si>
  <si>
    <t>Gastos de representación</t>
  </si>
  <si>
    <t>Depreciación activos fijos</t>
  </si>
  <si>
    <t>Retenciones</t>
  </si>
  <si>
    <t>Obligaciones financieras</t>
  </si>
  <si>
    <t>2365 / 2368 / 2405</t>
  </si>
  <si>
    <t>Costo de las ventas (publicidad, alquiler conferencias)</t>
  </si>
  <si>
    <t xml:space="preserve">Nomina
</t>
  </si>
  <si>
    <t>Utilidad antes del interés e impuestos</t>
  </si>
  <si>
    <t>Contabilización impuesto de renta</t>
  </si>
  <si>
    <t>Resultado del ejercicio</t>
  </si>
  <si>
    <t>Donacion Fundacion</t>
  </si>
  <si>
    <t>Capacitacion empleados</t>
  </si>
  <si>
    <t>CAPACITACION</t>
  </si>
  <si>
    <t>Donación</t>
  </si>
  <si>
    <t>Capaitación</t>
  </si>
  <si>
    <t>*Comprobacion</t>
  </si>
  <si>
    <r>
      <t>Ventas conferencias y consultorias</t>
    </r>
    <r>
      <rPr>
        <b/>
        <sz val="10"/>
        <color theme="0" tint="-0.499984740745262"/>
        <rFont val="Franklin Gothic Medium"/>
        <family val="2"/>
      </rPr>
      <t xml:space="preserve"> + IVA</t>
    </r>
  </si>
  <si>
    <r>
      <t xml:space="preserve">Ventas conferencias y consultorias </t>
    </r>
    <r>
      <rPr>
        <b/>
        <sz val="10"/>
        <color theme="0" tint="-0.499984740745262"/>
        <rFont val="Franklin Gothic Medium"/>
        <family val="2"/>
      </rPr>
      <t>+ IVA</t>
    </r>
  </si>
  <si>
    <t>Salario dirección de recursos humanos</t>
  </si>
  <si>
    <t>Presupuesto 20%</t>
  </si>
  <si>
    <t>Especialización en estadística</t>
  </si>
  <si>
    <t xml:space="preserve">Innovación
</t>
  </si>
  <si>
    <t xml:space="preserve">Estructura de capital </t>
  </si>
  <si>
    <t xml:space="preserve">Endeudamiento </t>
  </si>
  <si>
    <t>Cobertura para gastos fijos</t>
  </si>
  <si>
    <t>Gastos fijos</t>
  </si>
  <si>
    <t xml:space="preserve"> Endeudamiento</t>
  </si>
  <si>
    <t>Razones de rentabilidad</t>
  </si>
  <si>
    <t>ROE</t>
  </si>
  <si>
    <t>Rendimiento sobre la inversión ROA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</si>
  <si>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</si>
  <si>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</si>
  <si>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</si>
  <si>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</si>
  <si>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</si>
  <si>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</si>
  <si>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</si>
  <si>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</si>
  <si>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</si>
  <si>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</si>
  <si>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</si>
  <si>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</si>
  <si>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Conferencia</t>
  </si>
  <si>
    <t>Innovación</t>
  </si>
  <si>
    <t>Publicidad: Congresos y ferias de calidad</t>
  </si>
  <si>
    <t xml:space="preserve">Gastos de ventas, generales y administrativos
Arriendo
Prestamo
Servicios
Certificación
Donación
Capacitación
</t>
  </si>
  <si>
    <t>Crecimiento promedio</t>
  </si>
  <si>
    <t>Mes</t>
  </si>
  <si>
    <t>NA</t>
  </si>
  <si>
    <t>Concepto</t>
  </si>
  <si>
    <t>Presupuesto administrativo</t>
  </si>
  <si>
    <t>VPN</t>
  </si>
  <si>
    <t>VPN Año 1</t>
  </si>
  <si>
    <t>VPN Año 2</t>
  </si>
  <si>
    <t>Inversion inicial</t>
  </si>
  <si>
    <t>Flujo de caja 1</t>
  </si>
  <si>
    <t>Flujo de caja 2</t>
  </si>
  <si>
    <t>TIR</t>
  </si>
  <si>
    <t>Tasa</t>
  </si>
  <si>
    <t>Valor semana 5 días (40 horas)</t>
  </si>
  <si>
    <t>Valor mes un asesor  (120 horas)</t>
  </si>
  <si>
    <t>Valor día un asesor (8 horas)</t>
  </si>
  <si>
    <t>Horas trabajadas al mes</t>
  </si>
  <si>
    <t>Se requiere contratar otro asesor</t>
  </si>
  <si>
    <t>Salario Asesor Senior</t>
  </si>
  <si>
    <t>Salario Asesor Junior</t>
  </si>
  <si>
    <t>Numero de asesores Senior</t>
  </si>
  <si>
    <t>Numero de asesores Junior</t>
  </si>
  <si>
    <t>Total asesores Senior</t>
  </si>
  <si>
    <t>Total asesores Junior</t>
  </si>
  <si>
    <t>Inversión 1 asesor</t>
  </si>
  <si>
    <t>Variación</t>
  </si>
  <si>
    <t>Valor mes un asesor al 65% (84 horas)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</si>
</sst>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\ &quot;€&quot;_-;\-* #,##0\ &quot;€&quot;_-;_-* &quot;-&quot;\ &quot;€&quot;_-;_-@_-"/>
    <numFmt numFmtId="166" formatCode="#,###,;\(#,###,\)"/>
    <numFmt numFmtId="167" formatCode="0.0%"/>
    <numFmt numFmtId="168" formatCode="0.0"/>
    <numFmt numFmtId="169" formatCode="_-* #,##0.0_-;\-* #,##0.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28"/>
      <color theme="8" tint="-0.249977111117893"/>
      <name val="Franklin Gothic Demi Cond"/>
      <family val="2"/>
    </font>
    <font>
      <b/>
      <sz val="11"/>
      <color theme="1"/>
      <name val="Franklin Gothic Medium"/>
      <family val="2"/>
    </font>
    <font>
      <sz val="16"/>
      <color theme="1"/>
      <name val="Franklin Gothic Medium"/>
      <family val="2"/>
    </font>
    <font>
      <sz val="11"/>
      <color theme="1"/>
      <name val="Franklin Gothic Medium"/>
      <family val="2"/>
    </font>
    <font>
      <sz val="10"/>
      <color theme="0" tint="-0.499984740745262"/>
      <name val="Franklin Gothic Medium"/>
      <family val="2"/>
    </font>
    <font>
      <sz val="10"/>
      <color theme="1" tint="0.499984740745262"/>
      <name val="Franklin Gothic Medium"/>
      <family val="2"/>
    </font>
    <font>
      <sz val="11"/>
      <name val="Franklin Gothic Medium"/>
      <family val="2"/>
    </font>
    <font>
      <sz val="11"/>
      <name val="Calibri"/>
      <family val="2"/>
      <scheme val="minor"/>
    </font>
    <font>
      <sz val="8"/>
      <color theme="1"/>
      <name val="Cambria"/>
      <family val="1"/>
    </font>
    <font>
      <b/>
      <sz val="14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 tint="-0.499984740745262"/>
      <name val="Franklin Gothic Medium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6FAF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/>
      <bottom style="thick">
        <color theme="8"/>
      </bottom>
      <diagonal/>
    </border>
    <border>
      <left/>
      <right/>
      <top/>
      <bottom style="medium">
        <color theme="8"/>
      </bottom>
      <diagonal/>
    </border>
    <border>
      <left/>
      <right/>
      <top/>
      <bottom style="medium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1">
    <xf numFmtId="0" fontId="0" fillId="0" borderId="0" xfId="0"/>
    <xf numFmtId="42" fontId="0" fillId="0" borderId="0" xfId="1" applyFont="1"/>
    <xf numFmtId="0" fontId="7" fillId="2" borderId="0" xfId="0" applyFont="1" applyFill="1"/>
    <xf numFmtId="42" fontId="7" fillId="2" borderId="0" xfId="1" applyFont="1" applyFill="1"/>
    <xf numFmtId="0" fontId="7" fillId="2" borderId="0" xfId="0" applyFont="1" applyFill="1" applyAlignment="1">
      <alignment vertical="center"/>
    </xf>
    <xf numFmtId="42" fontId="7" fillId="2" borderId="6" xfId="1" applyFont="1" applyFill="1" applyBorder="1" applyAlignment="1">
      <alignment vertical="center"/>
    </xf>
    <xf numFmtId="42" fontId="7" fillId="2" borderId="0" xfId="1" applyFont="1" applyFill="1" applyAlignment="1">
      <alignment vertical="center"/>
    </xf>
    <xf numFmtId="42" fontId="7" fillId="2" borderId="0" xfId="0" applyNumberFormat="1" applyFont="1" applyFill="1" applyAlignment="1">
      <alignment vertical="center"/>
    </xf>
    <xf numFmtId="42" fontId="7" fillId="2" borderId="3" xfId="1" applyFont="1" applyFill="1" applyBorder="1" applyAlignment="1">
      <alignment vertical="center"/>
    </xf>
    <xf numFmtId="0" fontId="7" fillId="2" borderId="3" xfId="0" applyFont="1" applyFill="1" applyBorder="1"/>
    <xf numFmtId="42" fontId="7" fillId="2" borderId="0" xfId="1" applyFont="1" applyFill="1" applyBorder="1" applyAlignment="1">
      <alignment vertical="center"/>
    </xf>
    <xf numFmtId="42" fontId="7" fillId="2" borderId="0" xfId="0" applyNumberFormat="1" applyFont="1" applyFill="1"/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49" fontId="15" fillId="2" borderId="0" xfId="0" applyNumberFormat="1" applyFont="1" applyFill="1" applyAlignment="1">
      <alignment horizontal="center" vertical="center" wrapText="1"/>
    </xf>
    <xf numFmtId="0" fontId="16" fillId="2" borderId="0" xfId="0" applyFont="1" applyFill="1"/>
    <xf numFmtId="0" fontId="15" fillId="2" borderId="6" xfId="0" applyFont="1" applyFill="1" applyBorder="1" applyAlignment="1">
      <alignment horizontal="center"/>
    </xf>
    <xf numFmtId="164" fontId="6" fillId="2" borderId="0" xfId="3" applyNumberFormat="1" applyFont="1" applyFill="1"/>
    <xf numFmtId="167" fontId="6" fillId="2" borderId="0" xfId="2" applyNumberFormat="1" applyFont="1" applyFill="1"/>
    <xf numFmtId="164" fontId="15" fillId="2" borderId="3" xfId="3" applyNumberFormat="1" applyFont="1" applyFill="1" applyBorder="1"/>
    <xf numFmtId="166" fontId="15" fillId="2" borderId="0" xfId="4" applyNumberFormat="1" applyFont="1" applyFill="1"/>
    <xf numFmtId="167" fontId="15" fillId="2" borderId="0" xfId="2" applyNumberFormat="1" applyFont="1" applyFill="1"/>
    <xf numFmtId="164" fontId="15" fillId="2" borderId="4" xfId="3" applyNumberFormat="1" applyFont="1" applyFill="1" applyBorder="1"/>
    <xf numFmtId="166" fontId="6" fillId="2" borderId="0" xfId="4" applyNumberFormat="1" applyFont="1" applyFill="1"/>
    <xf numFmtId="164" fontId="15" fillId="2" borderId="5" xfId="3" applyNumberFormat="1" applyFont="1" applyFill="1" applyBorder="1"/>
    <xf numFmtId="166" fontId="6" fillId="2" borderId="3" xfId="4" applyNumberFormat="1" applyFont="1" applyFill="1" applyBorder="1"/>
    <xf numFmtId="9" fontId="6" fillId="2" borderId="3" xfId="2" applyFont="1" applyFill="1" applyBorder="1"/>
    <xf numFmtId="9" fontId="6" fillId="2" borderId="0" xfId="2" applyFont="1" applyFill="1"/>
    <xf numFmtId="9" fontId="15" fillId="2" borderId="0" xfId="2" applyFont="1" applyFill="1"/>
    <xf numFmtId="166" fontId="15" fillId="2" borderId="3" xfId="4" applyNumberFormat="1" applyFont="1" applyFill="1" applyBorder="1"/>
    <xf numFmtId="9" fontId="15" fillId="2" borderId="3" xfId="2" applyFont="1" applyFill="1" applyBorder="1"/>
    <xf numFmtId="1" fontId="15" fillId="2" borderId="0" xfId="0" applyNumberFormat="1" applyFont="1" applyFill="1" applyAlignment="1">
      <alignment horizontal="center"/>
    </xf>
    <xf numFmtId="9" fontId="15" fillId="2" borderId="0" xfId="2" applyFont="1" applyFill="1" applyAlignment="1">
      <alignment horizontal="center"/>
    </xf>
    <xf numFmtId="0" fontId="10" fillId="3" borderId="6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6" fillId="2" borderId="6" xfId="0" applyFont="1" applyFill="1" applyBorder="1"/>
    <xf numFmtId="0" fontId="12" fillId="3" borderId="6" xfId="0" applyFont="1" applyFill="1" applyBorder="1" applyAlignment="1">
      <alignment vertical="center"/>
    </xf>
    <xf numFmtId="164" fontId="15" fillId="2" borderId="6" xfId="3" applyNumberFormat="1" applyFont="1" applyFill="1" applyBorder="1"/>
    <xf numFmtId="9" fontId="15" fillId="2" borderId="6" xfId="2" applyFont="1" applyFill="1" applyBorder="1"/>
    <xf numFmtId="0" fontId="12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6" fillId="2" borderId="3" xfId="0" applyFont="1" applyFill="1" applyBorder="1"/>
    <xf numFmtId="166" fontId="15" fillId="2" borderId="6" xfId="4" applyNumberFormat="1" applyFont="1" applyFill="1" applyBorder="1"/>
    <xf numFmtId="9" fontId="7" fillId="2" borderId="0" xfId="2" applyFont="1" applyFill="1"/>
    <xf numFmtId="167" fontId="7" fillId="2" borderId="0" xfId="2" applyNumberFormat="1" applyFont="1" applyFill="1"/>
    <xf numFmtId="167" fontId="7" fillId="2" borderId="0" xfId="2" applyNumberFormat="1" applyFont="1" applyFill="1" applyAlignment="1">
      <alignment vertical="center"/>
    </xf>
    <xf numFmtId="0" fontId="7" fillId="2" borderId="6" xfId="0" applyFont="1" applyFill="1" applyBorder="1"/>
    <xf numFmtId="42" fontId="7" fillId="2" borderId="6" xfId="1" applyFont="1" applyFill="1" applyBorder="1"/>
    <xf numFmtId="167" fontId="15" fillId="2" borderId="6" xfId="2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167" fontId="7" fillId="2" borderId="6" xfId="2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167" fontId="7" fillId="2" borderId="3" xfId="2" applyNumberFormat="1" applyFont="1" applyFill="1" applyBorder="1" applyAlignment="1">
      <alignment vertical="center"/>
    </xf>
    <xf numFmtId="9" fontId="15" fillId="2" borderId="6" xfId="2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/>
    </xf>
    <xf numFmtId="1" fontId="14" fillId="2" borderId="0" xfId="0" applyNumberFormat="1" applyFont="1" applyFill="1" applyAlignment="1">
      <alignment horizontal="center" vertical="center" wrapText="1"/>
    </xf>
    <xf numFmtId="0" fontId="7" fillId="2" borderId="1" xfId="0" applyFont="1" applyFill="1" applyBorder="1"/>
    <xf numFmtId="42" fontId="7" fillId="2" borderId="1" xfId="1" applyFont="1" applyFill="1" applyBorder="1"/>
    <xf numFmtId="168" fontId="7" fillId="2" borderId="1" xfId="2" applyNumberFormat="1" applyFont="1" applyFill="1" applyBorder="1"/>
    <xf numFmtId="9" fontId="7" fillId="2" borderId="0" xfId="2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1" fontId="6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right"/>
    </xf>
    <xf numFmtId="9" fontId="7" fillId="2" borderId="1" xfId="2" applyFont="1" applyFill="1" applyBorder="1" applyAlignment="1">
      <alignment horizontal="center" vertical="center"/>
    </xf>
    <xf numFmtId="10" fontId="7" fillId="2" borderId="1" xfId="2" applyNumberFormat="1" applyFont="1" applyFill="1" applyBorder="1" applyAlignment="1">
      <alignment horizontal="center" vertical="center"/>
    </xf>
    <xf numFmtId="0" fontId="19" fillId="0" borderId="0" xfId="0" applyFont="1"/>
    <xf numFmtId="0" fontId="20" fillId="0" borderId="10" xfId="0" applyFont="1" applyBorder="1" applyAlignment="1">
      <alignment horizontal="center"/>
    </xf>
    <xf numFmtId="0" fontId="21" fillId="4" borderId="11" xfId="0" applyFont="1" applyFill="1" applyBorder="1"/>
    <xf numFmtId="42" fontId="0" fillId="4" borderId="11" xfId="1" applyFont="1" applyFill="1" applyBorder="1"/>
    <xf numFmtId="0" fontId="21" fillId="5" borderId="0" xfId="0" applyFont="1" applyFill="1"/>
    <xf numFmtId="0" fontId="0" fillId="5" borderId="0" xfId="0" applyFill="1"/>
    <xf numFmtId="0" fontId="22" fillId="0" borderId="0" xfId="0" applyFont="1" applyAlignment="1">
      <alignment horizontal="left" indent="1"/>
    </xf>
    <xf numFmtId="42" fontId="21" fillId="4" borderId="11" xfId="1" applyFont="1" applyFill="1" applyBorder="1"/>
    <xf numFmtId="0" fontId="23" fillId="0" borderId="0" xfId="0" applyFont="1" applyAlignment="1">
      <alignment horizontal="left" indent="1"/>
    </xf>
    <xf numFmtId="0" fontId="24" fillId="6" borderId="12" xfId="0" applyFont="1" applyFill="1" applyBorder="1"/>
    <xf numFmtId="42" fontId="25" fillId="6" borderId="12" xfId="1" applyFont="1" applyFill="1" applyBorder="1"/>
    <xf numFmtId="42" fontId="0" fillId="4" borderId="11" xfId="0" applyNumberFormat="1" applyFont="1" applyFill="1" applyBorder="1"/>
    <xf numFmtId="0" fontId="4" fillId="2" borderId="0" xfId="0" applyFont="1" applyFill="1"/>
    <xf numFmtId="0" fontId="0" fillId="2" borderId="0" xfId="0" applyFill="1"/>
    <xf numFmtId="0" fontId="5" fillId="2" borderId="13" xfId="0" applyFont="1" applyFill="1" applyBorder="1" applyAlignment="1">
      <alignment horizontal="center"/>
    </xf>
    <xf numFmtId="42" fontId="5" fillId="2" borderId="13" xfId="1" applyFont="1" applyFill="1" applyBorder="1" applyAlignment="1">
      <alignment horizontal="center"/>
    </xf>
    <xf numFmtId="0" fontId="11" fillId="2" borderId="14" xfId="0" applyFont="1" applyFill="1" applyBorder="1" applyAlignment="1">
      <alignment vertical="center"/>
    </xf>
    <xf numFmtId="42" fontId="11" fillId="2" borderId="15" xfId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6" fontId="11" fillId="2" borderId="1" xfId="0" applyNumberFormat="1" applyFont="1" applyFill="1" applyBorder="1" applyAlignment="1">
      <alignment horizontal="right" vertical="center"/>
    </xf>
    <xf numFmtId="0" fontId="4" fillId="2" borderId="13" xfId="0" applyFont="1" applyFill="1" applyBorder="1"/>
    <xf numFmtId="0" fontId="4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6" fontId="9" fillId="2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42" fontId="4" fillId="2" borderId="1" xfId="1" applyFont="1" applyFill="1" applyBorder="1"/>
    <xf numFmtId="10" fontId="7" fillId="2" borderId="1" xfId="2" applyNumberFormat="1" applyFont="1" applyFill="1" applyBorder="1"/>
    <xf numFmtId="8" fontId="7" fillId="2" borderId="1" xfId="0" applyNumberFormat="1" applyFont="1" applyFill="1" applyBorder="1"/>
    <xf numFmtId="8" fontId="7" fillId="2" borderId="0" xfId="0" applyNumberFormat="1" applyFont="1" applyFill="1"/>
    <xf numFmtId="8" fontId="0" fillId="2" borderId="0" xfId="0" applyNumberFormat="1" applyFill="1"/>
    <xf numFmtId="0" fontId="7" fillId="2" borderId="1" xfId="0" applyFont="1" applyFill="1" applyBorder="1" applyAlignment="1">
      <alignment horizontal="center" vertical="center" wrapText="1"/>
    </xf>
    <xf numFmtId="42" fontId="0" fillId="4" borderId="11" xfId="0" applyNumberFormat="1" applyFill="1" applyBorder="1"/>
    <xf numFmtId="0" fontId="0" fillId="2" borderId="0" xfId="0" applyFill="1" applyAlignment="1"/>
    <xf numFmtId="8" fontId="0" fillId="0" borderId="0" xfId="1" applyNumberFormat="1" applyFont="1"/>
    <xf numFmtId="41" fontId="2" fillId="0" borderId="0" xfId="5" applyFont="1"/>
    <xf numFmtId="0" fontId="28" fillId="7" borderId="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 wrapText="1"/>
    </xf>
    <xf numFmtId="41" fontId="28" fillId="7" borderId="1" xfId="5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41" fontId="0" fillId="0" borderId="1" xfId="5" applyFont="1" applyBorder="1"/>
    <xf numFmtId="0" fontId="0" fillId="8" borderId="1" xfId="0" applyFill="1" applyBorder="1"/>
    <xf numFmtId="0" fontId="2" fillId="8" borderId="0" xfId="0" applyFont="1" applyFill="1"/>
    <xf numFmtId="0" fontId="2" fillId="0" borderId="0" xfId="0" applyFont="1"/>
    <xf numFmtId="41" fontId="0" fillId="0" borderId="0" xfId="5" applyFont="1"/>
    <xf numFmtId="41" fontId="0" fillId="0" borderId="0" xfId="0" applyNumberFormat="1"/>
    <xf numFmtId="41" fontId="2" fillId="0" borderId="0" xfId="0" applyNumberFormat="1" applyFont="1"/>
    <xf numFmtId="41" fontId="0" fillId="5" borderId="0" xfId="0" applyNumberFormat="1" applyFill="1"/>
    <xf numFmtId="0" fontId="22" fillId="0" borderId="0" xfId="0" applyFont="1" applyAlignment="1">
      <alignment horizontal="left" wrapText="1" indent="1"/>
    </xf>
    <xf numFmtId="41" fontId="0" fillId="0" borderId="0" xfId="5" applyFont="1" applyBorder="1"/>
    <xf numFmtId="0" fontId="0" fillId="0" borderId="16" xfId="0" applyFill="1" applyBorder="1"/>
    <xf numFmtId="42" fontId="6" fillId="2" borderId="0" xfId="1" applyFont="1" applyFill="1"/>
    <xf numFmtId="164" fontId="6" fillId="2" borderId="0" xfId="0" applyNumberFormat="1" applyFont="1" applyFill="1"/>
    <xf numFmtId="6" fontId="0" fillId="0" borderId="1" xfId="5" applyNumberFormat="1" applyFont="1" applyBorder="1"/>
    <xf numFmtId="0" fontId="0" fillId="0" borderId="1" xfId="0" applyFill="1" applyBorder="1"/>
    <xf numFmtId="41" fontId="0" fillId="0" borderId="1" xfId="5" applyFont="1" applyFill="1" applyBorder="1"/>
    <xf numFmtId="41" fontId="0" fillId="0" borderId="0" xfId="0" applyNumberFormat="1" applyFill="1"/>
    <xf numFmtId="0" fontId="0" fillId="0" borderId="0" xfId="0" applyFill="1"/>
    <xf numFmtId="42" fontId="0" fillId="0" borderId="0" xfId="0" applyNumberFormat="1"/>
    <xf numFmtId="41" fontId="29" fillId="0" borderId="0" xfId="0" applyNumberFormat="1" applyFont="1"/>
    <xf numFmtId="0" fontId="9" fillId="2" borderId="0" xfId="0" applyFont="1" applyFill="1"/>
    <xf numFmtId="0" fontId="9" fillId="2" borderId="6" xfId="0" applyFont="1" applyFill="1" applyBorder="1"/>
    <xf numFmtId="42" fontId="9" fillId="2" borderId="0" xfId="1" applyFont="1" applyFill="1" applyBorder="1" applyAlignment="1">
      <alignment vertical="center"/>
    </xf>
    <xf numFmtId="42" fontId="9" fillId="2" borderId="6" xfId="1" applyFont="1" applyFill="1" applyBorder="1" applyAlignment="1">
      <alignment vertical="center"/>
    </xf>
    <xf numFmtId="42" fontId="9" fillId="2" borderId="0" xfId="1" applyFont="1" applyFill="1" applyAlignment="1">
      <alignment vertical="center"/>
    </xf>
    <xf numFmtId="42" fontId="9" fillId="2" borderId="0" xfId="0" applyNumberFormat="1" applyFont="1" applyFill="1" applyAlignment="1">
      <alignment vertical="center"/>
    </xf>
    <xf numFmtId="42" fontId="9" fillId="2" borderId="3" xfId="1" applyFont="1" applyFill="1" applyBorder="1" applyAlignment="1">
      <alignment vertical="center"/>
    </xf>
    <xf numFmtId="164" fontId="16" fillId="2" borderId="0" xfId="0" applyNumberFormat="1" applyFont="1" applyFill="1"/>
    <xf numFmtId="0" fontId="15" fillId="2" borderId="0" xfId="0" applyFont="1" applyFill="1"/>
    <xf numFmtId="10" fontId="7" fillId="2" borderId="0" xfId="2" applyNumberFormat="1" applyFont="1" applyFill="1" applyAlignment="1">
      <alignment vertical="center"/>
    </xf>
    <xf numFmtId="6" fontId="4" fillId="2" borderId="1" xfId="0" applyNumberFormat="1" applyFont="1" applyFill="1" applyBorder="1"/>
    <xf numFmtId="167" fontId="7" fillId="2" borderId="1" xfId="2" applyNumberFormat="1" applyFont="1" applyFill="1" applyBorder="1"/>
    <xf numFmtId="167" fontId="7" fillId="2" borderId="0" xfId="0" applyNumberFormat="1" applyFont="1" applyFill="1"/>
    <xf numFmtId="0" fontId="10" fillId="2" borderId="0" xfId="0" applyFont="1" applyFill="1"/>
    <xf numFmtId="6" fontId="9" fillId="2" borderId="1" xfId="0" applyNumberFormat="1" applyFont="1" applyFill="1" applyBorder="1" applyAlignment="1">
      <alignment horizontal="right" vertical="center"/>
    </xf>
    <xf numFmtId="0" fontId="0" fillId="0" borderId="1" xfId="5" applyNumberFormat="1" applyFont="1" applyBorder="1"/>
    <xf numFmtId="0" fontId="26" fillId="2" borderId="4" xfId="0" applyFont="1" applyFill="1" applyBorder="1" applyAlignment="1">
      <alignment vertical="center"/>
    </xf>
    <xf numFmtId="0" fontId="0" fillId="2" borderId="4" xfId="0" applyFill="1" applyBorder="1"/>
    <xf numFmtId="0" fontId="11" fillId="2" borderId="0" xfId="0" applyFont="1" applyFill="1" applyBorder="1" applyAlignment="1">
      <alignment vertical="center"/>
    </xf>
    <xf numFmtId="6" fontId="11" fillId="2" borderId="0" xfId="0" applyNumberFormat="1" applyFont="1" applyFill="1" applyBorder="1" applyAlignment="1">
      <alignment horizontal="right" vertical="center"/>
    </xf>
    <xf numFmtId="169" fontId="6" fillId="2" borderId="0" xfId="0" applyNumberFormat="1" applyFont="1" applyFill="1"/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2" fontId="7" fillId="2" borderId="1" xfId="1" applyFont="1" applyFill="1" applyBorder="1" applyAlignment="1">
      <alignment horizontal="center" vertical="center" wrapText="1"/>
    </xf>
    <xf numFmtId="42" fontId="7" fillId="2" borderId="1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42" fontId="7" fillId="2" borderId="1" xfId="0" applyNumberFormat="1" applyFont="1" applyFill="1" applyBorder="1"/>
    <xf numFmtId="0" fontId="9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right"/>
    </xf>
    <xf numFmtId="6" fontId="7" fillId="2" borderId="1" xfId="0" applyNumberFormat="1" applyFont="1" applyFill="1" applyBorder="1" applyAlignment="1">
      <alignment horizontal="right"/>
    </xf>
    <xf numFmtId="42" fontId="7" fillId="2" borderId="1" xfId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center"/>
    </xf>
    <xf numFmtId="42" fontId="0" fillId="0" borderId="1" xfId="5" applyNumberFormat="1" applyFont="1" applyBorder="1"/>
    <xf numFmtId="41" fontId="7" fillId="2" borderId="0" xfId="0" applyNumberFormat="1" applyFont="1" applyFill="1" applyAlignment="1">
      <alignment vertical="center"/>
    </xf>
    <xf numFmtId="0" fontId="10" fillId="2" borderId="1" xfId="0" applyFont="1" applyFill="1" applyBorder="1" applyAlignment="1">
      <alignment horizontal="center" wrapText="1"/>
    </xf>
    <xf numFmtId="9" fontId="7" fillId="2" borderId="0" xfId="0" applyNumberFormat="1" applyFont="1" applyFill="1"/>
    <xf numFmtId="0" fontId="0" fillId="2" borderId="0" xfId="0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6" fontId="12" fillId="2" borderId="1" xfId="0" applyNumberFormat="1" applyFont="1" applyFill="1" applyBorder="1" applyAlignment="1">
      <alignment horizontal="right" vertical="center"/>
    </xf>
    <xf numFmtId="167" fontId="12" fillId="2" borderId="1" xfId="2" applyNumberFormat="1" applyFont="1" applyFill="1" applyBorder="1" applyAlignment="1">
      <alignment vertical="center"/>
    </xf>
    <xf numFmtId="6" fontId="25" fillId="0" borderId="1" xfId="5" applyNumberFormat="1" applyFont="1" applyBorder="1"/>
    <xf numFmtId="0" fontId="0" fillId="2" borderId="1" xfId="0" applyFill="1" applyBorder="1"/>
    <xf numFmtId="0" fontId="27" fillId="2" borderId="0" xfId="0" applyFont="1" applyFill="1" applyBorder="1" applyAlignment="1">
      <alignment horizontal="center"/>
    </xf>
    <xf numFmtId="0" fontId="27" fillId="2" borderId="13" xfId="0" applyFont="1" applyFill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/>
    </xf>
    <xf numFmtId="0" fontId="18" fillId="0" borderId="9" xfId="0" applyFont="1" applyBorder="1" applyAlignment="1">
      <alignment horizontal="center"/>
    </xf>
    <xf numFmtId="17" fontId="9" fillId="2" borderId="0" xfId="0" quotePrefix="1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3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9" fontId="7" fillId="2" borderId="7" xfId="2" applyFont="1" applyFill="1" applyBorder="1" applyAlignment="1">
      <alignment horizontal="center" vertical="center"/>
    </xf>
    <xf numFmtId="9" fontId="7" fillId="2" borderId="8" xfId="2" applyFont="1" applyFill="1" applyBorder="1" applyAlignment="1">
      <alignment horizontal="center" vertical="center"/>
    </xf>
    <xf numFmtId="3" fontId="17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2" fillId="3" borderId="0" xfId="0" applyFont="1" applyFill="1" applyAlignment="1">
      <alignment vertical="center"/>
    </xf>
    <xf numFmtId="17" fontId="6" fillId="2" borderId="0" xfId="0" quotePrefix="1" applyNumberFormat="1" applyFont="1" applyFill="1" applyAlignment="1">
      <alignment horizontal="center"/>
    </xf>
  </cellXfs>
  <cellStyles count="6">
    <cellStyle name="Millares" xfId="3" builtinId="3"/>
    <cellStyle name="Millares [0]" xfId="5" builtinId="6"/>
    <cellStyle name="Moneda [0]" xfId="1" builtinId="7"/>
    <cellStyle name="Moneda [0] 2" xfId="4" xr:uid="{EAF07D46-4F98-4744-9BB5-2F499B586CD6}"/>
    <cellStyle name="Normal" xfId="0" builtinId="0"/>
    <cellStyle name="Porcentaje" xfId="2" builtinId="5"/>
  </cellStyles>
  <dxfs count="2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ill>
        <patternFill patternType="solid">
          <fgColor indexed="64"/>
          <bgColor rgb="FFF6FAFC"/>
        </patternFill>
      </fill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ill>
        <patternFill patternType="solid">
          <fgColor indexed="64"/>
          <bgColor rgb="FFF6FAFC"/>
        </patternFill>
      </fill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ill>
        <patternFill patternType="solid">
          <fgColor indexed="64"/>
          <bgColor rgb="FFF6FAFC"/>
        </patternFill>
      </fill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ill>
        <patternFill patternType="solid">
          <fgColor indexed="64"/>
          <bgColor rgb="FFF6FAFC"/>
        </patternFill>
      </fill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6FAFC"/>
        </patternFill>
      </fill>
    </dxf>
    <dxf>
      <fill>
        <patternFill patternType="solid">
          <fgColor indexed="64"/>
          <bgColor rgb="FFF6FA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-&quot;$&quot;\ * #,##0_-;\-&quot;$&quot;\ * #,##0_-;_-&quot;$&quot;\ * &quot;-&quot;_-;_-@_-"/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 style="medium">
          <color theme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48B4A1-225B-415E-9E58-79C25A42ED49}" name="Ingresos" displayName="Ingresos" ref="C8:N9" headerRowCount="0" totalsRowCount="1" dataCellStyle="Moneda [0]">
  <tableColumns count="12">
    <tableColumn id="1" xr3:uid="{E857ADD3-5E3C-44BA-B23D-14333389F41D}" name="Columna1" totalsRowFunction="sum" totalsRowDxfId="262" dataCellStyle="Moneda [0]"/>
    <tableColumn id="2" xr3:uid="{71393CB9-E5D6-4A55-B0C5-C1BCF48C880C}" name="Columna2" totalsRowFunction="sum" dataDxfId="261" totalsRowDxfId="260" dataCellStyle="Moneda [0]">
      <calculatedColumnFormula>'Contabilización Año 1'!F87</calculatedColumnFormula>
    </tableColumn>
    <tableColumn id="3" xr3:uid="{46266666-E239-4D53-9ADB-B7FBB07849D1}" name="Columna3" totalsRowFunction="sum" dataDxfId="259" totalsRowDxfId="258" dataCellStyle="Moneda [0]">
      <calculatedColumnFormula>'Contabilización Año 1'!G87</calculatedColumnFormula>
    </tableColumn>
    <tableColumn id="4" xr3:uid="{291DC3C4-C9B6-4F45-806C-CB4C31E9207B}" name="Columna4" totalsRowFunction="sum" dataDxfId="257" totalsRowDxfId="256" dataCellStyle="Moneda [0]">
      <calculatedColumnFormula>'Contabilización Año 1'!H87</calculatedColumnFormula>
    </tableColumn>
    <tableColumn id="5" xr3:uid="{11A27A78-BD59-41B0-A91C-71A2BE978194}" name="Columna5" totalsRowFunction="sum" dataDxfId="255" totalsRowDxfId="254" dataCellStyle="Moneda [0]">
      <calculatedColumnFormula>'Contabilización Año 1'!I87</calculatedColumnFormula>
    </tableColumn>
    <tableColumn id="6" xr3:uid="{E602A94C-9B05-4520-A95B-293CE202CF99}" name="Columna6" totalsRowFunction="sum" dataDxfId="253" totalsRowDxfId="252" dataCellStyle="Moneda [0]">
      <calculatedColumnFormula>'Contabilización Año 1'!J87</calculatedColumnFormula>
    </tableColumn>
    <tableColumn id="7" xr3:uid="{97DFE2F7-4091-4EDA-8E77-6E64044C9133}" name="Columna7" totalsRowFunction="sum" dataDxfId="251" totalsRowDxfId="250" dataCellStyle="Moneda [0]">
      <calculatedColumnFormula>'Contabilización Año 1'!K87</calculatedColumnFormula>
    </tableColumn>
    <tableColumn id="8" xr3:uid="{9B11EA26-0673-4E3A-AB7F-562397DDCE9C}" name="Columna8" totalsRowFunction="sum" dataDxfId="249" totalsRowDxfId="248" dataCellStyle="Moneda [0]">
      <calculatedColumnFormula>'Contabilización Año 1'!L87</calculatedColumnFormula>
    </tableColumn>
    <tableColumn id="9" xr3:uid="{7EF8856A-83B1-4DAC-9D9F-60C1038E2A33}" name="Columna9" totalsRowFunction="sum" dataDxfId="247" totalsRowDxfId="246" dataCellStyle="Moneda [0]">
      <calculatedColumnFormula>'Contabilización Año 1'!M87</calculatedColumnFormula>
    </tableColumn>
    <tableColumn id="10" xr3:uid="{B57C9C3E-A106-4A06-96EC-F6BB5F842AE1}" name="Columna10" totalsRowFunction="sum" dataDxfId="245" totalsRowDxfId="244" dataCellStyle="Moneda [0]">
      <calculatedColumnFormula>'Contabilización Año 1'!N87</calculatedColumnFormula>
    </tableColumn>
    <tableColumn id="11" xr3:uid="{CB23F3AF-6214-4A4C-B690-79B53E5B3869}" name="Columna11" totalsRowFunction="sum" dataDxfId="243" totalsRowDxfId="242" dataCellStyle="Moneda [0]">
      <calculatedColumnFormula>'Contabilización Año 1'!O87</calculatedColumnFormula>
    </tableColumn>
    <tableColumn id="12" xr3:uid="{251BD677-1CA6-4584-B52C-67703C82ABF8}" name="Columna12" totalsRowFunction="sum" dataDxfId="241" totalsRowDxfId="240" dataCellStyle="Moneda [0]">
      <calculatedColumnFormula>'Contabilización Año 1'!P87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672273-5912-4507-980E-55D148D72F00}" name="Egresos" displayName="Egresos" ref="C12:N24" headerRowCount="0" totalsRowCount="1" headerRowDxfId="239" headerRowCellStyle="Moneda [0]" dataCellStyle="Moneda [0]" totalsRowCellStyle="Moneda [0]">
  <tableColumns count="12">
    <tableColumn id="1" xr3:uid="{4D0D6BFD-963F-4809-9DD8-F871F5BE4B4B}" name="Columna1" totalsRowFunction="custom" headerRowDxfId="238" dataDxfId="237" totalsRowDxfId="236" dataCellStyle="Moneda [0]">
      <totalsRowFormula>SUM(Egresos[Columna1])</totalsRowFormula>
    </tableColumn>
    <tableColumn id="2" xr3:uid="{CE4656EE-8643-4869-B26A-2AC406C953B9}" name="Columna2" totalsRowFunction="custom" headerRowDxfId="235" dataDxfId="234" totalsRowDxfId="233" dataCellStyle="Moneda [0]">
      <totalsRowFormula>SUM(Egresos[Columna2])</totalsRowFormula>
    </tableColumn>
    <tableColumn id="3" xr3:uid="{039B6993-FC79-4FF3-9E78-82B8DD83432A}" name="Columna3" totalsRowFunction="custom" headerRowDxfId="232" dataDxfId="231" totalsRowDxfId="230" dataCellStyle="Moneda [0]">
      <totalsRowFormula>SUM(Egresos[Columna3])</totalsRowFormula>
    </tableColumn>
    <tableColumn id="4" xr3:uid="{8B12D9E1-21C9-4A2B-A068-46D9CE7D18EC}" name="Columna4" totalsRowFunction="custom" headerRowDxfId="229" dataDxfId="228" totalsRowDxfId="227" dataCellStyle="Moneda [0]">
      <totalsRowFormula>SUM(Egresos[Columna4])</totalsRowFormula>
    </tableColumn>
    <tableColumn id="5" xr3:uid="{4AB2B3E8-C820-4BDD-B450-7D63F4C45C73}" name="Columna5" totalsRowFunction="custom" headerRowDxfId="226" dataDxfId="225" totalsRowDxfId="224" dataCellStyle="Moneda [0]">
      <totalsRowFormula>SUM(Egresos[Columna5])</totalsRowFormula>
    </tableColumn>
    <tableColumn id="6" xr3:uid="{44B05147-A927-4715-941B-CFEBBAA1B119}" name="Columna6" totalsRowFunction="custom" headerRowDxfId="223" dataDxfId="222" totalsRowDxfId="221" dataCellStyle="Moneda [0]">
      <totalsRowFormula>SUM(Egresos[Columna6])</totalsRowFormula>
    </tableColumn>
    <tableColumn id="7" xr3:uid="{FC2141A6-AE37-40D4-B144-D183FCCA0525}" name="Columna7" totalsRowFunction="custom" headerRowDxfId="220" dataDxfId="219" totalsRowDxfId="218" dataCellStyle="Moneda [0]">
      <totalsRowFormula>SUM(Egresos[Columna7])</totalsRowFormula>
    </tableColumn>
    <tableColumn id="8" xr3:uid="{F0582CE3-F30E-405E-8B68-61238503371B}" name="Columna8" totalsRowFunction="custom" headerRowDxfId="217" dataDxfId="216" totalsRowDxfId="215" dataCellStyle="Moneda [0]">
      <totalsRowFormula>SUM(Egresos[Columna8])</totalsRowFormula>
    </tableColumn>
    <tableColumn id="9" xr3:uid="{F5B70E71-2DE3-4E81-950F-9CC6612053B2}" name="Columna9" totalsRowFunction="custom" headerRowDxfId="214" dataDxfId="213" totalsRowDxfId="212" dataCellStyle="Moneda [0]">
      <totalsRowFormula>SUM(Egresos[Columna9])</totalsRowFormula>
    </tableColumn>
    <tableColumn id="10" xr3:uid="{3CDD0732-C7EA-4E39-8355-74DE983C042A}" name="Columna10" totalsRowFunction="custom" headerRowDxfId="211" dataDxfId="210" totalsRowDxfId="209" dataCellStyle="Moneda [0]">
      <totalsRowFormula>SUM(Egresos[Columna10])</totalsRowFormula>
    </tableColumn>
    <tableColumn id="11" xr3:uid="{DDF9352E-5C2D-4AC6-AAC7-9F113D51CAEF}" name="Columna11" totalsRowFunction="custom" headerRowDxfId="208" dataDxfId="207" totalsRowDxfId="206" dataCellStyle="Moneda [0]">
      <totalsRowFormula>SUM(Egresos[Columna11])</totalsRowFormula>
    </tableColumn>
    <tableColumn id="12" xr3:uid="{72520FF9-645B-49BB-B508-5D5C4492AE8E}" name="Columna12" totalsRowFunction="custom" headerRowDxfId="205" dataDxfId="204" dataCellStyle="Moneda [0]">
      <totalsRowFormula>SUM(Egresos[Columna12])</totalsRow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826BC8-5E8A-4421-BE69-1CCDDEEF352F}" name="Financiamiento" displayName="Financiamiento" ref="C29:N30" headerRowCount="0" totalsRowCount="1" headerRowDxfId="203">
  <tableColumns count="12">
    <tableColumn id="1" xr3:uid="{9F4DD475-ABD5-4E6A-AB7F-A78B129DB628}" name="Columna1" totalsRowFunction="custom" headerRowDxfId="202" totalsRowDxfId="201" dataCellStyle="Moneda [0]">
      <calculatedColumnFormula>'Contabilización Año 1'!E72*-1</calculatedColumnFormula>
      <totalsRowFormula array="1">C28-Financiamiento[Columna1]</totalsRowFormula>
    </tableColumn>
    <tableColumn id="2" xr3:uid="{74A6AA93-8FD2-4CA4-BD29-F324CEE27333}" name="Columna2" totalsRowFunction="custom" headerRowDxfId="200" dataDxfId="199" totalsRowDxfId="198" dataCellStyle="Moneda [0]">
      <calculatedColumnFormula>'Contabilización Año 1'!F72*-1</calculatedColumnFormula>
      <totalsRowFormula>SUM(Financiamiento[Columna2])</totalsRowFormula>
    </tableColumn>
    <tableColumn id="3" xr3:uid="{CB7F8830-ECFD-4586-86D2-C47750FAA190}" name="Columna3" totalsRowFunction="custom" headerRowDxfId="197" dataDxfId="196" totalsRowDxfId="195" dataCellStyle="Moneda [0]">
      <calculatedColumnFormula>'Contabilización Año 1'!G72*-1</calculatedColumnFormula>
      <totalsRowFormula>SUM(Financiamiento[Columna3])</totalsRowFormula>
    </tableColumn>
    <tableColumn id="4" xr3:uid="{3AA10AB3-45B3-46BB-B4DB-21E69C82FE01}" name="Columna4" totalsRowFunction="custom" headerRowDxfId="194" dataDxfId="193" totalsRowDxfId="192" dataCellStyle="Moneda [0]">
      <calculatedColumnFormula>'Contabilización Año 1'!H72*-1</calculatedColumnFormula>
      <totalsRowFormula>SUM(Financiamiento[Columna4])</totalsRowFormula>
    </tableColumn>
    <tableColumn id="5" xr3:uid="{75E048B3-3835-4D71-9C9D-D5E0F79CE8AD}" name="Columna5" totalsRowFunction="custom" headerRowDxfId="191" dataDxfId="190" totalsRowDxfId="189" dataCellStyle="Moneda [0]">
      <calculatedColumnFormula>'Contabilización Año 1'!I72*-1</calculatedColumnFormula>
      <totalsRowFormula>SUM(Financiamiento[Columna5])</totalsRowFormula>
    </tableColumn>
    <tableColumn id="6" xr3:uid="{399F173B-0442-402A-8A6B-14DBCBB78E9F}" name="Columna6" totalsRowFunction="custom" headerRowDxfId="188" dataDxfId="187" totalsRowDxfId="186" dataCellStyle="Moneda [0]">
      <calculatedColumnFormula>'Contabilización Año 1'!J72*-1</calculatedColumnFormula>
      <totalsRowFormula>SUM(Financiamiento[Columna6])</totalsRowFormula>
    </tableColumn>
    <tableColumn id="7" xr3:uid="{D1D921EB-3C18-438D-A348-4210AE6B8FA6}" name="Columna7" totalsRowFunction="custom" headerRowDxfId="185" dataDxfId="184" totalsRowDxfId="183" dataCellStyle="Moneda [0]">
      <calculatedColumnFormula>'Contabilización Año 1'!K72*-1</calculatedColumnFormula>
      <totalsRowFormula>SUM(Financiamiento[Columna7])</totalsRowFormula>
    </tableColumn>
    <tableColumn id="8" xr3:uid="{1B71F070-6FDB-458E-8115-E11DEF372582}" name="Columna8" totalsRowFunction="custom" headerRowDxfId="182" dataDxfId="181" totalsRowDxfId="180" dataCellStyle="Moneda [0]">
      <calculatedColumnFormula>'Contabilización Año 1'!L72*-1</calculatedColumnFormula>
      <totalsRowFormula>SUM(Financiamiento[Columna8])</totalsRowFormula>
    </tableColumn>
    <tableColumn id="9" xr3:uid="{D63E4766-DCE9-49EA-AB06-3E90C8578479}" name="Columna9" totalsRowFunction="custom" headerRowDxfId="179" dataDxfId="178" totalsRowDxfId="177" dataCellStyle="Moneda [0]">
      <calculatedColumnFormula>'Contabilización Año 1'!M72*-1</calculatedColumnFormula>
      <totalsRowFormula>SUM(Financiamiento[Columna9])</totalsRowFormula>
    </tableColumn>
    <tableColumn id="10" xr3:uid="{33B20A20-EE8C-4C6C-975D-16165EC04F25}" name="Columna10" totalsRowFunction="custom" headerRowDxfId="176" dataDxfId="175" totalsRowDxfId="174" dataCellStyle="Moneda [0]">
      <calculatedColumnFormula>'Contabilización Año 1'!N72*-1</calculatedColumnFormula>
      <totalsRowFormula>SUM(Financiamiento[Columna10])</totalsRowFormula>
    </tableColumn>
    <tableColumn id="11" xr3:uid="{D8FB87BE-FE44-48D4-9DA3-67D9C2695375}" name="Columna11" totalsRowFunction="custom" headerRowDxfId="173" dataDxfId="172" totalsRowDxfId="171" dataCellStyle="Moneda [0]">
      <calculatedColumnFormula>'Contabilización Año 1'!O72*-1</calculatedColumnFormula>
      <totalsRowFormula>SUM(Financiamiento[Columna11])</totalsRowFormula>
    </tableColumn>
    <tableColumn id="12" xr3:uid="{742B92EF-5379-4FED-A02D-2D17F945802F}" name="Columna12" totalsRowFunction="custom" headerRowDxfId="170" dataDxfId="169" totalsRowDxfId="168" dataCellStyle="Moneda [0]">
      <calculatedColumnFormula>'Contabilización Año 1'!P72*-1</calculatedColumnFormula>
      <totalsRowFormula>SUM(Financiamiento[Columna12])</totalsRow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8A9DB41-6C6D-4F2B-841B-03A9FC7A0DC0}" name="Financiamiento9" displayName="Financiamiento9" ref="C33:N34" headerRowCount="0" totalsRowCount="1" headerRowDxfId="167">
  <tableColumns count="12">
    <tableColumn id="1" xr3:uid="{CEBB6EA0-0364-4EC6-A68C-AB1FDDB981FA}" name="Columna1" totalsRowFunction="custom" headerRowDxfId="166" totalsRowDxfId="165" dataCellStyle="Moneda [0]">
      <calculatedColumnFormula>'Contabilización Año 1'!E8*-1</calculatedColumnFormula>
      <totalsRowFormula>SUM(Financiamiento9[Columna1])</totalsRowFormula>
    </tableColumn>
    <tableColumn id="2" xr3:uid="{BBFA17BE-96FB-4BB4-9D4A-5BFEC8C51929}" name="Columna2" totalsRowFunction="custom" headerRowDxfId="164" dataDxfId="163" totalsRowDxfId="162" dataCellStyle="Moneda [0]">
      <calculatedColumnFormula>'Contabilización Año 1'!F8*-1</calculatedColumnFormula>
      <totalsRowFormula>SUM(Financiamiento9[Columna2])</totalsRowFormula>
    </tableColumn>
    <tableColumn id="3" xr3:uid="{B73C8711-2614-4DFF-9452-F61A6F874262}" name="Columna3" totalsRowFunction="custom" headerRowDxfId="161" dataDxfId="160" totalsRowDxfId="159" dataCellStyle="Moneda [0]">
      <calculatedColumnFormula>'Contabilización Año 1'!G8*-1</calculatedColumnFormula>
      <totalsRowFormula>SUM(Financiamiento9[Columna3])</totalsRowFormula>
    </tableColumn>
    <tableColumn id="4" xr3:uid="{1921D442-3312-496F-AEEE-1F4C4ABF8286}" name="Columna4" totalsRowFunction="custom" headerRowDxfId="158" dataDxfId="157" totalsRowDxfId="156" dataCellStyle="Moneda [0]">
      <calculatedColumnFormula>'Contabilización Año 1'!H8*-1</calculatedColumnFormula>
      <totalsRowFormula>SUM(Financiamiento9[Columna4])</totalsRowFormula>
    </tableColumn>
    <tableColumn id="5" xr3:uid="{E36428F6-4654-4F79-ABE1-88D4F0CC1926}" name="Columna5" totalsRowFunction="custom" headerRowDxfId="155" dataDxfId="154" totalsRowDxfId="153" dataCellStyle="Moneda [0]">
      <calculatedColumnFormula>'Contabilización Año 1'!I8*-1</calculatedColumnFormula>
      <totalsRowFormula>SUM(Financiamiento9[Columna5])</totalsRowFormula>
    </tableColumn>
    <tableColumn id="6" xr3:uid="{6E8B4749-4DB1-4C89-A440-53EF89E67D90}" name="Columna6" totalsRowFunction="custom" headerRowDxfId="152" dataDxfId="151" totalsRowDxfId="150" dataCellStyle="Moneda [0]">
      <calculatedColumnFormula>'Contabilización Año 1'!J8*-1</calculatedColumnFormula>
      <totalsRowFormula>SUM(Financiamiento9[Columna6])</totalsRowFormula>
    </tableColumn>
    <tableColumn id="7" xr3:uid="{8765A2E2-57D1-4F14-9309-DBE8836C9571}" name="Columna7" totalsRowFunction="custom" headerRowDxfId="149" dataDxfId="148" totalsRowDxfId="147" dataCellStyle="Moneda [0]">
      <calculatedColumnFormula>'Contabilización Año 1'!K8*-1</calculatedColumnFormula>
      <totalsRowFormula>SUM(Financiamiento9[Columna7])</totalsRowFormula>
    </tableColumn>
    <tableColumn id="8" xr3:uid="{96CED596-F4D1-403D-9B9D-F453992E0A9A}" name="Columna8" totalsRowFunction="custom" headerRowDxfId="146" dataDxfId="145" totalsRowDxfId="144" dataCellStyle="Moneda [0]">
      <calculatedColumnFormula>'Contabilización Año 1'!L8*-1</calculatedColumnFormula>
      <totalsRowFormula>SUM(Financiamiento9[Columna8])</totalsRowFormula>
    </tableColumn>
    <tableColumn id="9" xr3:uid="{9A994275-4057-4645-A666-06C4660BF044}" name="Columna9" totalsRowFunction="custom" headerRowDxfId="143" dataDxfId="142" totalsRowDxfId="141" dataCellStyle="Moneda [0]">
      <calculatedColumnFormula>'Contabilización Año 1'!M8*-1</calculatedColumnFormula>
      <totalsRowFormula>SUM(Financiamiento9[Columna9])</totalsRowFormula>
    </tableColumn>
    <tableColumn id="10" xr3:uid="{476438BD-2E37-4F7F-A873-787C58AA05B4}" name="Columna10" totalsRowFunction="custom" headerRowDxfId="140" dataDxfId="139" totalsRowDxfId="138" dataCellStyle="Moneda [0]">
      <calculatedColumnFormula>'Contabilización Año 1'!N8*-1</calculatedColumnFormula>
      <totalsRowFormula>SUM(Financiamiento9[Columna10])</totalsRowFormula>
    </tableColumn>
    <tableColumn id="11" xr3:uid="{51B8AA5D-6A4A-420A-969F-E519F07BE20B}" name="Columna11" totalsRowFunction="custom" headerRowDxfId="137" dataDxfId="136" totalsRowDxfId="135" dataCellStyle="Moneda [0]">
      <calculatedColumnFormula>'Contabilización Año 1'!O8*-1</calculatedColumnFormula>
      <totalsRowFormula>SUM(Financiamiento9[Columna11])</totalsRowFormula>
    </tableColumn>
    <tableColumn id="12" xr3:uid="{D427CAD3-9ACD-431C-A67D-2090C0ECC638}" name="Columna12" totalsRowFunction="custom" headerRowDxfId="134" dataDxfId="133" totalsRowDxfId="132" dataCellStyle="Moneda [0]">
      <calculatedColumnFormula>'Contabilización Año 1'!P8*-1</calculatedColumnFormula>
      <totalsRowFormula>SUM(Financiamiento9[Columna12])</totalsRow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B1D4712-B04D-4912-AC61-34075500F727}" name="Ingresos8" displayName="Ingresos8" ref="C8:N9" headerRowCount="0" totalsRowCount="1" dataCellStyle="Moneda [0]">
  <tableColumns count="12">
    <tableColumn id="1" xr3:uid="{E83E1DCB-2F90-4E1B-B6F3-3799C6DF2E17}" name="Columna1" totalsRowFunction="sum" totalsRowDxfId="131" dataCellStyle="Moneda [0]">
      <calculatedColumnFormula>+'Contabilización Año 2'!E84</calculatedColumnFormula>
    </tableColumn>
    <tableColumn id="2" xr3:uid="{F44F6CDB-080A-45FC-A4F9-56C8F7C567E4}" name="Columna2" totalsRowFunction="sum" dataDxfId="130" totalsRowDxfId="129" dataCellStyle="Moneda [0]">
      <calculatedColumnFormula>+'Contabilización Año 2'!F84</calculatedColumnFormula>
    </tableColumn>
    <tableColumn id="3" xr3:uid="{0A3C7B5E-2487-4375-B82D-29571630A77F}" name="Columna3" totalsRowFunction="sum" dataDxfId="128" totalsRowDxfId="127" dataCellStyle="Moneda [0]">
      <calculatedColumnFormula>+'Contabilización Año 2'!G84</calculatedColumnFormula>
    </tableColumn>
    <tableColumn id="4" xr3:uid="{E8770E24-50A2-45FB-96E5-5DB309FE0A4B}" name="Columna4" totalsRowFunction="sum" dataDxfId="126" totalsRowDxfId="125" dataCellStyle="Moneda [0]">
      <calculatedColumnFormula>+'Contabilización Año 2'!H84</calculatedColumnFormula>
    </tableColumn>
    <tableColumn id="5" xr3:uid="{6A634EC5-E5A1-49A6-895A-1F66BA3677EC}" name="Columna5" totalsRowFunction="sum" dataDxfId="124" totalsRowDxfId="123" dataCellStyle="Moneda [0]">
      <calculatedColumnFormula>+'Contabilización Año 2'!I84</calculatedColumnFormula>
    </tableColumn>
    <tableColumn id="6" xr3:uid="{994B1835-ABA1-4BAB-BFC4-97D1E0418D4F}" name="Columna6" totalsRowFunction="sum" dataDxfId="122" totalsRowDxfId="121" dataCellStyle="Moneda [0]">
      <calculatedColumnFormula>+'Contabilización Año 2'!J84</calculatedColumnFormula>
    </tableColumn>
    <tableColumn id="7" xr3:uid="{F1A56A81-7432-4972-A7D6-9149ACC5C30E}" name="Columna7" totalsRowFunction="sum" dataDxfId="120" totalsRowDxfId="119" dataCellStyle="Moneda [0]">
      <calculatedColumnFormula>+'Contabilización Año 2'!K84</calculatedColumnFormula>
    </tableColumn>
    <tableColumn id="8" xr3:uid="{B35A274A-B72B-4EBC-8E84-BBB2CF7F6153}" name="Columna8" totalsRowFunction="sum" dataDxfId="118" totalsRowDxfId="117" dataCellStyle="Moneda [0]">
      <calculatedColumnFormula>+'Contabilización Año 2'!L84</calculatedColumnFormula>
    </tableColumn>
    <tableColumn id="9" xr3:uid="{25A76858-7D42-413E-92FD-F54738FBEE08}" name="Columna9" totalsRowFunction="sum" dataDxfId="116" totalsRowDxfId="115" dataCellStyle="Moneda [0]">
      <calculatedColumnFormula>+'Contabilización Año 2'!M84</calculatedColumnFormula>
    </tableColumn>
    <tableColumn id="10" xr3:uid="{39247302-7962-4401-859B-00AFCE599329}" name="Columna10" totalsRowFunction="sum" dataDxfId="114" totalsRowDxfId="113" dataCellStyle="Moneda [0]">
      <calculatedColumnFormula>+'Contabilización Año 2'!N84</calculatedColumnFormula>
    </tableColumn>
    <tableColumn id="11" xr3:uid="{2116A4EF-B5E4-4AEF-8A2C-817BBA4B0A72}" name="Columna11" totalsRowFunction="sum" dataDxfId="112" totalsRowDxfId="111" dataCellStyle="Moneda [0]">
      <calculatedColumnFormula>+'Contabilización Año 2'!O84</calculatedColumnFormula>
    </tableColumn>
    <tableColumn id="12" xr3:uid="{4207C3AD-2694-4B07-B921-9B6BEE5A3F05}" name="Columna12" totalsRowFunction="sum" dataDxfId="110" totalsRowDxfId="109" dataCellStyle="Moneda [0]">
      <calculatedColumnFormula>+'Contabilización Año 2'!P84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8540DA4-A834-4C0A-BD11-3DF1130D1157}" name="Egresos10" displayName="Egresos10" ref="C12:N26" headerRowCount="0" totalsRowCount="1" headerRowDxfId="108" headerRowCellStyle="Moneda [0]" dataCellStyle="Moneda [0]" totalsRowCellStyle="Moneda [0]">
  <tableColumns count="12">
    <tableColumn id="1" xr3:uid="{6AC3E65B-E504-45C5-B37E-E816E05CE7ED}" name="Columna1" totalsRowFunction="custom" headerRowDxfId="107" dataDxfId="106" totalsRowDxfId="105" dataCellStyle="Moneda [0]">
      <totalsRowFormula>SUM(Egresos10[Columna1])</totalsRowFormula>
    </tableColumn>
    <tableColumn id="2" xr3:uid="{7494052A-11CD-426B-96C0-EFC4BD8D7FF6}" name="Columna2" totalsRowFunction="custom" headerRowDxfId="104" dataDxfId="103" totalsRowDxfId="102" dataCellStyle="Moneda [0]">
      <totalsRowFormula>SUM(Egresos10[Columna2])</totalsRowFormula>
    </tableColumn>
    <tableColumn id="3" xr3:uid="{8D1ED9F7-31FC-45D9-94FF-F59B7A4E8554}" name="Columna3" totalsRowFunction="custom" headerRowDxfId="101" dataDxfId="100" totalsRowDxfId="99" dataCellStyle="Moneda [0]">
      <totalsRowFormula>SUM(Egresos10[Columna3])</totalsRowFormula>
    </tableColumn>
    <tableColumn id="4" xr3:uid="{F8A97AD5-B129-4F93-8491-F86F870E6B31}" name="Columna4" totalsRowFunction="custom" headerRowDxfId="98" dataDxfId="97" totalsRowDxfId="96" dataCellStyle="Moneda [0]">
      <totalsRowFormula>SUM(Egresos10[Columna4])</totalsRowFormula>
    </tableColumn>
    <tableColumn id="5" xr3:uid="{0C42CC9E-0FF3-4F81-96C7-DB1507B85E72}" name="Columna5" totalsRowFunction="custom" headerRowDxfId="95" dataDxfId="94" totalsRowDxfId="93" dataCellStyle="Moneda [0]">
      <totalsRowFormula>SUM(Egresos10[Columna5])</totalsRowFormula>
    </tableColumn>
    <tableColumn id="6" xr3:uid="{5B6DDF47-7AAF-4F2D-B01D-7461E49DE023}" name="Columna6" totalsRowFunction="custom" headerRowDxfId="92" dataDxfId="91" totalsRowDxfId="90" dataCellStyle="Moneda [0]">
      <totalsRowFormula>SUM(Egresos10[Columna6])</totalsRowFormula>
    </tableColumn>
    <tableColumn id="7" xr3:uid="{50FFB3FD-B966-4253-B07C-FB35064B0DD8}" name="Columna7" totalsRowFunction="custom" headerRowDxfId="89" dataDxfId="88" totalsRowDxfId="87" dataCellStyle="Moneda [0]">
      <totalsRowFormula>SUM(Egresos10[Columna7])</totalsRowFormula>
    </tableColumn>
    <tableColumn id="8" xr3:uid="{1E949E84-7D55-4C0D-B835-2F2A5798E0D2}" name="Columna8" totalsRowFunction="custom" headerRowDxfId="86" dataDxfId="85" totalsRowDxfId="84" dataCellStyle="Moneda [0]">
      <totalsRowFormula>SUM(Egresos10[Columna8])</totalsRowFormula>
    </tableColumn>
    <tableColumn id="9" xr3:uid="{D6BD3034-01D1-443A-A700-782D0D4B623C}" name="Columna9" totalsRowFunction="custom" headerRowDxfId="83" dataDxfId="82" totalsRowDxfId="81" dataCellStyle="Moneda [0]">
      <totalsRowFormula>SUM(Egresos10[Columna9])</totalsRowFormula>
    </tableColumn>
    <tableColumn id="10" xr3:uid="{D881C580-B7A4-443A-9F7D-AF63EEAB3B93}" name="Columna10" totalsRowFunction="custom" headerRowDxfId="80" dataDxfId="79" totalsRowDxfId="78" dataCellStyle="Moneda [0]">
      <totalsRowFormula>SUM(Egresos10[Columna10])</totalsRowFormula>
    </tableColumn>
    <tableColumn id="11" xr3:uid="{63E9F68F-F615-42B2-9BBC-6F854F1C0F41}" name="Columna11" totalsRowFunction="custom" headerRowDxfId="77" dataDxfId="76" totalsRowDxfId="75" dataCellStyle="Moneda [0]">
      <totalsRowFormula>SUM(Egresos10[Columna11])</totalsRowFormula>
    </tableColumn>
    <tableColumn id="12" xr3:uid="{A7016121-5CDC-47F9-A55B-2007000226EF}" name="Columna12" totalsRowFunction="custom" headerRowDxfId="74" dataDxfId="73" totalsRowDxfId="72" dataCellStyle="Moneda [0]">
      <totalsRowFormula>SUM(Egresos10[Columna12])</totalsRow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23BC016-5AB3-438C-A6C2-F55088E14279}" name="Financiamiento11" displayName="Financiamiento11" ref="C31:N32" headerRowCount="0" totalsRowCount="1" headerRowDxfId="71">
  <tableColumns count="12">
    <tableColumn id="1" xr3:uid="{A174B4A0-CEEB-46E3-A8F0-F2D26D2700A7}" name="Columna1" totalsRowFunction="custom" headerRowDxfId="70" totalsRowDxfId="69" dataCellStyle="Moneda [0]">
      <calculatedColumnFormula>-'Contabilización Año 2'!E72</calculatedColumnFormula>
      <totalsRowFormula array="1">C30-Financiamiento11[Columna1]</totalsRowFormula>
    </tableColumn>
    <tableColumn id="2" xr3:uid="{3FE3106B-50CA-4FF9-BC3C-CE818A4DF0EB}" name="Columna2" totalsRowFunction="custom" headerRowDxfId="68" dataDxfId="67" totalsRowDxfId="66" dataCellStyle="Moneda [0]">
      <calculatedColumnFormula>-'Contabilización Año 2'!F72</calculatedColumnFormula>
      <totalsRowFormula>SUM(Financiamiento11[Columna2])</totalsRowFormula>
    </tableColumn>
    <tableColumn id="3" xr3:uid="{F6242C82-DAAE-478B-8C17-3BFFA7F829F6}" name="Columna3" totalsRowFunction="custom" headerRowDxfId="65" dataDxfId="64" totalsRowDxfId="63" dataCellStyle="Moneda [0]">
      <calculatedColumnFormula>-'Contabilización Año 2'!G72</calculatedColumnFormula>
      <totalsRowFormula>SUM(Financiamiento11[Columna3])</totalsRowFormula>
    </tableColumn>
    <tableColumn id="4" xr3:uid="{44A9CAC9-AFC5-40BB-8F48-328150D93158}" name="Columna4" totalsRowFunction="custom" headerRowDxfId="62" dataDxfId="61" totalsRowDxfId="60" dataCellStyle="Moneda [0]">
      <calculatedColumnFormula>-'Contabilización Año 2'!H72</calculatedColumnFormula>
      <totalsRowFormula>SUM(Financiamiento11[Columna4])</totalsRowFormula>
    </tableColumn>
    <tableColumn id="5" xr3:uid="{74DA5026-282B-452E-B41A-98DE969EEC44}" name="Columna5" totalsRowFunction="custom" headerRowDxfId="59" dataDxfId="58" totalsRowDxfId="57" dataCellStyle="Moneda [0]">
      <calculatedColumnFormula>-'Contabilización Año 2'!I72</calculatedColumnFormula>
      <totalsRowFormula>SUM(Financiamiento11[Columna5])</totalsRowFormula>
    </tableColumn>
    <tableColumn id="6" xr3:uid="{AD162446-F31B-43E5-862B-FB8D0DB158AD}" name="Columna6" totalsRowFunction="custom" headerRowDxfId="56" dataDxfId="55" totalsRowDxfId="54" dataCellStyle="Moneda [0]">
      <calculatedColumnFormula>-'Contabilización Año 2'!J72</calculatedColumnFormula>
      <totalsRowFormula>SUM(Financiamiento11[Columna6])</totalsRowFormula>
    </tableColumn>
    <tableColumn id="7" xr3:uid="{DAAC0DB7-1A58-4416-80CC-CB1C4655AA11}" name="Columna7" totalsRowFunction="custom" headerRowDxfId="53" dataDxfId="52" totalsRowDxfId="51" dataCellStyle="Moneda [0]">
      <calculatedColumnFormula>-'Contabilización Año 2'!K72</calculatedColumnFormula>
      <totalsRowFormula>SUM(Financiamiento11[Columna7])</totalsRowFormula>
    </tableColumn>
    <tableColumn id="8" xr3:uid="{510C99F2-F199-497E-B448-BC3A5FA6BE7F}" name="Columna8" totalsRowFunction="custom" headerRowDxfId="50" dataDxfId="49" totalsRowDxfId="48" dataCellStyle="Moneda [0]">
      <calculatedColumnFormula>-'Contabilización Año 2'!L72</calculatedColumnFormula>
      <totalsRowFormula>SUM(Financiamiento11[Columna8])</totalsRowFormula>
    </tableColumn>
    <tableColumn id="9" xr3:uid="{C1A8CAF3-E065-4863-9F9C-2389CFCFED0D}" name="Columna9" totalsRowFunction="custom" headerRowDxfId="47" dataDxfId="46" totalsRowDxfId="45" dataCellStyle="Moneda [0]">
      <calculatedColumnFormula>-'Contabilización Año 2'!M72</calculatedColumnFormula>
      <totalsRowFormula>SUM(Financiamiento11[Columna9])</totalsRowFormula>
    </tableColumn>
    <tableColumn id="10" xr3:uid="{88E518E8-DDCA-4C3D-AD5A-B0F5BE3B7943}" name="Columna10" totalsRowFunction="custom" headerRowDxfId="44" dataDxfId="43" totalsRowDxfId="42" dataCellStyle="Moneda [0]">
      <calculatedColumnFormula>-'Contabilización Año 2'!N72</calculatedColumnFormula>
      <totalsRowFormula>SUM(Financiamiento11[Columna10])</totalsRowFormula>
    </tableColumn>
    <tableColumn id="11" xr3:uid="{87AB2A47-BC0B-4F31-AC25-DA82E65B1A0D}" name="Columna11" totalsRowFunction="custom" headerRowDxfId="41" dataDxfId="40" totalsRowDxfId="39" dataCellStyle="Moneda [0]">
      <calculatedColumnFormula>-'Contabilización Año 2'!O72</calculatedColumnFormula>
      <totalsRowFormula>SUM(Financiamiento11[Columna11])</totalsRowFormula>
    </tableColumn>
    <tableColumn id="12" xr3:uid="{0D04CF91-A0DD-4F13-8935-F7C21B11BBF6}" name="Columna12" totalsRowFunction="custom" headerRowDxfId="38" dataDxfId="37" totalsRowDxfId="36" dataCellStyle="Moneda [0]">
      <calculatedColumnFormula>-'Contabilización Año 2'!P72</calculatedColumnFormula>
      <totalsRowFormula>SUM(Financiamiento11[Columna12])</totalsRow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06BE3CA-FC5F-4D56-A76A-C84DE0C6B349}" name="Financiamiento912" displayName="Financiamiento912" ref="C35:N36" headerRowCount="0" totalsRowCount="1" headerRowDxfId="35">
  <tableColumns count="12">
    <tableColumn id="1" xr3:uid="{E016E020-F4D4-4863-B0CE-1BAF305302DD}" name="Columna1" totalsRowFunction="custom" headerRowDxfId="34" totalsRowDxfId="33" dataCellStyle="Moneda [0]">
      <calculatedColumnFormula>-'Contabilización Año 2'!E8</calculatedColumnFormula>
      <totalsRowFormula>SUM(Financiamiento912[Columna1])</totalsRowFormula>
    </tableColumn>
    <tableColumn id="2" xr3:uid="{A262A49D-8484-4892-A5CF-B16F32B8B750}" name="Columna2" totalsRowFunction="custom" headerRowDxfId="32" dataDxfId="31" totalsRowDxfId="30" dataCellStyle="Moneda [0]">
      <calculatedColumnFormula>-'Contabilización Año 2'!F8</calculatedColumnFormula>
      <totalsRowFormula>SUM(Financiamiento912[Columna2])</totalsRowFormula>
    </tableColumn>
    <tableColumn id="3" xr3:uid="{6478A79D-CDA1-4DAD-BFF3-0A38F95BC9D9}" name="Columna3" totalsRowFunction="custom" headerRowDxfId="29" dataDxfId="28" totalsRowDxfId="27" dataCellStyle="Moneda [0]">
      <calculatedColumnFormula>-'Contabilización Año 2'!G8</calculatedColumnFormula>
      <totalsRowFormula>SUM(Financiamiento912[Columna3])</totalsRowFormula>
    </tableColumn>
    <tableColumn id="4" xr3:uid="{07B1BACC-FAC5-4FA4-84E6-912062E18050}" name="Columna4" totalsRowFunction="custom" headerRowDxfId="26" dataDxfId="25" totalsRowDxfId="24" dataCellStyle="Moneda [0]">
      <calculatedColumnFormula>-'Contabilización Año 2'!H8</calculatedColumnFormula>
      <totalsRowFormula>SUM(Financiamiento912[Columna4])</totalsRowFormula>
    </tableColumn>
    <tableColumn id="5" xr3:uid="{CB54B917-EDE8-4333-B90F-FF35126280DA}" name="Columna5" totalsRowFunction="custom" headerRowDxfId="23" dataDxfId="22" totalsRowDxfId="21" dataCellStyle="Moneda [0]">
      <calculatedColumnFormula>-'Contabilización Año 2'!I8</calculatedColumnFormula>
      <totalsRowFormula>SUM(Financiamiento912[Columna5])</totalsRowFormula>
    </tableColumn>
    <tableColumn id="6" xr3:uid="{ADD4865D-C1C8-4327-95CB-8453F054BAB2}" name="Columna6" totalsRowFunction="custom" headerRowDxfId="20" dataDxfId="19" totalsRowDxfId="18" dataCellStyle="Moneda [0]">
      <calculatedColumnFormula>-'Contabilización Año 2'!J8</calculatedColumnFormula>
      <totalsRowFormula>SUM(Financiamiento912[Columna6])</totalsRowFormula>
    </tableColumn>
    <tableColumn id="7" xr3:uid="{E7DECA47-53E9-45FE-AE04-AF19C4B50CFD}" name="Columna7" totalsRowFunction="custom" headerRowDxfId="17" dataDxfId="16" totalsRowDxfId="15" dataCellStyle="Moneda [0]">
      <calculatedColumnFormula>-'Contabilización Año 2'!K8</calculatedColumnFormula>
      <totalsRowFormula>SUM(Financiamiento912[Columna7])</totalsRowFormula>
    </tableColumn>
    <tableColumn id="8" xr3:uid="{4293FAC0-5A5C-4A97-9C97-D35A106685BE}" name="Columna8" totalsRowFunction="custom" headerRowDxfId="14" dataDxfId="13" totalsRowDxfId="12" dataCellStyle="Moneda [0]">
      <calculatedColumnFormula>-'Contabilización Año 2'!L8</calculatedColumnFormula>
      <totalsRowFormula>SUM(Financiamiento912[Columna8])</totalsRowFormula>
    </tableColumn>
    <tableColumn id="9" xr3:uid="{28B0A734-FA89-488E-BA3A-BDC6CDE41B40}" name="Columna9" totalsRowFunction="custom" headerRowDxfId="11" dataDxfId="10" totalsRowDxfId="9" dataCellStyle="Moneda [0]">
      <calculatedColumnFormula>-'Contabilización Año 2'!M8</calculatedColumnFormula>
      <totalsRowFormula>SUM(Financiamiento912[Columna9])</totalsRowFormula>
    </tableColumn>
    <tableColumn id="10" xr3:uid="{7DED2325-D9ED-4927-81A4-F4DE3E3FFF9C}" name="Columna10" totalsRowFunction="custom" headerRowDxfId="8" dataDxfId="7" totalsRowDxfId="6" dataCellStyle="Moneda [0]">
      <calculatedColumnFormula>-'Contabilización Año 2'!N8</calculatedColumnFormula>
      <totalsRowFormula>SUM(Financiamiento912[Columna10])</totalsRowFormula>
    </tableColumn>
    <tableColumn id="11" xr3:uid="{175DC800-B759-4E73-BAAE-EE4ACF2B75C7}" name="Columna11" totalsRowFunction="custom" headerRowDxfId="5" dataDxfId="4" totalsRowDxfId="3" dataCellStyle="Moneda [0]">
      <calculatedColumnFormula>-'Contabilización Año 2'!O8</calculatedColumnFormula>
      <totalsRowFormula>SUM(Financiamiento912[Columna11])</totalsRowFormula>
    </tableColumn>
    <tableColumn id="12" xr3:uid="{D1F8E0D2-FA82-4795-9B5A-D2D28B1A216D}" name="Columna12" totalsRowFunction="custom" headerRowDxfId="2" dataDxfId="1" totalsRowDxfId="0" dataCellStyle="Moneda [0]">
      <calculatedColumnFormula>-'Contabilización Año 2'!P8</calculatedColumnFormula>
      <totalsRowFormula>SUM(Financiamiento912[Columna12])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0D67-140F-411D-865C-771FCEACC602}">
  <dimension ref="A1:Q94"/>
  <sheetViews>
    <sheetView tabSelected="1" zoomScale="90" zoomScaleNormal="70" workbookViewId="0">
      <selection activeCell="D6" sqref="D6"/>
    </sheetView>
  </sheetViews>
  <sheetFormatPr baseColWidth="10" defaultColWidth="10.81640625" defaultRowHeight="15.5" x14ac:dyDescent="0.35"/>
  <cols>
    <col min="1" max="1" width="10.81640625" style="83"/>
    <col min="2" max="2" width="13.54296875" style="167" bestFit="1" customWidth="1"/>
    <col min="3" max="3" width="46.1796875" style="82" customWidth="1"/>
    <col min="4" max="17" width="17.453125" style="82" customWidth="1"/>
    <col min="18" max="28" width="16.54296875" style="83" bestFit="1" customWidth="1"/>
    <col min="29" max="16384" width="10.81640625" style="83"/>
  </cols>
  <sheetData>
    <row r="1" spans="2:5" ht="18" x14ac:dyDescent="0.4">
      <c r="C1" s="179" t="s">
        <v>106</v>
      </c>
      <c r="D1" s="179"/>
    </row>
    <row r="3" spans="2:5" ht="16" thickBot="1" x14ac:dyDescent="0.4">
      <c r="C3" s="182" t="s">
        <v>104</v>
      </c>
      <c r="D3" s="182"/>
    </row>
    <row r="4" spans="2:5" ht="16" thickBot="1" x14ac:dyDescent="0.4">
      <c r="C4" s="84" t="s">
        <v>105</v>
      </c>
      <c r="D4" s="85">
        <v>84918</v>
      </c>
    </row>
    <row r="5" spans="2:5" x14ac:dyDescent="0.35">
      <c r="C5" s="86" t="s">
        <v>103</v>
      </c>
      <c r="D5" s="87">
        <f>D4*1.9</f>
        <v>161344.19999999998</v>
      </c>
    </row>
    <row r="6" spans="2:5" x14ac:dyDescent="0.35">
      <c r="C6" s="88" t="s">
        <v>263</v>
      </c>
      <c r="D6" s="89">
        <f>D5*8</f>
        <v>1290753.5999999999</v>
      </c>
    </row>
    <row r="7" spans="2:5" x14ac:dyDescent="0.35">
      <c r="C7" s="88" t="s">
        <v>261</v>
      </c>
      <c r="D7" s="89">
        <f>D6*5</f>
        <v>6453767.9999999991</v>
      </c>
    </row>
    <row r="8" spans="2:5" x14ac:dyDescent="0.35">
      <c r="C8" s="88" t="s">
        <v>262</v>
      </c>
      <c r="D8" s="89">
        <f>D7*4</f>
        <v>25815071.999999996</v>
      </c>
    </row>
    <row r="9" spans="2:5" x14ac:dyDescent="0.35">
      <c r="C9" s="88" t="s">
        <v>274</v>
      </c>
      <c r="D9" s="89">
        <f>D8*0.65</f>
        <v>16779796.799999997</v>
      </c>
    </row>
    <row r="10" spans="2:5" x14ac:dyDescent="0.35">
      <c r="C10" s="146"/>
      <c r="D10" s="147"/>
    </row>
    <row r="11" spans="2:5" ht="42" x14ac:dyDescent="0.35">
      <c r="B11" s="168" t="s">
        <v>264</v>
      </c>
      <c r="C11" s="151" t="s">
        <v>249</v>
      </c>
      <c r="D11" s="165" t="s">
        <v>248</v>
      </c>
      <c r="E11" s="168" t="s">
        <v>273</v>
      </c>
    </row>
    <row r="12" spans="2:5" x14ac:dyDescent="0.35">
      <c r="B12" s="170">
        <f>120*0.65</f>
        <v>78</v>
      </c>
      <c r="C12" s="170" t="s">
        <v>24</v>
      </c>
      <c r="D12" s="89">
        <f>D9</f>
        <v>16779796.799999997</v>
      </c>
      <c r="E12" s="176"/>
    </row>
    <row r="13" spans="2:5" x14ac:dyDescent="0.35">
      <c r="B13" s="170">
        <f>ROUND((B12*(1+E13)),0)</f>
        <v>81</v>
      </c>
      <c r="C13" s="170" t="s">
        <v>25</v>
      </c>
      <c r="D13" s="89">
        <f>D12*1.038</f>
        <v>17417429.078399997</v>
      </c>
      <c r="E13" s="169">
        <f>(D13-D12)/D12</f>
        <v>3.800000000000002E-2</v>
      </c>
    </row>
    <row r="14" spans="2:5" x14ac:dyDescent="0.35">
      <c r="B14" s="170">
        <f t="shared" ref="B14:B34" si="0">ROUND((B13*(1+E14)),0)</f>
        <v>84</v>
      </c>
      <c r="C14" s="170" t="s">
        <v>26</v>
      </c>
      <c r="D14" s="89">
        <f>D13*1.038</f>
        <v>18079291.383379199</v>
      </c>
      <c r="E14" s="169">
        <f t="shared" ref="E14:E35" si="1">(D14-D13)/D13</f>
        <v>3.8000000000000089E-2</v>
      </c>
    </row>
    <row r="15" spans="2:5" x14ac:dyDescent="0.35">
      <c r="B15" s="170">
        <f t="shared" si="0"/>
        <v>87</v>
      </c>
      <c r="C15" s="170" t="s">
        <v>27</v>
      </c>
      <c r="D15" s="89">
        <f t="shared" ref="D15:D35" si="2">D14*1.038</f>
        <v>18766304.455947608</v>
      </c>
      <c r="E15" s="169">
        <f t="shared" si="1"/>
        <v>3.7999999999999978E-2</v>
      </c>
    </row>
    <row r="16" spans="2:5" x14ac:dyDescent="0.35">
      <c r="B16" s="170">
        <f t="shared" si="0"/>
        <v>90</v>
      </c>
      <c r="C16" s="170" t="s">
        <v>28</v>
      </c>
      <c r="D16" s="89">
        <f t="shared" si="2"/>
        <v>19479424.025273617</v>
      </c>
      <c r="E16" s="169">
        <f t="shared" si="1"/>
        <v>3.8000000000000027E-2</v>
      </c>
    </row>
    <row r="17" spans="2:6" x14ac:dyDescent="0.35">
      <c r="B17" s="170">
        <f t="shared" si="0"/>
        <v>93</v>
      </c>
      <c r="C17" s="170" t="s">
        <v>29</v>
      </c>
      <c r="D17" s="89">
        <f t="shared" si="2"/>
        <v>20219642.138234016</v>
      </c>
      <c r="E17" s="169">
        <f t="shared" si="1"/>
        <v>3.8000000000000041E-2</v>
      </c>
    </row>
    <row r="18" spans="2:6" x14ac:dyDescent="0.35">
      <c r="B18" s="170">
        <f t="shared" si="0"/>
        <v>97</v>
      </c>
      <c r="C18" s="170" t="s">
        <v>81</v>
      </c>
      <c r="D18" s="89">
        <f t="shared" si="2"/>
        <v>20987988.539486907</v>
      </c>
      <c r="E18" s="169">
        <f t="shared" si="1"/>
        <v>3.7999999999999964E-2</v>
      </c>
    </row>
    <row r="19" spans="2:6" x14ac:dyDescent="0.35">
      <c r="B19" s="170">
        <f t="shared" si="0"/>
        <v>101</v>
      </c>
      <c r="C19" s="170" t="s">
        <v>82</v>
      </c>
      <c r="D19" s="89">
        <f t="shared" si="2"/>
        <v>21785532.103987411</v>
      </c>
      <c r="E19" s="169">
        <f t="shared" si="1"/>
        <v>3.8000000000000034E-2</v>
      </c>
    </row>
    <row r="20" spans="2:6" x14ac:dyDescent="0.35">
      <c r="B20" s="170">
        <f t="shared" si="0"/>
        <v>105</v>
      </c>
      <c r="C20" s="170" t="s">
        <v>83</v>
      </c>
      <c r="D20" s="89">
        <f t="shared" si="2"/>
        <v>22613382.323938932</v>
      </c>
      <c r="E20" s="169">
        <f t="shared" si="1"/>
        <v>3.7999999999999999E-2</v>
      </c>
    </row>
    <row r="21" spans="2:6" x14ac:dyDescent="0.35">
      <c r="B21" s="170">
        <f t="shared" si="0"/>
        <v>109</v>
      </c>
      <c r="C21" s="170" t="s">
        <v>84</v>
      </c>
      <c r="D21" s="89">
        <f t="shared" si="2"/>
        <v>23472690.852248613</v>
      </c>
      <c r="E21" s="169">
        <f t="shared" si="1"/>
        <v>3.8000000000000048E-2</v>
      </c>
    </row>
    <row r="22" spans="2:6" x14ac:dyDescent="0.35">
      <c r="B22" s="170">
        <f t="shared" si="0"/>
        <v>113</v>
      </c>
      <c r="C22" s="170" t="s">
        <v>85</v>
      </c>
      <c r="D22" s="89">
        <f t="shared" si="2"/>
        <v>24364653.104634061</v>
      </c>
      <c r="E22" s="169">
        <f t="shared" si="1"/>
        <v>3.8000000000000062E-2</v>
      </c>
    </row>
    <row r="23" spans="2:6" x14ac:dyDescent="0.35">
      <c r="B23" s="170">
        <f t="shared" si="0"/>
        <v>117</v>
      </c>
      <c r="C23" s="170" t="s">
        <v>86</v>
      </c>
      <c r="D23" s="89">
        <f t="shared" si="2"/>
        <v>25290509.922610156</v>
      </c>
      <c r="E23" s="169">
        <f t="shared" si="1"/>
        <v>3.800000000000002E-2</v>
      </c>
    </row>
    <row r="24" spans="2:6" x14ac:dyDescent="0.35">
      <c r="B24" s="172">
        <f t="shared" si="0"/>
        <v>121</v>
      </c>
      <c r="C24" s="172" t="s">
        <v>232</v>
      </c>
      <c r="D24" s="173">
        <f t="shared" si="2"/>
        <v>26251549.299669344</v>
      </c>
      <c r="E24" s="174">
        <f t="shared" si="1"/>
        <v>3.8000000000000068E-2</v>
      </c>
      <c r="F24" s="82" t="s">
        <v>265</v>
      </c>
    </row>
    <row r="25" spans="2:6" x14ac:dyDescent="0.35">
      <c r="B25" s="170">
        <f t="shared" si="0"/>
        <v>126</v>
      </c>
      <c r="C25" s="170" t="s">
        <v>233</v>
      </c>
      <c r="D25" s="89">
        <f t="shared" si="2"/>
        <v>27249108.173056781</v>
      </c>
      <c r="E25" s="169">
        <f t="shared" si="1"/>
        <v>3.8000000000000082E-2</v>
      </c>
    </row>
    <row r="26" spans="2:6" x14ac:dyDescent="0.35">
      <c r="B26" s="170">
        <f t="shared" si="0"/>
        <v>131</v>
      </c>
      <c r="C26" s="170" t="s">
        <v>234</v>
      </c>
      <c r="D26" s="89">
        <f t="shared" si="2"/>
        <v>28284574.283632942</v>
      </c>
      <c r="E26" s="169">
        <f t="shared" si="1"/>
        <v>3.8000000000000096E-2</v>
      </c>
    </row>
    <row r="27" spans="2:6" x14ac:dyDescent="0.35">
      <c r="B27" s="170">
        <f t="shared" si="0"/>
        <v>136</v>
      </c>
      <c r="C27" s="170" t="s">
        <v>235</v>
      </c>
      <c r="D27" s="89">
        <f t="shared" si="2"/>
        <v>29359388.106410995</v>
      </c>
      <c r="E27" s="169">
        <f t="shared" si="1"/>
        <v>3.8000000000000062E-2</v>
      </c>
    </row>
    <row r="28" spans="2:6" x14ac:dyDescent="0.35">
      <c r="B28" s="170">
        <f t="shared" si="0"/>
        <v>141</v>
      </c>
      <c r="C28" s="170" t="s">
        <v>236</v>
      </c>
      <c r="D28" s="89">
        <f t="shared" si="2"/>
        <v>30475044.854454614</v>
      </c>
      <c r="E28" s="169">
        <f t="shared" si="1"/>
        <v>3.8000000000000041E-2</v>
      </c>
    </row>
    <row r="29" spans="2:6" x14ac:dyDescent="0.35">
      <c r="B29" s="170">
        <f t="shared" si="0"/>
        <v>146</v>
      </c>
      <c r="C29" s="170" t="s">
        <v>237</v>
      </c>
      <c r="D29" s="89">
        <f t="shared" si="2"/>
        <v>31633096.558923889</v>
      </c>
      <c r="E29" s="169">
        <f t="shared" si="1"/>
        <v>3.7999999999999978E-2</v>
      </c>
    </row>
    <row r="30" spans="2:6" x14ac:dyDescent="0.35">
      <c r="B30" s="170">
        <f t="shared" si="0"/>
        <v>152</v>
      </c>
      <c r="C30" s="170" t="s">
        <v>238</v>
      </c>
      <c r="D30" s="89">
        <f t="shared" si="2"/>
        <v>32835154.228162996</v>
      </c>
      <c r="E30" s="169">
        <f t="shared" si="1"/>
        <v>3.7999999999999992E-2</v>
      </c>
    </row>
    <row r="31" spans="2:6" x14ac:dyDescent="0.35">
      <c r="B31" s="170">
        <f t="shared" si="0"/>
        <v>158</v>
      </c>
      <c r="C31" s="170" t="s">
        <v>239</v>
      </c>
      <c r="D31" s="89">
        <f t="shared" si="2"/>
        <v>34082890.088833191</v>
      </c>
      <c r="E31" s="169">
        <f t="shared" si="1"/>
        <v>3.8000000000000006E-2</v>
      </c>
    </row>
    <row r="32" spans="2:6" x14ac:dyDescent="0.35">
      <c r="B32" s="170">
        <f t="shared" si="0"/>
        <v>164</v>
      </c>
      <c r="C32" s="170" t="s">
        <v>240</v>
      </c>
      <c r="D32" s="89">
        <f t="shared" si="2"/>
        <v>35378039.912208855</v>
      </c>
      <c r="E32" s="169">
        <f t="shared" si="1"/>
        <v>3.8000000000000103E-2</v>
      </c>
    </row>
    <row r="33" spans="1:6" x14ac:dyDescent="0.35">
      <c r="B33" s="170">
        <f t="shared" si="0"/>
        <v>170</v>
      </c>
      <c r="C33" s="170" t="s">
        <v>241</v>
      </c>
      <c r="D33" s="89">
        <f t="shared" si="2"/>
        <v>36722405.428872794</v>
      </c>
      <c r="E33" s="169">
        <f t="shared" si="1"/>
        <v>3.8000000000000062E-2</v>
      </c>
    </row>
    <row r="34" spans="1:6" x14ac:dyDescent="0.35">
      <c r="B34" s="170">
        <f t="shared" si="0"/>
        <v>176</v>
      </c>
      <c r="C34" s="170" t="s">
        <v>242</v>
      </c>
      <c r="D34" s="89">
        <f t="shared" si="2"/>
        <v>38117856.835169964</v>
      </c>
      <c r="E34" s="169">
        <f t="shared" si="1"/>
        <v>3.8000000000000096E-2</v>
      </c>
    </row>
    <row r="35" spans="1:6" x14ac:dyDescent="0.35">
      <c r="B35" s="170">
        <f t="shared" ref="B35" si="3">ROUND((B34*(1+E35)),0)</f>
        <v>183</v>
      </c>
      <c r="C35" s="170" t="s">
        <v>243</v>
      </c>
      <c r="D35" s="89">
        <f t="shared" si="2"/>
        <v>39566335.394906424</v>
      </c>
      <c r="E35" s="169">
        <f t="shared" si="1"/>
        <v>3.8000000000000048E-2</v>
      </c>
    </row>
    <row r="36" spans="1:6" x14ac:dyDescent="0.35">
      <c r="A36" s="183"/>
      <c r="B36" s="183"/>
      <c r="C36" s="183"/>
      <c r="D36" s="183"/>
      <c r="E36" s="183"/>
      <c r="F36" s="183"/>
    </row>
    <row r="37" spans="1:6" x14ac:dyDescent="0.35">
      <c r="C37" s="88" t="s">
        <v>244</v>
      </c>
      <c r="D37" s="89">
        <v>8000000</v>
      </c>
    </row>
    <row r="38" spans="1:6" x14ac:dyDescent="0.35">
      <c r="C38" s="148"/>
      <c r="D38" s="149"/>
    </row>
    <row r="41" spans="1:6" x14ac:dyDescent="0.35">
      <c r="C41" s="94" t="s">
        <v>222</v>
      </c>
      <c r="D41" s="93">
        <v>20000000</v>
      </c>
    </row>
    <row r="42" spans="1:6" x14ac:dyDescent="0.35">
      <c r="C42" s="94" t="s">
        <v>221</v>
      </c>
      <c r="D42" s="93">
        <f>20%*D41</f>
        <v>4000000</v>
      </c>
    </row>
    <row r="43" spans="1:6" x14ac:dyDescent="0.35">
      <c r="C43" s="94" t="s">
        <v>272</v>
      </c>
      <c r="D43" s="140">
        <f>D42</f>
        <v>4000000</v>
      </c>
    </row>
    <row r="46" spans="1:6" ht="16" thickBot="1" x14ac:dyDescent="0.4">
      <c r="C46" s="90"/>
      <c r="D46" s="90"/>
      <c r="E46" s="90"/>
    </row>
    <row r="47" spans="1:6" ht="18.5" thickBot="1" x14ac:dyDescent="0.45">
      <c r="C47" s="178" t="s">
        <v>107</v>
      </c>
      <c r="D47" s="178"/>
      <c r="E47" s="178"/>
    </row>
    <row r="48" spans="1:6" x14ac:dyDescent="0.35">
      <c r="C48" s="91"/>
      <c r="D48" s="91" t="s">
        <v>118</v>
      </c>
      <c r="E48" s="91" t="s">
        <v>119</v>
      </c>
    </row>
    <row r="49" spans="3:17" x14ac:dyDescent="0.35">
      <c r="C49" s="92" t="s">
        <v>266</v>
      </c>
      <c r="D49" s="93">
        <v>4000000</v>
      </c>
      <c r="E49" s="93">
        <f>D49</f>
        <v>4000000</v>
      </c>
    </row>
    <row r="50" spans="3:17" x14ac:dyDescent="0.35">
      <c r="C50" s="92" t="s">
        <v>267</v>
      </c>
      <c r="D50" s="93">
        <v>3500000</v>
      </c>
      <c r="E50" s="93">
        <f>D50</f>
        <v>3500000</v>
      </c>
    </row>
    <row r="51" spans="3:17" x14ac:dyDescent="0.35">
      <c r="C51" s="92" t="s">
        <v>268</v>
      </c>
      <c r="D51" s="171">
        <v>1</v>
      </c>
      <c r="E51" s="93">
        <v>1</v>
      </c>
    </row>
    <row r="52" spans="3:17" x14ac:dyDescent="0.35">
      <c r="C52" s="92" t="s">
        <v>269</v>
      </c>
      <c r="D52" s="171">
        <v>0</v>
      </c>
      <c r="E52" s="93">
        <v>1</v>
      </c>
    </row>
    <row r="53" spans="3:17" x14ac:dyDescent="0.35">
      <c r="C53" s="92" t="s">
        <v>270</v>
      </c>
      <c r="D53" s="93">
        <f>D51*D49</f>
        <v>4000000</v>
      </c>
      <c r="E53" s="93">
        <f>E51*E49</f>
        <v>4000000</v>
      </c>
    </row>
    <row r="54" spans="3:17" x14ac:dyDescent="0.35">
      <c r="C54" s="92" t="s">
        <v>271</v>
      </c>
      <c r="D54" s="93">
        <f>D52*D50</f>
        <v>0</v>
      </c>
      <c r="E54" s="93">
        <f>E52*E50</f>
        <v>3500000</v>
      </c>
    </row>
    <row r="55" spans="3:17" x14ac:dyDescent="0.35">
      <c r="C55" s="92" t="s">
        <v>108</v>
      </c>
      <c r="D55" s="93">
        <v>2000000</v>
      </c>
      <c r="E55" s="93">
        <v>2500000</v>
      </c>
    </row>
    <row r="56" spans="3:17" x14ac:dyDescent="0.35">
      <c r="C56" s="92" t="s">
        <v>109</v>
      </c>
      <c r="D56" s="93">
        <v>2000000</v>
      </c>
      <c r="E56" s="93">
        <v>2500000</v>
      </c>
    </row>
    <row r="57" spans="3:17" x14ac:dyDescent="0.35">
      <c r="C57" s="92" t="s">
        <v>220</v>
      </c>
      <c r="D57" s="93" t="s">
        <v>45</v>
      </c>
      <c r="E57" s="93">
        <v>1500000</v>
      </c>
    </row>
    <row r="58" spans="3:17" x14ac:dyDescent="0.35">
      <c r="C58" s="92" t="s">
        <v>110</v>
      </c>
      <c r="D58" s="93">
        <v>2700000</v>
      </c>
      <c r="E58" s="93">
        <v>3500000</v>
      </c>
    </row>
    <row r="60" spans="3:17" ht="16" thickBot="1" x14ac:dyDescent="0.4">
      <c r="C60" s="90"/>
      <c r="D60" s="90"/>
      <c r="E60" s="90"/>
      <c r="F60" s="90"/>
      <c r="G60" s="90"/>
    </row>
    <row r="61" spans="3:17" ht="16" thickBot="1" x14ac:dyDescent="0.4">
      <c r="C61" s="186" t="s">
        <v>111</v>
      </c>
      <c r="D61" s="186"/>
      <c r="E61" s="186"/>
      <c r="F61" s="186"/>
      <c r="G61" s="186"/>
    </row>
    <row r="62" spans="3:17" x14ac:dyDescent="0.35">
      <c r="C62" s="184" t="s">
        <v>4</v>
      </c>
      <c r="D62" s="184" t="s">
        <v>5</v>
      </c>
      <c r="E62" s="184" t="s">
        <v>6</v>
      </c>
      <c r="F62" s="155" t="s">
        <v>118</v>
      </c>
      <c r="G62" s="155" t="s">
        <v>119</v>
      </c>
    </row>
    <row r="63" spans="3:17" x14ac:dyDescent="0.35">
      <c r="C63" s="185"/>
      <c r="D63" s="185"/>
      <c r="E63" s="185"/>
      <c r="F63" s="151" t="s">
        <v>7</v>
      </c>
      <c r="G63" s="151" t="s">
        <v>7</v>
      </c>
    </row>
    <row r="64" spans="3:17" ht="22" customHeight="1" x14ac:dyDescent="0.35">
      <c r="C64" s="152" t="s">
        <v>14</v>
      </c>
      <c r="D64" s="100" t="s">
        <v>9</v>
      </c>
      <c r="E64" s="100" t="s">
        <v>8</v>
      </c>
      <c r="F64" s="153">
        <v>35000</v>
      </c>
      <c r="G64" s="59" t="s">
        <v>250</v>
      </c>
      <c r="J64" s="83"/>
      <c r="K64" s="83"/>
      <c r="L64" s="83"/>
      <c r="M64" s="83"/>
      <c r="N64" s="83"/>
      <c r="O64" s="83"/>
      <c r="P64" s="83"/>
      <c r="Q64" s="83"/>
    </row>
    <row r="65" spans="3:17" ht="29.15" customHeight="1" x14ac:dyDescent="0.35">
      <c r="C65" s="180" t="s">
        <v>15</v>
      </c>
      <c r="D65" s="100" t="s">
        <v>11</v>
      </c>
      <c r="E65" s="100" t="s">
        <v>10</v>
      </c>
      <c r="F65" s="153">
        <v>2000000</v>
      </c>
      <c r="G65" s="156">
        <f>F65</f>
        <v>2000000</v>
      </c>
      <c r="J65" s="83"/>
      <c r="K65" s="83"/>
      <c r="L65" s="83"/>
      <c r="M65" s="83"/>
      <c r="N65" s="83"/>
      <c r="O65" s="83"/>
      <c r="P65" s="83"/>
      <c r="Q65" s="83"/>
    </row>
    <row r="66" spans="3:17" ht="29" customHeight="1" x14ac:dyDescent="0.35">
      <c r="C66" s="180"/>
      <c r="D66" s="100" t="s">
        <v>13</v>
      </c>
      <c r="E66" s="100" t="s">
        <v>12</v>
      </c>
      <c r="F66" s="153">
        <v>12000000</v>
      </c>
      <c r="G66" s="153">
        <v>1500000</v>
      </c>
      <c r="J66" s="83"/>
      <c r="K66" s="83"/>
      <c r="L66" s="83"/>
      <c r="M66" s="83"/>
      <c r="N66" s="83"/>
      <c r="O66" s="83"/>
      <c r="P66" s="83"/>
      <c r="Q66" s="83"/>
    </row>
    <row r="67" spans="3:17" ht="29.15" customHeight="1" x14ac:dyDescent="0.35">
      <c r="C67" s="180" t="s">
        <v>16</v>
      </c>
      <c r="D67" s="100" t="s">
        <v>18</v>
      </c>
      <c r="E67" s="100" t="s">
        <v>17</v>
      </c>
      <c r="F67" s="153">
        <v>3000000</v>
      </c>
      <c r="G67" s="59" t="s">
        <v>250</v>
      </c>
      <c r="J67" s="83"/>
      <c r="K67" s="83"/>
      <c r="L67" s="83"/>
      <c r="M67" s="83"/>
      <c r="N67" s="83"/>
      <c r="O67" s="83"/>
      <c r="P67" s="83"/>
      <c r="Q67" s="83"/>
    </row>
    <row r="68" spans="3:17" ht="54.5" customHeight="1" x14ac:dyDescent="0.35">
      <c r="C68" s="180"/>
      <c r="D68" s="100" t="s">
        <v>246</v>
      </c>
      <c r="E68" s="100" t="s">
        <v>19</v>
      </c>
      <c r="F68" s="153">
        <v>5000000</v>
      </c>
      <c r="G68" s="153">
        <f>F68*1.05</f>
        <v>5250000</v>
      </c>
      <c r="J68" s="83"/>
      <c r="K68" s="83"/>
      <c r="L68" s="83"/>
      <c r="M68" s="83"/>
      <c r="N68" s="83"/>
      <c r="O68" s="83"/>
      <c r="P68" s="83"/>
      <c r="Q68" s="83"/>
    </row>
    <row r="69" spans="3:17" ht="29.15" customHeight="1" x14ac:dyDescent="0.35">
      <c r="C69" s="152" t="s">
        <v>20</v>
      </c>
      <c r="D69" s="100" t="s">
        <v>21</v>
      </c>
      <c r="E69" s="100" t="s">
        <v>22</v>
      </c>
      <c r="F69" s="153">
        <v>5000000</v>
      </c>
      <c r="G69" s="153">
        <v>5000000</v>
      </c>
      <c r="J69" s="83"/>
      <c r="K69" s="83"/>
      <c r="L69" s="83"/>
      <c r="M69" s="83"/>
      <c r="N69" s="83"/>
      <c r="O69" s="83"/>
      <c r="P69" s="83"/>
      <c r="Q69" s="83"/>
    </row>
    <row r="70" spans="3:17" ht="29.15" customHeight="1" x14ac:dyDescent="0.35">
      <c r="C70" s="181" t="s">
        <v>23</v>
      </c>
      <c r="D70" s="181"/>
      <c r="E70" s="181"/>
      <c r="F70" s="154">
        <f>SUM(F64:F69)</f>
        <v>27035000</v>
      </c>
      <c r="G70" s="154">
        <f>SUM(G64:G69)</f>
        <v>13750000</v>
      </c>
      <c r="J70" s="83"/>
      <c r="K70" s="83"/>
      <c r="L70" s="83"/>
      <c r="M70" s="83"/>
      <c r="N70" s="83"/>
      <c r="O70" s="83"/>
      <c r="P70" s="83"/>
      <c r="Q70" s="83"/>
    </row>
    <row r="71" spans="3:17" x14ac:dyDescent="0.35">
      <c r="J71" s="83"/>
      <c r="K71" s="83"/>
      <c r="L71" s="83"/>
      <c r="M71" s="83"/>
      <c r="N71" s="83"/>
      <c r="O71" s="83"/>
      <c r="P71" s="83"/>
      <c r="Q71" s="83"/>
    </row>
    <row r="72" spans="3:17" ht="18" x14ac:dyDescent="0.4">
      <c r="C72" s="177" t="s">
        <v>252</v>
      </c>
      <c r="D72" s="177"/>
      <c r="E72" s="177"/>
    </row>
    <row r="73" spans="3:17" x14ac:dyDescent="0.35">
      <c r="C73" s="162" t="s">
        <v>251</v>
      </c>
      <c r="D73" s="159" t="s">
        <v>118</v>
      </c>
      <c r="E73" s="159" t="s">
        <v>119</v>
      </c>
    </row>
    <row r="74" spans="3:17" x14ac:dyDescent="0.35">
      <c r="C74" s="157" t="s">
        <v>0</v>
      </c>
      <c r="D74" s="144">
        <v>1000000</v>
      </c>
      <c r="E74" s="160">
        <f>D74*1.05</f>
        <v>1050000</v>
      </c>
      <c r="I74" s="83"/>
    </row>
    <row r="75" spans="3:17" x14ac:dyDescent="0.35">
      <c r="C75" s="157" t="s">
        <v>1</v>
      </c>
      <c r="D75" s="144">
        <v>300000</v>
      </c>
      <c r="E75" s="160">
        <f t="shared" ref="E75:E76" si="4">D75*1.05</f>
        <v>315000</v>
      </c>
      <c r="I75" s="83"/>
    </row>
    <row r="76" spans="3:17" x14ac:dyDescent="0.35">
      <c r="C76" s="157" t="s">
        <v>112</v>
      </c>
      <c r="D76" s="144">
        <v>10000000</v>
      </c>
      <c r="E76" s="160">
        <f t="shared" si="4"/>
        <v>10500000</v>
      </c>
      <c r="I76" s="83"/>
    </row>
    <row r="77" spans="3:17" x14ac:dyDescent="0.35">
      <c r="C77" s="158" t="s">
        <v>245</v>
      </c>
      <c r="D77" s="161">
        <v>0</v>
      </c>
      <c r="E77" s="161">
        <f>20%*'Estado de resultados'!E20</f>
        <v>3752721.8280028328</v>
      </c>
      <c r="I77" s="83"/>
    </row>
    <row r="78" spans="3:17" x14ac:dyDescent="0.35">
      <c r="C78" s="158" t="s">
        <v>215</v>
      </c>
      <c r="D78" s="161">
        <v>0</v>
      </c>
      <c r="E78" s="161">
        <f>20%*'Estado de resultados'!E20</f>
        <v>3752721.8280028328</v>
      </c>
      <c r="I78" s="83"/>
    </row>
    <row r="79" spans="3:17" ht="16" thickBot="1" x14ac:dyDescent="0.4">
      <c r="C79" s="90"/>
      <c r="D79" s="90"/>
      <c r="I79" s="83"/>
    </row>
    <row r="80" spans="3:17" ht="18" x14ac:dyDescent="0.4">
      <c r="C80" s="177" t="s">
        <v>113</v>
      </c>
      <c r="D80" s="177"/>
      <c r="E80" s="177"/>
    </row>
    <row r="81" spans="2:5" x14ac:dyDescent="0.35">
      <c r="D81" s="91" t="s">
        <v>118</v>
      </c>
      <c r="E81" s="91" t="s">
        <v>119</v>
      </c>
    </row>
    <row r="82" spans="2:5" x14ac:dyDescent="0.35">
      <c r="C82" s="94" t="s">
        <v>87</v>
      </c>
      <c r="D82" s="95">
        <v>23600000</v>
      </c>
    </row>
    <row r="83" spans="2:5" x14ac:dyDescent="0.35">
      <c r="C83" s="94" t="s">
        <v>38</v>
      </c>
      <c r="D83" s="95">
        <v>10000000</v>
      </c>
      <c r="E83" s="95">
        <v>1000000</v>
      </c>
    </row>
    <row r="84" spans="2:5" s="102" customFormat="1" ht="15.65" customHeight="1" x14ac:dyDescent="0.35">
      <c r="B84" s="167"/>
    </row>
    <row r="85" spans="2:5" x14ac:dyDescent="0.35">
      <c r="C85" s="94" t="s">
        <v>120</v>
      </c>
      <c r="D85" s="60">
        <v>-27000000</v>
      </c>
    </row>
    <row r="86" spans="2:5" x14ac:dyDescent="0.35">
      <c r="C86" s="94" t="s">
        <v>114</v>
      </c>
      <c r="D86" s="96">
        <v>8.3999999999999995E-3</v>
      </c>
    </row>
    <row r="87" spans="2:5" x14ac:dyDescent="0.35">
      <c r="C87" s="94" t="s">
        <v>115</v>
      </c>
      <c r="D87" s="59">
        <v>36</v>
      </c>
    </row>
    <row r="88" spans="2:5" x14ac:dyDescent="0.35">
      <c r="C88" s="94" t="s">
        <v>116</v>
      </c>
      <c r="D88" s="97">
        <f>PMT(D86,D87,D85)</f>
        <v>872228.51395928476</v>
      </c>
    </row>
    <row r="89" spans="2:5" x14ac:dyDescent="0.35">
      <c r="D89" s="98"/>
    </row>
    <row r="90" spans="2:5" x14ac:dyDescent="0.35">
      <c r="C90" s="94" t="s">
        <v>117</v>
      </c>
      <c r="D90" s="60">
        <v>-13000000</v>
      </c>
    </row>
    <row r="91" spans="2:5" x14ac:dyDescent="0.35">
      <c r="C91" s="59" t="s">
        <v>78</v>
      </c>
      <c r="D91" s="96">
        <v>8.3999999999999995E-3</v>
      </c>
    </row>
    <row r="92" spans="2:5" x14ac:dyDescent="0.35">
      <c r="C92" s="59" t="s">
        <v>79</v>
      </c>
      <c r="D92" s="59">
        <v>36</v>
      </c>
    </row>
    <row r="93" spans="2:5" x14ac:dyDescent="0.35">
      <c r="C93" s="59" t="s">
        <v>80</v>
      </c>
      <c r="D93" s="97">
        <f>PMT(D91,D92,D90)</f>
        <v>419961.87709150754</v>
      </c>
    </row>
    <row r="94" spans="2:5" x14ac:dyDescent="0.35">
      <c r="D94" s="99"/>
    </row>
  </sheetData>
  <mergeCells count="13">
    <mergeCell ref="C72:E72"/>
    <mergeCell ref="C80:E80"/>
    <mergeCell ref="C47:E47"/>
    <mergeCell ref="C1:D1"/>
    <mergeCell ref="C65:C66"/>
    <mergeCell ref="C67:C68"/>
    <mergeCell ref="C70:E70"/>
    <mergeCell ref="C3:D3"/>
    <mergeCell ref="A36:F36"/>
    <mergeCell ref="C62:C63"/>
    <mergeCell ref="D62:D63"/>
    <mergeCell ref="E62:E63"/>
    <mergeCell ref="C61:G61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8B37-B15E-47DB-88CB-D2057DC5C8AE}">
  <dimension ref="A1:R120"/>
  <sheetViews>
    <sheetView zoomScale="80" zoomScaleNormal="80" workbookViewId="0">
      <pane xSplit="4" ySplit="2" topLeftCell="E73" activePane="bottomRight" state="frozen"/>
      <selection pane="topRight" activeCell="D1" sqref="D1"/>
      <selection pane="bottomLeft" activeCell="A3" sqref="A3"/>
      <selection pane="bottomRight" activeCell="E87" sqref="E87"/>
    </sheetView>
  </sheetViews>
  <sheetFormatPr baseColWidth="10" defaultRowHeight="14.5" x14ac:dyDescent="0.35"/>
  <cols>
    <col min="1" max="1" width="35.453125" bestFit="1" customWidth="1"/>
    <col min="4" max="4" width="30.26953125" customWidth="1"/>
    <col min="5" max="5" width="28.36328125" style="114" customWidth="1"/>
    <col min="6" max="13" width="17.7265625" style="114" bestFit="1" customWidth="1"/>
    <col min="14" max="14" width="18.7265625" style="114" bestFit="1" customWidth="1"/>
    <col min="15" max="15" width="19.7265625" style="114" bestFit="1" customWidth="1"/>
    <col min="16" max="16" width="18.7265625" style="114" bestFit="1" customWidth="1"/>
    <col min="17" max="17" width="17.453125" bestFit="1" customWidth="1"/>
  </cols>
  <sheetData>
    <row r="1" spans="1:17" x14ac:dyDescent="0.35"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7" s="108" customFormat="1" ht="29" x14ac:dyDescent="0.35">
      <c r="A2" s="105" t="s">
        <v>125</v>
      </c>
      <c r="B2" s="106" t="s">
        <v>126</v>
      </c>
      <c r="C2" s="106"/>
      <c r="D2" s="106" t="s">
        <v>127</v>
      </c>
      <c r="E2" s="107" t="s">
        <v>128</v>
      </c>
      <c r="F2" s="107" t="s">
        <v>129</v>
      </c>
      <c r="G2" s="107" t="s">
        <v>130</v>
      </c>
      <c r="H2" s="107" t="s">
        <v>131</v>
      </c>
      <c r="I2" s="107" t="s">
        <v>132</v>
      </c>
      <c r="J2" s="107" t="s">
        <v>133</v>
      </c>
      <c r="K2" s="107" t="s">
        <v>134</v>
      </c>
      <c r="L2" s="107" t="s">
        <v>135</v>
      </c>
      <c r="M2" s="107" t="s">
        <v>136</v>
      </c>
      <c r="N2" s="107" t="s">
        <v>137</v>
      </c>
      <c r="O2" s="107" t="s">
        <v>138</v>
      </c>
      <c r="P2" s="107" t="s">
        <v>139</v>
      </c>
    </row>
    <row r="3" spans="1:17" x14ac:dyDescent="0.35">
      <c r="A3" s="109" t="s">
        <v>124</v>
      </c>
      <c r="B3" s="109">
        <v>3105</v>
      </c>
      <c r="C3" s="109" t="s">
        <v>43</v>
      </c>
      <c r="D3" s="109" t="s">
        <v>140</v>
      </c>
      <c r="E3" s="110">
        <f>-'Presupuesto economico'!D82</f>
        <v>-23600000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>
        <f>SUBTOTAL(9,E3:P3)</f>
        <v>-23600000</v>
      </c>
    </row>
    <row r="4" spans="1:17" x14ac:dyDescent="0.35">
      <c r="A4" s="109" t="s">
        <v>124</v>
      </c>
      <c r="B4" s="111">
        <v>1110</v>
      </c>
      <c r="C4" s="109" t="s">
        <v>141</v>
      </c>
      <c r="D4" s="109" t="s">
        <v>142</v>
      </c>
      <c r="E4" s="110">
        <f>-E3</f>
        <v>23600000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5">
        <f t="shared" ref="Q4:Q5" si="0">SUM(E4:P4)</f>
        <v>23600000</v>
      </c>
    </row>
    <row r="5" spans="1:17" x14ac:dyDescent="0.35">
      <c r="A5" s="109"/>
      <c r="B5" s="109"/>
      <c r="C5" s="109"/>
      <c r="D5" s="109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5">
        <f t="shared" si="0"/>
        <v>0</v>
      </c>
    </row>
    <row r="6" spans="1:17" x14ac:dyDescent="0.35">
      <c r="A6" s="109" t="s">
        <v>143</v>
      </c>
      <c r="B6" s="109">
        <v>1524</v>
      </c>
      <c r="C6" s="109" t="s">
        <v>141</v>
      </c>
      <c r="D6" s="109" t="s">
        <v>144</v>
      </c>
      <c r="E6" s="110">
        <v>10000000</v>
      </c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5">
        <f>SUM(E6:P6)</f>
        <v>10000000</v>
      </c>
    </row>
    <row r="7" spans="1:17" x14ac:dyDescent="0.35">
      <c r="A7" s="109" t="s">
        <v>143</v>
      </c>
      <c r="B7" s="109">
        <v>1528</v>
      </c>
      <c r="C7" s="109" t="s">
        <v>141</v>
      </c>
      <c r="D7" s="109" t="s">
        <v>145</v>
      </c>
      <c r="E7" s="110">
        <f>'Presupuesto economico'!F66</f>
        <v>12000000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5">
        <f t="shared" ref="Q7:Q70" si="1">SUM(E7:P7)</f>
        <v>12000000</v>
      </c>
    </row>
    <row r="8" spans="1:17" x14ac:dyDescent="0.35">
      <c r="A8" s="109" t="s">
        <v>143</v>
      </c>
      <c r="B8" s="111">
        <v>1110</v>
      </c>
      <c r="C8" s="109" t="s">
        <v>141</v>
      </c>
      <c r="D8" s="109" t="s">
        <v>142</v>
      </c>
      <c r="E8" s="110">
        <f>-(E6+E7)</f>
        <v>-22000000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5">
        <f t="shared" si="1"/>
        <v>-22000000</v>
      </c>
    </row>
    <row r="9" spans="1:17" x14ac:dyDescent="0.35">
      <c r="A9" s="109"/>
      <c r="B9" s="109"/>
      <c r="C9" s="109"/>
      <c r="D9" s="109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5">
        <f t="shared" si="1"/>
        <v>0</v>
      </c>
    </row>
    <row r="10" spans="1:17" x14ac:dyDescent="0.35">
      <c r="A10" s="109" t="s">
        <v>146</v>
      </c>
      <c r="B10" s="111">
        <v>1110</v>
      </c>
      <c r="C10" s="109" t="s">
        <v>141</v>
      </c>
      <c r="D10" s="109" t="s">
        <v>142</v>
      </c>
      <c r="E10" s="110">
        <f>-('Presupuesto economico'!D85+'Presupuesto economico'!D90)</f>
        <v>40000000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5">
        <f t="shared" si="1"/>
        <v>40000000</v>
      </c>
    </row>
    <row r="11" spans="1:17" x14ac:dyDescent="0.35">
      <c r="A11" s="109" t="s">
        <v>146</v>
      </c>
      <c r="B11" s="109">
        <v>2105</v>
      </c>
      <c r="C11" s="109" t="s">
        <v>147</v>
      </c>
      <c r="D11" s="109" t="s">
        <v>148</v>
      </c>
      <c r="E11" s="110">
        <f>E10*-1</f>
        <v>-40000000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5">
        <f t="shared" si="1"/>
        <v>-40000000</v>
      </c>
    </row>
    <row r="12" spans="1:17" x14ac:dyDescent="0.35">
      <c r="A12" s="109"/>
      <c r="B12" s="109"/>
      <c r="C12" s="109"/>
      <c r="D12" s="109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5">
        <f t="shared" si="1"/>
        <v>0</v>
      </c>
    </row>
    <row r="13" spans="1:17" x14ac:dyDescent="0.35">
      <c r="A13" s="109" t="s">
        <v>149</v>
      </c>
      <c r="B13" s="109">
        <v>5205</v>
      </c>
      <c r="C13" s="109" t="s">
        <v>150</v>
      </c>
      <c r="D13" s="109" t="s">
        <v>151</v>
      </c>
      <c r="E13" s="123">
        <f>SUM('Presupuesto economico'!$D$53:$D$58)</f>
        <v>10700000</v>
      </c>
      <c r="F13" s="123">
        <f>SUM('Presupuesto economico'!$D$53:$D$58)</f>
        <v>10700000</v>
      </c>
      <c r="G13" s="123">
        <f>SUM('Presupuesto economico'!$D$53:$D$58)</f>
        <v>10700000</v>
      </c>
      <c r="H13" s="123">
        <f>SUM('Presupuesto economico'!$D$53:$D$58)</f>
        <v>10700000</v>
      </c>
      <c r="I13" s="123">
        <f>SUM('Presupuesto economico'!$D$53:$D$58)</f>
        <v>10700000</v>
      </c>
      <c r="J13" s="123">
        <f>SUM('Presupuesto economico'!$D$53:$D$58)</f>
        <v>10700000</v>
      </c>
      <c r="K13" s="123">
        <f>SUM('Presupuesto economico'!$D$53:$D$58)</f>
        <v>10700000</v>
      </c>
      <c r="L13" s="123">
        <f>SUM('Presupuesto economico'!$D$53:$D$58)</f>
        <v>10700000</v>
      </c>
      <c r="M13" s="123">
        <f>SUM('Presupuesto economico'!$D$53:$D$58)</f>
        <v>10700000</v>
      </c>
      <c r="N13" s="123">
        <f>SUM('Presupuesto economico'!$D$53:$D$58)</f>
        <v>10700000</v>
      </c>
      <c r="O13" s="123">
        <f>SUM('Presupuesto economico'!$D$53:$D$58)</f>
        <v>10700000</v>
      </c>
      <c r="P13" s="123">
        <f>SUM('Presupuesto economico'!$D$53:$D$58)</f>
        <v>10700000</v>
      </c>
      <c r="Q13" s="115">
        <f t="shared" si="1"/>
        <v>128400000</v>
      </c>
    </row>
    <row r="14" spans="1:17" x14ac:dyDescent="0.35">
      <c r="A14" s="109" t="s">
        <v>149</v>
      </c>
      <c r="B14" s="109">
        <v>5205</v>
      </c>
      <c r="C14" s="109" t="s">
        <v>150</v>
      </c>
      <c r="D14" s="110" t="s">
        <v>152</v>
      </c>
      <c r="E14" s="110">
        <f>E13*0.12</f>
        <v>1284000</v>
      </c>
      <c r="F14" s="110">
        <f t="shared" ref="F14:P14" si="2">F13*0.12</f>
        <v>1284000</v>
      </c>
      <c r="G14" s="110">
        <f t="shared" si="2"/>
        <v>1284000</v>
      </c>
      <c r="H14" s="110">
        <f t="shared" si="2"/>
        <v>1284000</v>
      </c>
      <c r="I14" s="110">
        <f t="shared" si="2"/>
        <v>1284000</v>
      </c>
      <c r="J14" s="110">
        <f t="shared" si="2"/>
        <v>1284000</v>
      </c>
      <c r="K14" s="110">
        <f t="shared" si="2"/>
        <v>1284000</v>
      </c>
      <c r="L14" s="110">
        <f t="shared" si="2"/>
        <v>1284000</v>
      </c>
      <c r="M14" s="110">
        <f t="shared" si="2"/>
        <v>1284000</v>
      </c>
      <c r="N14" s="110">
        <f t="shared" si="2"/>
        <v>1284000</v>
      </c>
      <c r="O14" s="110">
        <f t="shared" si="2"/>
        <v>1284000</v>
      </c>
      <c r="P14" s="110">
        <f t="shared" si="2"/>
        <v>1284000</v>
      </c>
      <c r="Q14" s="115">
        <f t="shared" si="1"/>
        <v>15408000</v>
      </c>
    </row>
    <row r="15" spans="1:17" x14ac:dyDescent="0.35">
      <c r="A15" s="109" t="s">
        <v>149</v>
      </c>
      <c r="B15" s="109">
        <v>5205</v>
      </c>
      <c r="C15" s="109" t="s">
        <v>150</v>
      </c>
      <c r="D15" s="110" t="s">
        <v>153</v>
      </c>
      <c r="E15" s="110">
        <f>E13*0.085</f>
        <v>909500.00000000012</v>
      </c>
      <c r="F15" s="110">
        <f t="shared" ref="F15:P15" si="3">F13*0.085</f>
        <v>909500.00000000012</v>
      </c>
      <c r="G15" s="110">
        <f t="shared" si="3"/>
        <v>909500.00000000012</v>
      </c>
      <c r="H15" s="110">
        <f t="shared" si="3"/>
        <v>909500.00000000012</v>
      </c>
      <c r="I15" s="110">
        <f t="shared" si="3"/>
        <v>909500.00000000012</v>
      </c>
      <c r="J15" s="110">
        <f t="shared" si="3"/>
        <v>909500.00000000012</v>
      </c>
      <c r="K15" s="110">
        <f t="shared" si="3"/>
        <v>909500.00000000012</v>
      </c>
      <c r="L15" s="110">
        <f t="shared" si="3"/>
        <v>909500.00000000012</v>
      </c>
      <c r="M15" s="110">
        <f t="shared" si="3"/>
        <v>909500.00000000012</v>
      </c>
      <c r="N15" s="110">
        <f t="shared" si="3"/>
        <v>909500.00000000012</v>
      </c>
      <c r="O15" s="110">
        <f t="shared" si="3"/>
        <v>909500.00000000012</v>
      </c>
      <c r="P15" s="110">
        <f t="shared" si="3"/>
        <v>909500.00000000012</v>
      </c>
      <c r="Q15" s="115">
        <f t="shared" si="1"/>
        <v>10914000.000000002</v>
      </c>
    </row>
    <row r="16" spans="1:17" x14ac:dyDescent="0.35">
      <c r="A16" s="109" t="s">
        <v>149</v>
      </c>
      <c r="B16" s="109">
        <v>5205</v>
      </c>
      <c r="C16" s="109" t="s">
        <v>150</v>
      </c>
      <c r="D16" s="110" t="s">
        <v>154</v>
      </c>
      <c r="E16" s="110">
        <f>E13*0.00522</f>
        <v>55854</v>
      </c>
      <c r="F16" s="110">
        <f t="shared" ref="F16:P16" si="4">F13*0.00522</f>
        <v>55854</v>
      </c>
      <c r="G16" s="110">
        <f t="shared" si="4"/>
        <v>55854</v>
      </c>
      <c r="H16" s="110">
        <f t="shared" si="4"/>
        <v>55854</v>
      </c>
      <c r="I16" s="110">
        <f t="shared" si="4"/>
        <v>55854</v>
      </c>
      <c r="J16" s="110">
        <f t="shared" si="4"/>
        <v>55854</v>
      </c>
      <c r="K16" s="110">
        <f t="shared" si="4"/>
        <v>55854</v>
      </c>
      <c r="L16" s="110">
        <f t="shared" si="4"/>
        <v>55854</v>
      </c>
      <c r="M16" s="110">
        <f t="shared" si="4"/>
        <v>55854</v>
      </c>
      <c r="N16" s="110">
        <f t="shared" si="4"/>
        <v>55854</v>
      </c>
      <c r="O16" s="110">
        <f t="shared" si="4"/>
        <v>55854</v>
      </c>
      <c r="P16" s="110">
        <f t="shared" si="4"/>
        <v>55854</v>
      </c>
      <c r="Q16" s="115">
        <f t="shared" si="1"/>
        <v>670248</v>
      </c>
    </row>
    <row r="17" spans="1:17" x14ac:dyDescent="0.35">
      <c r="A17" s="109" t="s">
        <v>149</v>
      </c>
      <c r="B17" s="109">
        <v>5205</v>
      </c>
      <c r="C17" s="109" t="s">
        <v>150</v>
      </c>
      <c r="D17" s="110" t="s">
        <v>155</v>
      </c>
      <c r="E17" s="110">
        <f>E13*0.02</f>
        <v>214000</v>
      </c>
      <c r="F17" s="110">
        <f t="shared" ref="F17:P17" si="5">F13*0.02</f>
        <v>214000</v>
      </c>
      <c r="G17" s="110">
        <f t="shared" si="5"/>
        <v>214000</v>
      </c>
      <c r="H17" s="110">
        <f t="shared" si="5"/>
        <v>214000</v>
      </c>
      <c r="I17" s="110">
        <f t="shared" si="5"/>
        <v>214000</v>
      </c>
      <c r="J17" s="110">
        <f t="shared" si="5"/>
        <v>214000</v>
      </c>
      <c r="K17" s="110">
        <f t="shared" si="5"/>
        <v>214000</v>
      </c>
      <c r="L17" s="110">
        <f t="shared" si="5"/>
        <v>214000</v>
      </c>
      <c r="M17" s="110">
        <f t="shared" si="5"/>
        <v>214000</v>
      </c>
      <c r="N17" s="110">
        <f t="shared" si="5"/>
        <v>214000</v>
      </c>
      <c r="O17" s="110">
        <f t="shared" si="5"/>
        <v>214000</v>
      </c>
      <c r="P17" s="110">
        <f t="shared" si="5"/>
        <v>214000</v>
      </c>
      <c r="Q17" s="115">
        <f t="shared" si="1"/>
        <v>2568000</v>
      </c>
    </row>
    <row r="18" spans="1:17" x14ac:dyDescent="0.35">
      <c r="A18" s="109" t="s">
        <v>149</v>
      </c>
      <c r="B18" s="109">
        <v>5205</v>
      </c>
      <c r="C18" s="109" t="s">
        <v>150</v>
      </c>
      <c r="D18" s="110" t="s">
        <v>156</v>
      </c>
      <c r="E18" s="110">
        <f>E13*0.03</f>
        <v>321000</v>
      </c>
      <c r="F18" s="110">
        <f t="shared" ref="F18:P18" si="6">F13*0.03</f>
        <v>321000</v>
      </c>
      <c r="G18" s="110">
        <f t="shared" si="6"/>
        <v>321000</v>
      </c>
      <c r="H18" s="110">
        <f t="shared" si="6"/>
        <v>321000</v>
      </c>
      <c r="I18" s="110">
        <f t="shared" si="6"/>
        <v>321000</v>
      </c>
      <c r="J18" s="110">
        <f t="shared" si="6"/>
        <v>321000</v>
      </c>
      <c r="K18" s="110">
        <f t="shared" si="6"/>
        <v>321000</v>
      </c>
      <c r="L18" s="110">
        <f t="shared" si="6"/>
        <v>321000</v>
      </c>
      <c r="M18" s="110">
        <f t="shared" si="6"/>
        <v>321000</v>
      </c>
      <c r="N18" s="110">
        <f t="shared" si="6"/>
        <v>321000</v>
      </c>
      <c r="O18" s="110">
        <f t="shared" si="6"/>
        <v>321000</v>
      </c>
      <c r="P18" s="110">
        <f t="shared" si="6"/>
        <v>321000</v>
      </c>
      <c r="Q18" s="115">
        <f t="shared" si="1"/>
        <v>3852000</v>
      </c>
    </row>
    <row r="19" spans="1:17" x14ac:dyDescent="0.35">
      <c r="A19" s="109" t="s">
        <v>149</v>
      </c>
      <c r="B19" s="109">
        <v>5205</v>
      </c>
      <c r="C19" s="109" t="s">
        <v>150</v>
      </c>
      <c r="D19" s="110" t="s">
        <v>157</v>
      </c>
      <c r="E19" s="110">
        <f>E13*0.04</f>
        <v>428000</v>
      </c>
      <c r="F19" s="110">
        <f t="shared" ref="F19:P19" si="7">F13*0.04</f>
        <v>428000</v>
      </c>
      <c r="G19" s="110">
        <f t="shared" si="7"/>
        <v>428000</v>
      </c>
      <c r="H19" s="110">
        <f t="shared" si="7"/>
        <v>428000</v>
      </c>
      <c r="I19" s="110">
        <f t="shared" si="7"/>
        <v>428000</v>
      </c>
      <c r="J19" s="110">
        <f t="shared" si="7"/>
        <v>428000</v>
      </c>
      <c r="K19" s="110">
        <f t="shared" si="7"/>
        <v>428000</v>
      </c>
      <c r="L19" s="110">
        <f t="shared" si="7"/>
        <v>428000</v>
      </c>
      <c r="M19" s="110">
        <f t="shared" si="7"/>
        <v>428000</v>
      </c>
      <c r="N19" s="110">
        <f t="shared" si="7"/>
        <v>428000</v>
      </c>
      <c r="O19" s="110">
        <f t="shared" si="7"/>
        <v>428000</v>
      </c>
      <c r="P19" s="110">
        <f t="shared" si="7"/>
        <v>428000</v>
      </c>
      <c r="Q19" s="115">
        <f t="shared" si="1"/>
        <v>5136000</v>
      </c>
    </row>
    <row r="20" spans="1:17" x14ac:dyDescent="0.35">
      <c r="A20" s="109" t="s">
        <v>149</v>
      </c>
      <c r="B20" s="109">
        <v>5205</v>
      </c>
      <c r="C20" s="109" t="s">
        <v>150</v>
      </c>
      <c r="D20" s="110" t="s">
        <v>158</v>
      </c>
      <c r="E20" s="110">
        <f>E13*0.0833</f>
        <v>891310</v>
      </c>
      <c r="F20" s="110">
        <f t="shared" ref="F20:P20" si="8">F13*0.0833</f>
        <v>891310</v>
      </c>
      <c r="G20" s="110">
        <f t="shared" si="8"/>
        <v>891310</v>
      </c>
      <c r="H20" s="110">
        <f t="shared" si="8"/>
        <v>891310</v>
      </c>
      <c r="I20" s="110">
        <f t="shared" si="8"/>
        <v>891310</v>
      </c>
      <c r="J20" s="110">
        <f t="shared" si="8"/>
        <v>891310</v>
      </c>
      <c r="K20" s="110">
        <f t="shared" si="8"/>
        <v>891310</v>
      </c>
      <c r="L20" s="110">
        <f t="shared" si="8"/>
        <v>891310</v>
      </c>
      <c r="M20" s="110">
        <f t="shared" si="8"/>
        <v>891310</v>
      </c>
      <c r="N20" s="110">
        <f t="shared" si="8"/>
        <v>891310</v>
      </c>
      <c r="O20" s="110">
        <f t="shared" si="8"/>
        <v>891310</v>
      </c>
      <c r="P20" s="110">
        <f t="shared" si="8"/>
        <v>891310</v>
      </c>
      <c r="Q20" s="115">
        <f t="shared" si="1"/>
        <v>10695720</v>
      </c>
    </row>
    <row r="21" spans="1:17" x14ac:dyDescent="0.35">
      <c r="A21" s="109" t="s">
        <v>149</v>
      </c>
      <c r="B21" s="109">
        <v>5205</v>
      </c>
      <c r="C21" s="109" t="s">
        <v>150</v>
      </c>
      <c r="D21" s="110" t="s">
        <v>159</v>
      </c>
      <c r="E21" s="110">
        <f>E13*0.0833</f>
        <v>891310</v>
      </c>
      <c r="F21" s="110">
        <f t="shared" ref="F21:P21" si="9">F13*0.0833</f>
        <v>891310</v>
      </c>
      <c r="G21" s="110">
        <f t="shared" si="9"/>
        <v>891310</v>
      </c>
      <c r="H21" s="110">
        <f t="shared" si="9"/>
        <v>891310</v>
      </c>
      <c r="I21" s="110">
        <f t="shared" si="9"/>
        <v>891310</v>
      </c>
      <c r="J21" s="110">
        <f t="shared" si="9"/>
        <v>891310</v>
      </c>
      <c r="K21" s="110">
        <f t="shared" si="9"/>
        <v>891310</v>
      </c>
      <c r="L21" s="110">
        <f t="shared" si="9"/>
        <v>891310</v>
      </c>
      <c r="M21" s="110">
        <f t="shared" si="9"/>
        <v>891310</v>
      </c>
      <c r="N21" s="110">
        <f t="shared" si="9"/>
        <v>891310</v>
      </c>
      <c r="O21" s="110">
        <f t="shared" si="9"/>
        <v>891310</v>
      </c>
      <c r="P21" s="110">
        <f t="shared" si="9"/>
        <v>891310</v>
      </c>
      <c r="Q21" s="115">
        <f t="shared" si="1"/>
        <v>10695720</v>
      </c>
    </row>
    <row r="22" spans="1:17" x14ac:dyDescent="0.35">
      <c r="A22" s="109" t="s">
        <v>149</v>
      </c>
      <c r="B22" s="109">
        <v>5205</v>
      </c>
      <c r="C22" s="109" t="s">
        <v>150</v>
      </c>
      <c r="D22" s="110" t="s">
        <v>160</v>
      </c>
      <c r="E22" s="110">
        <f>E21*0.0833</f>
        <v>74246.122999999992</v>
      </c>
      <c r="F22" s="110">
        <f t="shared" ref="F22:P22" si="10">F21*0.0833</f>
        <v>74246.122999999992</v>
      </c>
      <c r="G22" s="110">
        <f t="shared" si="10"/>
        <v>74246.122999999992</v>
      </c>
      <c r="H22" s="110">
        <f t="shared" si="10"/>
        <v>74246.122999999992</v>
      </c>
      <c r="I22" s="110">
        <f t="shared" si="10"/>
        <v>74246.122999999992</v>
      </c>
      <c r="J22" s="110">
        <f t="shared" si="10"/>
        <v>74246.122999999992</v>
      </c>
      <c r="K22" s="110">
        <f t="shared" si="10"/>
        <v>74246.122999999992</v>
      </c>
      <c r="L22" s="110">
        <f t="shared" si="10"/>
        <v>74246.122999999992</v>
      </c>
      <c r="M22" s="110">
        <f t="shared" si="10"/>
        <v>74246.122999999992</v>
      </c>
      <c r="N22" s="110">
        <f t="shared" si="10"/>
        <v>74246.122999999992</v>
      </c>
      <c r="O22" s="110">
        <f t="shared" si="10"/>
        <v>74246.122999999992</v>
      </c>
      <c r="P22" s="110">
        <f t="shared" si="10"/>
        <v>74246.122999999992</v>
      </c>
      <c r="Q22" s="115">
        <f t="shared" si="1"/>
        <v>890953.47600000014</v>
      </c>
    </row>
    <row r="23" spans="1:17" x14ac:dyDescent="0.35">
      <c r="A23" s="109" t="s">
        <v>149</v>
      </c>
      <c r="B23" s="109">
        <v>5205</v>
      </c>
      <c r="C23" s="109" t="s">
        <v>150</v>
      </c>
      <c r="D23" s="110" t="s">
        <v>161</v>
      </c>
      <c r="E23" s="110">
        <f t="shared" ref="E23:P23" si="11">E13*0.0417</f>
        <v>446190</v>
      </c>
      <c r="F23" s="110">
        <f t="shared" si="11"/>
        <v>446190</v>
      </c>
      <c r="G23" s="110">
        <f t="shared" si="11"/>
        <v>446190</v>
      </c>
      <c r="H23" s="110">
        <f t="shared" si="11"/>
        <v>446190</v>
      </c>
      <c r="I23" s="110">
        <f t="shared" si="11"/>
        <v>446190</v>
      </c>
      <c r="J23" s="110">
        <f t="shared" si="11"/>
        <v>446190</v>
      </c>
      <c r="K23" s="110">
        <f t="shared" si="11"/>
        <v>446190</v>
      </c>
      <c r="L23" s="110">
        <f t="shared" si="11"/>
        <v>446190</v>
      </c>
      <c r="M23" s="110">
        <f t="shared" si="11"/>
        <v>446190</v>
      </c>
      <c r="N23" s="110">
        <f t="shared" si="11"/>
        <v>446190</v>
      </c>
      <c r="O23" s="110">
        <f t="shared" si="11"/>
        <v>446190</v>
      </c>
      <c r="P23" s="110">
        <f t="shared" si="11"/>
        <v>446190</v>
      </c>
      <c r="Q23" s="115">
        <f t="shared" si="1"/>
        <v>5354280</v>
      </c>
    </row>
    <row r="24" spans="1:17" x14ac:dyDescent="0.35">
      <c r="A24" s="109" t="s">
        <v>149</v>
      </c>
      <c r="B24" s="109">
        <v>2370</v>
      </c>
      <c r="C24" s="109" t="s">
        <v>162</v>
      </c>
      <c r="D24" s="109" t="s">
        <v>152</v>
      </c>
      <c r="E24" s="110">
        <f t="shared" ref="E24:P24" si="12">-E13*0.04</f>
        <v>-428000</v>
      </c>
      <c r="F24" s="110">
        <f t="shared" si="12"/>
        <v>-428000</v>
      </c>
      <c r="G24" s="110">
        <f t="shared" si="12"/>
        <v>-428000</v>
      </c>
      <c r="H24" s="110">
        <f t="shared" si="12"/>
        <v>-428000</v>
      </c>
      <c r="I24" s="110">
        <f t="shared" si="12"/>
        <v>-428000</v>
      </c>
      <c r="J24" s="110">
        <f t="shared" si="12"/>
        <v>-428000</v>
      </c>
      <c r="K24" s="110">
        <f t="shared" si="12"/>
        <v>-428000</v>
      </c>
      <c r="L24" s="110">
        <f t="shared" si="12"/>
        <v>-428000</v>
      </c>
      <c r="M24" s="110">
        <f t="shared" si="12"/>
        <v>-428000</v>
      </c>
      <c r="N24" s="110">
        <f t="shared" si="12"/>
        <v>-428000</v>
      </c>
      <c r="O24" s="110">
        <f t="shared" si="12"/>
        <v>-428000</v>
      </c>
      <c r="P24" s="110">
        <f t="shared" si="12"/>
        <v>-428000</v>
      </c>
      <c r="Q24" s="115">
        <f t="shared" si="1"/>
        <v>-5136000</v>
      </c>
    </row>
    <row r="25" spans="1:17" x14ac:dyDescent="0.35">
      <c r="A25" s="109" t="s">
        <v>149</v>
      </c>
      <c r="B25" s="109">
        <v>2370</v>
      </c>
      <c r="C25" s="109" t="s">
        <v>162</v>
      </c>
      <c r="D25" s="109" t="s">
        <v>153</v>
      </c>
      <c r="E25" s="110">
        <f t="shared" ref="E25:P25" si="13">-E13*0.04</f>
        <v>-428000</v>
      </c>
      <c r="F25" s="110">
        <f t="shared" si="13"/>
        <v>-428000</v>
      </c>
      <c r="G25" s="110">
        <f t="shared" si="13"/>
        <v>-428000</v>
      </c>
      <c r="H25" s="110">
        <f t="shared" si="13"/>
        <v>-428000</v>
      </c>
      <c r="I25" s="110">
        <f t="shared" si="13"/>
        <v>-428000</v>
      </c>
      <c r="J25" s="110">
        <f t="shared" si="13"/>
        <v>-428000</v>
      </c>
      <c r="K25" s="110">
        <f t="shared" si="13"/>
        <v>-428000</v>
      </c>
      <c r="L25" s="110">
        <f t="shared" si="13"/>
        <v>-428000</v>
      </c>
      <c r="M25" s="110">
        <f t="shared" si="13"/>
        <v>-428000</v>
      </c>
      <c r="N25" s="110">
        <f t="shared" si="13"/>
        <v>-428000</v>
      </c>
      <c r="O25" s="110">
        <f t="shared" si="13"/>
        <v>-428000</v>
      </c>
      <c r="P25" s="110">
        <f t="shared" si="13"/>
        <v>-428000</v>
      </c>
      <c r="Q25" s="115">
        <f t="shared" si="1"/>
        <v>-5136000</v>
      </c>
    </row>
    <row r="26" spans="1:17" x14ac:dyDescent="0.35">
      <c r="A26" s="109" t="s">
        <v>149</v>
      </c>
      <c r="B26" s="109">
        <v>2370</v>
      </c>
      <c r="C26" s="109" t="s">
        <v>162</v>
      </c>
      <c r="D26" s="109" t="s">
        <v>163</v>
      </c>
      <c r="E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F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G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H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I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J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K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L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M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N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O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P26" s="110">
        <f>-('Presupuesto economico'!$D$49)*(IF(AND((('Presupuesto economico'!$D$49)/877803)&gt;=4,(('Presupuesto economico'!$D$49)/877803)&lt;16),1,IF(AND((('Presupuesto economico'!$D$49)/877803)&gt;=16,(('Presupuesto economico'!$D$49)/877803)&lt;=17),1.2,IF(AND((('Presupuesto economico'!$D$49)/877803)&gt;17,(('Presupuesto economico'!$D$49)/877803)&lt;=18),1.4,IF(AND((('Presupuesto economico'!$D$49)/877803)&gt;18,(('Presupuesto economico'!$D$49)/877803)&lt;=19),1.6,IF(AND((('Presupuesto economico'!$D$49)/877803)&gt;19,(('Presupuesto economico'!$D$49)/877803)&lt;=20),1.8,IF((('Presupuesto economico'!$D$49)/877803)&gt;20,2,0))))))/100)*5</f>
        <v>-200000</v>
      </c>
      <c r="Q26" s="115">
        <f t="shared" si="1"/>
        <v>-2400000</v>
      </c>
    </row>
    <row r="27" spans="1:17" x14ac:dyDescent="0.35">
      <c r="A27" s="109" t="s">
        <v>149</v>
      </c>
      <c r="B27" s="111">
        <v>1110</v>
      </c>
      <c r="C27" s="109" t="s">
        <v>141</v>
      </c>
      <c r="D27" s="109" t="s">
        <v>164</v>
      </c>
      <c r="E27" s="110">
        <f>-(E13+E24+E25+E26)</f>
        <v>-9644000</v>
      </c>
      <c r="F27" s="110">
        <f t="shared" ref="F27:P27" si="14">-(F13+F24+F25+F26)</f>
        <v>-9644000</v>
      </c>
      <c r="G27" s="110">
        <f t="shared" si="14"/>
        <v>-9644000</v>
      </c>
      <c r="H27" s="110">
        <f t="shared" si="14"/>
        <v>-9644000</v>
      </c>
      <c r="I27" s="110">
        <f t="shared" si="14"/>
        <v>-9644000</v>
      </c>
      <c r="J27" s="110">
        <f t="shared" si="14"/>
        <v>-9644000</v>
      </c>
      <c r="K27" s="110">
        <f t="shared" si="14"/>
        <v>-9644000</v>
      </c>
      <c r="L27" s="110">
        <f t="shared" si="14"/>
        <v>-9644000</v>
      </c>
      <c r="M27" s="110">
        <f t="shared" si="14"/>
        <v>-9644000</v>
      </c>
      <c r="N27" s="110">
        <f t="shared" si="14"/>
        <v>-9644000</v>
      </c>
      <c r="O27" s="110">
        <f t="shared" si="14"/>
        <v>-9644000</v>
      </c>
      <c r="P27" s="110">
        <f t="shared" si="14"/>
        <v>-9644000</v>
      </c>
      <c r="Q27" s="115">
        <f t="shared" si="1"/>
        <v>-115728000</v>
      </c>
    </row>
    <row r="28" spans="1:17" x14ac:dyDescent="0.35">
      <c r="A28" s="109" t="s">
        <v>149</v>
      </c>
      <c r="B28" s="109">
        <v>2370</v>
      </c>
      <c r="C28" s="109" t="s">
        <v>162</v>
      </c>
      <c r="D28" s="110" t="s">
        <v>152</v>
      </c>
      <c r="E28" s="110">
        <f t="shared" ref="E28:P28" si="15">-E13*0.12</f>
        <v>-1284000</v>
      </c>
      <c r="F28" s="110">
        <f t="shared" si="15"/>
        <v>-1284000</v>
      </c>
      <c r="G28" s="110">
        <f t="shared" si="15"/>
        <v>-1284000</v>
      </c>
      <c r="H28" s="110">
        <f t="shared" si="15"/>
        <v>-1284000</v>
      </c>
      <c r="I28" s="110">
        <f t="shared" si="15"/>
        <v>-1284000</v>
      </c>
      <c r="J28" s="110">
        <f t="shared" si="15"/>
        <v>-1284000</v>
      </c>
      <c r="K28" s="110">
        <f t="shared" si="15"/>
        <v>-1284000</v>
      </c>
      <c r="L28" s="110">
        <f t="shared" si="15"/>
        <v>-1284000</v>
      </c>
      <c r="M28" s="110">
        <f t="shared" si="15"/>
        <v>-1284000</v>
      </c>
      <c r="N28" s="110">
        <f t="shared" si="15"/>
        <v>-1284000</v>
      </c>
      <c r="O28" s="110">
        <f t="shared" si="15"/>
        <v>-1284000</v>
      </c>
      <c r="P28" s="110">
        <f t="shared" si="15"/>
        <v>-1284000</v>
      </c>
      <c r="Q28" s="115">
        <f t="shared" si="1"/>
        <v>-15408000</v>
      </c>
    </row>
    <row r="29" spans="1:17" x14ac:dyDescent="0.35">
      <c r="A29" s="109" t="s">
        <v>149</v>
      </c>
      <c r="B29" s="109">
        <v>2370</v>
      </c>
      <c r="C29" s="109" t="s">
        <v>162</v>
      </c>
      <c r="D29" s="110" t="s">
        <v>153</v>
      </c>
      <c r="E29" s="110">
        <f t="shared" ref="E29:P29" si="16">-E13*0.085</f>
        <v>-909500.00000000012</v>
      </c>
      <c r="F29" s="110">
        <f t="shared" si="16"/>
        <v>-909500.00000000012</v>
      </c>
      <c r="G29" s="110">
        <f t="shared" si="16"/>
        <v>-909500.00000000012</v>
      </c>
      <c r="H29" s="110">
        <f t="shared" si="16"/>
        <v>-909500.00000000012</v>
      </c>
      <c r="I29" s="110">
        <f t="shared" si="16"/>
        <v>-909500.00000000012</v>
      </c>
      <c r="J29" s="110">
        <f t="shared" si="16"/>
        <v>-909500.00000000012</v>
      </c>
      <c r="K29" s="110">
        <f t="shared" si="16"/>
        <v>-909500.00000000012</v>
      </c>
      <c r="L29" s="110">
        <f t="shared" si="16"/>
        <v>-909500.00000000012</v>
      </c>
      <c r="M29" s="110">
        <f t="shared" si="16"/>
        <v>-909500.00000000012</v>
      </c>
      <c r="N29" s="110">
        <f t="shared" si="16"/>
        <v>-909500.00000000012</v>
      </c>
      <c r="O29" s="110">
        <f t="shared" si="16"/>
        <v>-909500.00000000012</v>
      </c>
      <c r="P29" s="110">
        <f t="shared" si="16"/>
        <v>-909500.00000000012</v>
      </c>
      <c r="Q29" s="115">
        <f t="shared" si="1"/>
        <v>-10914000.000000002</v>
      </c>
    </row>
    <row r="30" spans="1:17" x14ac:dyDescent="0.35">
      <c r="A30" s="109" t="s">
        <v>149</v>
      </c>
      <c r="B30" s="109">
        <v>2370</v>
      </c>
      <c r="C30" s="109" t="s">
        <v>162</v>
      </c>
      <c r="D30" s="110" t="s">
        <v>154</v>
      </c>
      <c r="E30" s="110">
        <f t="shared" ref="E30:P30" si="17">-E13*0.00522</f>
        <v>-55854</v>
      </c>
      <c r="F30" s="110">
        <f t="shared" si="17"/>
        <v>-55854</v>
      </c>
      <c r="G30" s="110">
        <f t="shared" si="17"/>
        <v>-55854</v>
      </c>
      <c r="H30" s="110">
        <f t="shared" si="17"/>
        <v>-55854</v>
      </c>
      <c r="I30" s="110">
        <f t="shared" si="17"/>
        <v>-55854</v>
      </c>
      <c r="J30" s="110">
        <f t="shared" si="17"/>
        <v>-55854</v>
      </c>
      <c r="K30" s="110">
        <f t="shared" si="17"/>
        <v>-55854</v>
      </c>
      <c r="L30" s="110">
        <f t="shared" si="17"/>
        <v>-55854</v>
      </c>
      <c r="M30" s="110">
        <f t="shared" si="17"/>
        <v>-55854</v>
      </c>
      <c r="N30" s="110">
        <f t="shared" si="17"/>
        <v>-55854</v>
      </c>
      <c r="O30" s="110">
        <f t="shared" si="17"/>
        <v>-55854</v>
      </c>
      <c r="P30" s="110">
        <f t="shared" si="17"/>
        <v>-55854</v>
      </c>
      <c r="Q30" s="115">
        <f t="shared" si="1"/>
        <v>-670248</v>
      </c>
    </row>
    <row r="31" spans="1:17" x14ac:dyDescent="0.35">
      <c r="A31" s="109" t="s">
        <v>149</v>
      </c>
      <c r="B31" s="109">
        <v>2370</v>
      </c>
      <c r="C31" s="109" t="s">
        <v>162</v>
      </c>
      <c r="D31" s="110" t="s">
        <v>155</v>
      </c>
      <c r="E31" s="110">
        <f t="shared" ref="E31:P31" si="18">-E13*0.02</f>
        <v>-214000</v>
      </c>
      <c r="F31" s="110">
        <f t="shared" si="18"/>
        <v>-214000</v>
      </c>
      <c r="G31" s="110">
        <f t="shared" si="18"/>
        <v>-214000</v>
      </c>
      <c r="H31" s="110">
        <f t="shared" si="18"/>
        <v>-214000</v>
      </c>
      <c r="I31" s="110">
        <f t="shared" si="18"/>
        <v>-214000</v>
      </c>
      <c r="J31" s="110">
        <f t="shared" si="18"/>
        <v>-214000</v>
      </c>
      <c r="K31" s="110">
        <f t="shared" si="18"/>
        <v>-214000</v>
      </c>
      <c r="L31" s="110">
        <f t="shared" si="18"/>
        <v>-214000</v>
      </c>
      <c r="M31" s="110">
        <f t="shared" si="18"/>
        <v>-214000</v>
      </c>
      <c r="N31" s="110">
        <f t="shared" si="18"/>
        <v>-214000</v>
      </c>
      <c r="O31" s="110">
        <f t="shared" si="18"/>
        <v>-214000</v>
      </c>
      <c r="P31" s="110">
        <f t="shared" si="18"/>
        <v>-214000</v>
      </c>
      <c r="Q31" s="115">
        <f t="shared" si="1"/>
        <v>-2568000</v>
      </c>
    </row>
    <row r="32" spans="1:17" x14ac:dyDescent="0.35">
      <c r="A32" s="109" t="s">
        <v>149</v>
      </c>
      <c r="B32" s="109">
        <v>2370</v>
      </c>
      <c r="C32" s="109" t="s">
        <v>162</v>
      </c>
      <c r="D32" s="110" t="s">
        <v>156</v>
      </c>
      <c r="E32" s="110">
        <f t="shared" ref="E32:P32" si="19">-E13*0.03</f>
        <v>-321000</v>
      </c>
      <c r="F32" s="110">
        <f t="shared" si="19"/>
        <v>-321000</v>
      </c>
      <c r="G32" s="110">
        <f t="shared" si="19"/>
        <v>-321000</v>
      </c>
      <c r="H32" s="110">
        <f t="shared" si="19"/>
        <v>-321000</v>
      </c>
      <c r="I32" s="110">
        <f t="shared" si="19"/>
        <v>-321000</v>
      </c>
      <c r="J32" s="110">
        <f t="shared" si="19"/>
        <v>-321000</v>
      </c>
      <c r="K32" s="110">
        <f t="shared" si="19"/>
        <v>-321000</v>
      </c>
      <c r="L32" s="110">
        <f t="shared" si="19"/>
        <v>-321000</v>
      </c>
      <c r="M32" s="110">
        <f t="shared" si="19"/>
        <v>-321000</v>
      </c>
      <c r="N32" s="110">
        <f t="shared" si="19"/>
        <v>-321000</v>
      </c>
      <c r="O32" s="110">
        <f t="shared" si="19"/>
        <v>-321000</v>
      </c>
      <c r="P32" s="110">
        <f t="shared" si="19"/>
        <v>-321000</v>
      </c>
      <c r="Q32" s="115">
        <f t="shared" si="1"/>
        <v>-3852000</v>
      </c>
    </row>
    <row r="33" spans="1:17" x14ac:dyDescent="0.35">
      <c r="A33" s="109" t="s">
        <v>149</v>
      </c>
      <c r="B33" s="109">
        <v>2370</v>
      </c>
      <c r="C33" s="109" t="s">
        <v>162</v>
      </c>
      <c r="D33" s="110" t="s">
        <v>157</v>
      </c>
      <c r="E33" s="110">
        <f t="shared" ref="E33:P33" si="20">-E13*0.04</f>
        <v>-428000</v>
      </c>
      <c r="F33" s="110">
        <f t="shared" si="20"/>
        <v>-428000</v>
      </c>
      <c r="G33" s="110">
        <f t="shared" si="20"/>
        <v>-428000</v>
      </c>
      <c r="H33" s="110">
        <f t="shared" si="20"/>
        <v>-428000</v>
      </c>
      <c r="I33" s="110">
        <f t="shared" si="20"/>
        <v>-428000</v>
      </c>
      <c r="J33" s="110">
        <f t="shared" si="20"/>
        <v>-428000</v>
      </c>
      <c r="K33" s="110">
        <f t="shared" si="20"/>
        <v>-428000</v>
      </c>
      <c r="L33" s="110">
        <f t="shared" si="20"/>
        <v>-428000</v>
      </c>
      <c r="M33" s="110">
        <f t="shared" si="20"/>
        <v>-428000</v>
      </c>
      <c r="N33" s="110">
        <f t="shared" si="20"/>
        <v>-428000</v>
      </c>
      <c r="O33" s="110">
        <f t="shared" si="20"/>
        <v>-428000</v>
      </c>
      <c r="P33" s="110">
        <f t="shared" si="20"/>
        <v>-428000</v>
      </c>
      <c r="Q33" s="115">
        <f t="shared" si="1"/>
        <v>-5136000</v>
      </c>
    </row>
    <row r="34" spans="1:17" x14ac:dyDescent="0.35">
      <c r="A34" s="109" t="s">
        <v>149</v>
      </c>
      <c r="B34" s="109">
        <v>2610</v>
      </c>
      <c r="C34" s="109" t="s">
        <v>162</v>
      </c>
      <c r="D34" s="110" t="s">
        <v>158</v>
      </c>
      <c r="E34" s="110">
        <f t="shared" ref="E34:P34" si="21">-E13*0.0833</f>
        <v>-891310</v>
      </c>
      <c r="F34" s="110">
        <f t="shared" si="21"/>
        <v>-891310</v>
      </c>
      <c r="G34" s="110">
        <f t="shared" si="21"/>
        <v>-891310</v>
      </c>
      <c r="H34" s="110">
        <f t="shared" si="21"/>
        <v>-891310</v>
      </c>
      <c r="I34" s="110">
        <f t="shared" si="21"/>
        <v>-891310</v>
      </c>
      <c r="J34" s="110">
        <f t="shared" si="21"/>
        <v>-891310</v>
      </c>
      <c r="K34" s="110">
        <f t="shared" si="21"/>
        <v>-891310</v>
      </c>
      <c r="L34" s="110">
        <f t="shared" si="21"/>
        <v>-891310</v>
      </c>
      <c r="M34" s="110">
        <f t="shared" si="21"/>
        <v>-891310</v>
      </c>
      <c r="N34" s="110">
        <f t="shared" si="21"/>
        <v>-891310</v>
      </c>
      <c r="O34" s="110">
        <f t="shared" si="21"/>
        <v>-891310</v>
      </c>
      <c r="P34" s="110">
        <f t="shared" si="21"/>
        <v>-891310</v>
      </c>
      <c r="Q34" s="115">
        <f t="shared" si="1"/>
        <v>-10695720</v>
      </c>
    </row>
    <row r="35" spans="1:17" x14ac:dyDescent="0.35">
      <c r="A35" s="109" t="s">
        <v>149</v>
      </c>
      <c r="B35" s="109">
        <v>2610</v>
      </c>
      <c r="C35" s="109" t="s">
        <v>162</v>
      </c>
      <c r="D35" s="110" t="s">
        <v>159</v>
      </c>
      <c r="E35" s="110">
        <f t="shared" ref="E35:P35" si="22">-E13*0.0833</f>
        <v>-891310</v>
      </c>
      <c r="F35" s="110">
        <f t="shared" si="22"/>
        <v>-891310</v>
      </c>
      <c r="G35" s="110">
        <f t="shared" si="22"/>
        <v>-891310</v>
      </c>
      <c r="H35" s="110">
        <f t="shared" si="22"/>
        <v>-891310</v>
      </c>
      <c r="I35" s="110">
        <f t="shared" si="22"/>
        <v>-891310</v>
      </c>
      <c r="J35" s="110">
        <f t="shared" si="22"/>
        <v>-891310</v>
      </c>
      <c r="K35" s="110">
        <f t="shared" si="22"/>
        <v>-891310</v>
      </c>
      <c r="L35" s="110">
        <f t="shared" si="22"/>
        <v>-891310</v>
      </c>
      <c r="M35" s="110">
        <f t="shared" si="22"/>
        <v>-891310</v>
      </c>
      <c r="N35" s="110">
        <f t="shared" si="22"/>
        <v>-891310</v>
      </c>
      <c r="O35" s="110">
        <f t="shared" si="22"/>
        <v>-891310</v>
      </c>
      <c r="P35" s="110">
        <f t="shared" si="22"/>
        <v>-891310</v>
      </c>
      <c r="Q35" s="115">
        <f t="shared" si="1"/>
        <v>-10695720</v>
      </c>
    </row>
    <row r="36" spans="1:17" x14ac:dyDescent="0.35">
      <c r="A36" s="109" t="s">
        <v>149</v>
      </c>
      <c r="B36" s="109">
        <v>2610</v>
      </c>
      <c r="C36" s="109" t="s">
        <v>162</v>
      </c>
      <c r="D36" s="110" t="s">
        <v>160</v>
      </c>
      <c r="E36" s="110">
        <f t="shared" ref="E36:P36" si="23">-E21*0.0833</f>
        <v>-74246.122999999992</v>
      </c>
      <c r="F36" s="110">
        <f t="shared" si="23"/>
        <v>-74246.122999999992</v>
      </c>
      <c r="G36" s="110">
        <f t="shared" si="23"/>
        <v>-74246.122999999992</v>
      </c>
      <c r="H36" s="110">
        <f t="shared" si="23"/>
        <v>-74246.122999999992</v>
      </c>
      <c r="I36" s="110">
        <f t="shared" si="23"/>
        <v>-74246.122999999992</v>
      </c>
      <c r="J36" s="110">
        <f t="shared" si="23"/>
        <v>-74246.122999999992</v>
      </c>
      <c r="K36" s="110">
        <f t="shared" si="23"/>
        <v>-74246.122999999992</v>
      </c>
      <c r="L36" s="110">
        <f t="shared" si="23"/>
        <v>-74246.122999999992</v>
      </c>
      <c r="M36" s="110">
        <f t="shared" si="23"/>
        <v>-74246.122999999992</v>
      </c>
      <c r="N36" s="110">
        <f t="shared" si="23"/>
        <v>-74246.122999999992</v>
      </c>
      <c r="O36" s="110">
        <f t="shared" si="23"/>
        <v>-74246.122999999992</v>
      </c>
      <c r="P36" s="110">
        <f t="shared" si="23"/>
        <v>-74246.122999999992</v>
      </c>
      <c r="Q36" s="115">
        <f t="shared" si="1"/>
        <v>-890953.47600000014</v>
      </c>
    </row>
    <row r="37" spans="1:17" x14ac:dyDescent="0.35">
      <c r="A37" s="109" t="s">
        <v>149</v>
      </c>
      <c r="B37" s="109">
        <v>2610</v>
      </c>
      <c r="C37" s="109" t="s">
        <v>162</v>
      </c>
      <c r="D37" s="110" t="s">
        <v>161</v>
      </c>
      <c r="E37" s="110">
        <f t="shared" ref="E37:P37" si="24">-E13*0.0417</f>
        <v>-446190</v>
      </c>
      <c r="F37" s="110">
        <f t="shared" si="24"/>
        <v>-446190</v>
      </c>
      <c r="G37" s="110">
        <f t="shared" si="24"/>
        <v>-446190</v>
      </c>
      <c r="H37" s="110">
        <f t="shared" si="24"/>
        <v>-446190</v>
      </c>
      <c r="I37" s="110">
        <f t="shared" si="24"/>
        <v>-446190</v>
      </c>
      <c r="J37" s="110">
        <f t="shared" si="24"/>
        <v>-446190</v>
      </c>
      <c r="K37" s="110">
        <f t="shared" si="24"/>
        <v>-446190</v>
      </c>
      <c r="L37" s="110">
        <f t="shared" si="24"/>
        <v>-446190</v>
      </c>
      <c r="M37" s="110">
        <f t="shared" si="24"/>
        <v>-446190</v>
      </c>
      <c r="N37" s="110">
        <f t="shared" si="24"/>
        <v>-446190</v>
      </c>
      <c r="O37" s="110">
        <f t="shared" si="24"/>
        <v>-446190</v>
      </c>
      <c r="P37" s="110">
        <f t="shared" si="24"/>
        <v>-446190</v>
      </c>
      <c r="Q37" s="115">
        <f t="shared" si="1"/>
        <v>-5354280</v>
      </c>
    </row>
    <row r="38" spans="1:17" x14ac:dyDescent="0.35">
      <c r="A38" s="109"/>
      <c r="B38" s="109"/>
      <c r="C38" s="109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5">
        <f t="shared" si="1"/>
        <v>0</v>
      </c>
    </row>
    <row r="39" spans="1:17" x14ac:dyDescent="0.35">
      <c r="A39" s="109" t="s">
        <v>165</v>
      </c>
      <c r="B39" s="109">
        <v>2370</v>
      </c>
      <c r="C39" s="109" t="s">
        <v>162</v>
      </c>
      <c r="D39" s="109" t="s">
        <v>165</v>
      </c>
      <c r="E39" s="110">
        <f>E14+E15+E16+E17+E18+E19+E21+E22</f>
        <v>4177910.1230000001</v>
      </c>
      <c r="F39" s="110">
        <f t="shared" ref="F39:P39" si="25">F14+F15+F16+F17+F18+F19+F21+F22</f>
        <v>4177910.1230000001</v>
      </c>
      <c r="G39" s="110">
        <f t="shared" si="25"/>
        <v>4177910.1230000001</v>
      </c>
      <c r="H39" s="110">
        <f t="shared" si="25"/>
        <v>4177910.1230000001</v>
      </c>
      <c r="I39" s="110">
        <f t="shared" si="25"/>
        <v>4177910.1230000001</v>
      </c>
      <c r="J39" s="110">
        <f t="shared" si="25"/>
        <v>4177910.1230000001</v>
      </c>
      <c r="K39" s="110">
        <f t="shared" si="25"/>
        <v>4177910.1230000001</v>
      </c>
      <c r="L39" s="110">
        <f t="shared" si="25"/>
        <v>4177910.1230000001</v>
      </c>
      <c r="M39" s="110">
        <f t="shared" si="25"/>
        <v>4177910.1230000001</v>
      </c>
      <c r="N39" s="110">
        <f t="shared" si="25"/>
        <v>4177910.1230000001</v>
      </c>
      <c r="O39" s="110">
        <f t="shared" si="25"/>
        <v>4177910.1230000001</v>
      </c>
      <c r="P39" s="110">
        <f t="shared" si="25"/>
        <v>4177910.1230000001</v>
      </c>
      <c r="Q39" s="115">
        <f t="shared" si="1"/>
        <v>50134921.476000011</v>
      </c>
    </row>
    <row r="40" spans="1:17" x14ac:dyDescent="0.35">
      <c r="A40" s="109" t="s">
        <v>165</v>
      </c>
      <c r="B40" s="111">
        <v>1110</v>
      </c>
      <c r="C40" s="109" t="s">
        <v>141</v>
      </c>
      <c r="D40" s="110" t="s">
        <v>164</v>
      </c>
      <c r="E40" s="110">
        <f>E39*-1</f>
        <v>-4177910.1230000001</v>
      </c>
      <c r="F40" s="110">
        <f t="shared" ref="F40:P40" si="26">F39*-1</f>
        <v>-4177910.1230000001</v>
      </c>
      <c r="G40" s="110">
        <f t="shared" si="26"/>
        <v>-4177910.1230000001</v>
      </c>
      <c r="H40" s="110">
        <f t="shared" si="26"/>
        <v>-4177910.1230000001</v>
      </c>
      <c r="I40" s="110">
        <f t="shared" si="26"/>
        <v>-4177910.1230000001</v>
      </c>
      <c r="J40" s="110">
        <f t="shared" si="26"/>
        <v>-4177910.1230000001</v>
      </c>
      <c r="K40" s="110">
        <f t="shared" si="26"/>
        <v>-4177910.1230000001</v>
      </c>
      <c r="L40" s="110">
        <f t="shared" si="26"/>
        <v>-4177910.1230000001</v>
      </c>
      <c r="M40" s="110">
        <f t="shared" si="26"/>
        <v>-4177910.1230000001</v>
      </c>
      <c r="N40" s="110">
        <f t="shared" si="26"/>
        <v>-4177910.1230000001</v>
      </c>
      <c r="O40" s="110">
        <f t="shared" si="26"/>
        <v>-4177910.1230000001</v>
      </c>
      <c r="P40" s="110">
        <f t="shared" si="26"/>
        <v>-4177910.1230000001</v>
      </c>
      <c r="Q40" s="115">
        <f t="shared" si="1"/>
        <v>-50134921.476000011</v>
      </c>
    </row>
    <row r="41" spans="1:17" x14ac:dyDescent="0.35">
      <c r="A41" s="109"/>
      <c r="B41" s="109"/>
      <c r="C41" s="109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5">
        <f t="shared" si="1"/>
        <v>0</v>
      </c>
    </row>
    <row r="42" spans="1:17" x14ac:dyDescent="0.35">
      <c r="A42" s="109" t="s">
        <v>166</v>
      </c>
      <c r="B42" s="109">
        <v>2610</v>
      </c>
      <c r="C42" s="109" t="s">
        <v>162</v>
      </c>
      <c r="D42" s="109" t="s">
        <v>165</v>
      </c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>
        <f>-(Q34+Q35+Q36+Q37)</f>
        <v>27636673.476</v>
      </c>
      <c r="Q42" s="115">
        <f t="shared" si="1"/>
        <v>27636673.476</v>
      </c>
    </row>
    <row r="43" spans="1:17" x14ac:dyDescent="0.35">
      <c r="A43" s="109" t="s">
        <v>166</v>
      </c>
      <c r="B43" s="111">
        <v>1110</v>
      </c>
      <c r="C43" s="109" t="s">
        <v>141</v>
      </c>
      <c r="D43" s="110" t="s">
        <v>164</v>
      </c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>
        <f>-P42</f>
        <v>-27636673.476</v>
      </c>
      <c r="Q43" s="115">
        <f t="shared" si="1"/>
        <v>-27636673.476</v>
      </c>
    </row>
    <row r="44" spans="1:17" x14ac:dyDescent="0.35">
      <c r="A44" s="109"/>
      <c r="B44" s="109"/>
      <c r="C44" s="109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5">
        <f t="shared" si="1"/>
        <v>0</v>
      </c>
    </row>
    <row r="45" spans="1:17" x14ac:dyDescent="0.35">
      <c r="A45" s="109" t="s">
        <v>167</v>
      </c>
      <c r="B45" s="109">
        <v>5295</v>
      </c>
      <c r="C45" s="109" t="s">
        <v>168</v>
      </c>
      <c r="D45" s="109" t="s">
        <v>169</v>
      </c>
      <c r="E45" s="110">
        <f>'Presupuesto economico'!F64</f>
        <v>35000</v>
      </c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5">
        <f>SUM(E45:P45)</f>
        <v>35000</v>
      </c>
    </row>
    <row r="46" spans="1:17" x14ac:dyDescent="0.35">
      <c r="A46" s="109" t="s">
        <v>167</v>
      </c>
      <c r="B46" s="111">
        <v>1110</v>
      </c>
      <c r="C46" s="109" t="s">
        <v>141</v>
      </c>
      <c r="D46" s="109" t="s">
        <v>142</v>
      </c>
      <c r="E46" s="110">
        <f>E45*-1</f>
        <v>-35000</v>
      </c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5">
        <f t="shared" si="1"/>
        <v>-35000</v>
      </c>
    </row>
    <row r="47" spans="1:17" x14ac:dyDescent="0.35">
      <c r="A47" s="109"/>
      <c r="B47" s="109"/>
      <c r="C47" s="109"/>
      <c r="D47" s="109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5">
        <f t="shared" si="1"/>
        <v>0</v>
      </c>
    </row>
    <row r="48" spans="1:17" x14ac:dyDescent="0.35">
      <c r="A48" s="109" t="s">
        <v>170</v>
      </c>
      <c r="B48" s="109">
        <v>1705</v>
      </c>
      <c r="C48" s="109" t="s">
        <v>141</v>
      </c>
      <c r="D48" s="109" t="s">
        <v>171</v>
      </c>
      <c r="E48" s="110">
        <f>('Presupuesto economico'!F67/12)*11</f>
        <v>2750000</v>
      </c>
      <c r="F48" s="110">
        <f>-$E$49</f>
        <v>-250000</v>
      </c>
      <c r="G48" s="110">
        <f t="shared" ref="G48:P48" si="27">-$E$49</f>
        <v>-250000</v>
      </c>
      <c r="H48" s="110">
        <f t="shared" si="27"/>
        <v>-250000</v>
      </c>
      <c r="I48" s="110">
        <f t="shared" si="27"/>
        <v>-250000</v>
      </c>
      <c r="J48" s="110">
        <f t="shared" si="27"/>
        <v>-250000</v>
      </c>
      <c r="K48" s="110">
        <f t="shared" si="27"/>
        <v>-250000</v>
      </c>
      <c r="L48" s="110">
        <f t="shared" si="27"/>
        <v>-250000</v>
      </c>
      <c r="M48" s="110">
        <f t="shared" si="27"/>
        <v>-250000</v>
      </c>
      <c r="N48" s="110">
        <f t="shared" si="27"/>
        <v>-250000</v>
      </c>
      <c r="O48" s="110">
        <f t="shared" si="27"/>
        <v>-250000</v>
      </c>
      <c r="P48" s="110">
        <f t="shared" si="27"/>
        <v>-250000</v>
      </c>
      <c r="Q48" s="115">
        <f t="shared" si="1"/>
        <v>0</v>
      </c>
    </row>
    <row r="49" spans="1:17" x14ac:dyDescent="0.35">
      <c r="A49" s="109" t="s">
        <v>170</v>
      </c>
      <c r="B49" s="109">
        <v>5295</v>
      </c>
      <c r="C49" s="109" t="s">
        <v>168</v>
      </c>
      <c r="D49" s="109" t="s">
        <v>169</v>
      </c>
      <c r="E49" s="110">
        <f>('Presupuesto economico'!F67/12)</f>
        <v>250000</v>
      </c>
      <c r="F49" s="110">
        <f>-F48</f>
        <v>250000</v>
      </c>
      <c r="G49" s="110">
        <f t="shared" ref="G49:P49" si="28">-G48</f>
        <v>250000</v>
      </c>
      <c r="H49" s="110">
        <f t="shared" si="28"/>
        <v>250000</v>
      </c>
      <c r="I49" s="110">
        <f t="shared" si="28"/>
        <v>250000</v>
      </c>
      <c r="J49" s="110">
        <f t="shared" si="28"/>
        <v>250000</v>
      </c>
      <c r="K49" s="110">
        <f t="shared" si="28"/>
        <v>250000</v>
      </c>
      <c r="L49" s="110">
        <f t="shared" si="28"/>
        <v>250000</v>
      </c>
      <c r="M49" s="110">
        <f t="shared" si="28"/>
        <v>250000</v>
      </c>
      <c r="N49" s="110">
        <f t="shared" si="28"/>
        <v>250000</v>
      </c>
      <c r="O49" s="110">
        <f t="shared" si="28"/>
        <v>250000</v>
      </c>
      <c r="P49" s="110">
        <f t="shared" si="28"/>
        <v>250000</v>
      </c>
      <c r="Q49" s="115">
        <f t="shared" si="1"/>
        <v>3000000</v>
      </c>
    </row>
    <row r="50" spans="1:17" x14ac:dyDescent="0.35">
      <c r="A50" s="109" t="s">
        <v>170</v>
      </c>
      <c r="B50" s="109">
        <v>2405</v>
      </c>
      <c r="C50" s="109" t="s">
        <v>172</v>
      </c>
      <c r="D50" s="109" t="s">
        <v>173</v>
      </c>
      <c r="E50" s="110">
        <f>+(E48+E49)*19%</f>
        <v>570000</v>
      </c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5">
        <f t="shared" si="1"/>
        <v>570000</v>
      </c>
    </row>
    <row r="51" spans="1:17" x14ac:dyDescent="0.35">
      <c r="A51" s="109" t="s">
        <v>170</v>
      </c>
      <c r="B51" s="109">
        <v>2365</v>
      </c>
      <c r="C51" s="109" t="s">
        <v>172</v>
      </c>
      <c r="D51" s="109" t="s">
        <v>174</v>
      </c>
      <c r="E51" s="110">
        <f>-E48*6%</f>
        <v>-165000</v>
      </c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5">
        <f t="shared" si="1"/>
        <v>-165000</v>
      </c>
    </row>
    <row r="52" spans="1:17" x14ac:dyDescent="0.35">
      <c r="A52" s="109" t="s">
        <v>170</v>
      </c>
      <c r="B52" s="109">
        <v>2368</v>
      </c>
      <c r="C52" s="109" t="s">
        <v>172</v>
      </c>
      <c r="D52" s="109" t="s">
        <v>175</v>
      </c>
      <c r="E52" s="110">
        <f>-E48*0.699%</f>
        <v>-19222.5</v>
      </c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5">
        <f t="shared" si="1"/>
        <v>-19222.5</v>
      </c>
    </row>
    <row r="53" spans="1:17" x14ac:dyDescent="0.35">
      <c r="A53" s="109" t="s">
        <v>170</v>
      </c>
      <c r="B53" s="111">
        <v>1110</v>
      </c>
      <c r="C53" s="109" t="s">
        <v>141</v>
      </c>
      <c r="D53" s="109" t="s">
        <v>142</v>
      </c>
      <c r="E53" s="110">
        <f>-SUM(E48:E52)</f>
        <v>-3385777.5</v>
      </c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5">
        <f t="shared" si="1"/>
        <v>-3385777.5</v>
      </c>
    </row>
    <row r="54" spans="1:17" x14ac:dyDescent="0.35">
      <c r="A54" s="109"/>
      <c r="B54" s="109"/>
      <c r="C54" s="109"/>
      <c r="D54" s="109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5">
        <f t="shared" si="1"/>
        <v>0</v>
      </c>
    </row>
    <row r="55" spans="1:17" x14ac:dyDescent="0.35">
      <c r="A55" s="109" t="s">
        <v>176</v>
      </c>
      <c r="B55" s="109">
        <v>1705</v>
      </c>
      <c r="C55" s="109" t="s">
        <v>141</v>
      </c>
      <c r="D55" s="109" t="s">
        <v>171</v>
      </c>
      <c r="E55" s="110">
        <f>('Presupuesto economico'!F68/12)*11</f>
        <v>4583333.333333334</v>
      </c>
      <c r="F55" s="110">
        <f>-$E$56</f>
        <v>-416666.66666666669</v>
      </c>
      <c r="G55" s="110">
        <f t="shared" ref="G55:P55" si="29">-$E$56</f>
        <v>-416666.66666666669</v>
      </c>
      <c r="H55" s="110">
        <f t="shared" si="29"/>
        <v>-416666.66666666669</v>
      </c>
      <c r="I55" s="110">
        <f t="shared" si="29"/>
        <v>-416666.66666666669</v>
      </c>
      <c r="J55" s="110">
        <f t="shared" si="29"/>
        <v>-416666.66666666669</v>
      </c>
      <c r="K55" s="110">
        <f t="shared" si="29"/>
        <v>-416666.66666666669</v>
      </c>
      <c r="L55" s="110">
        <f t="shared" si="29"/>
        <v>-416666.66666666669</v>
      </c>
      <c r="M55" s="110">
        <f t="shared" si="29"/>
        <v>-416666.66666666669</v>
      </c>
      <c r="N55" s="110">
        <f t="shared" si="29"/>
        <v>-416666.66666666669</v>
      </c>
      <c r="O55" s="110">
        <f t="shared" si="29"/>
        <v>-416666.66666666669</v>
      </c>
      <c r="P55" s="110">
        <f t="shared" si="29"/>
        <v>-416666.66666666669</v>
      </c>
      <c r="Q55" s="115">
        <f t="shared" si="1"/>
        <v>1.0477378964424133E-9</v>
      </c>
    </row>
    <row r="56" spans="1:17" x14ac:dyDescent="0.35">
      <c r="A56" s="109" t="s">
        <v>176</v>
      </c>
      <c r="B56" s="109">
        <v>6</v>
      </c>
      <c r="C56" s="109" t="s">
        <v>168</v>
      </c>
      <c r="D56" s="109" t="s">
        <v>169</v>
      </c>
      <c r="E56" s="110">
        <f>('Presupuesto economico'!F68/12)</f>
        <v>416666.66666666669</v>
      </c>
      <c r="F56" s="110">
        <f>-F55</f>
        <v>416666.66666666669</v>
      </c>
      <c r="G56" s="110">
        <f t="shared" ref="G56:P56" si="30">-G55</f>
        <v>416666.66666666669</v>
      </c>
      <c r="H56" s="110">
        <f t="shared" si="30"/>
        <v>416666.66666666669</v>
      </c>
      <c r="I56" s="110">
        <f t="shared" si="30"/>
        <v>416666.66666666669</v>
      </c>
      <c r="J56" s="110">
        <f t="shared" si="30"/>
        <v>416666.66666666669</v>
      </c>
      <c r="K56" s="110">
        <f t="shared" si="30"/>
        <v>416666.66666666669</v>
      </c>
      <c r="L56" s="110">
        <f t="shared" si="30"/>
        <v>416666.66666666669</v>
      </c>
      <c r="M56" s="110">
        <f t="shared" si="30"/>
        <v>416666.66666666669</v>
      </c>
      <c r="N56" s="110">
        <f t="shared" si="30"/>
        <v>416666.66666666669</v>
      </c>
      <c r="O56" s="110">
        <f t="shared" si="30"/>
        <v>416666.66666666669</v>
      </c>
      <c r="P56" s="110">
        <f t="shared" si="30"/>
        <v>416666.66666666669</v>
      </c>
      <c r="Q56" s="115">
        <f t="shared" si="1"/>
        <v>5000000</v>
      </c>
    </row>
    <row r="57" spans="1:17" x14ac:dyDescent="0.35">
      <c r="A57" s="109" t="s">
        <v>176</v>
      </c>
      <c r="B57" s="109">
        <v>2405</v>
      </c>
      <c r="C57" s="109" t="s">
        <v>172</v>
      </c>
      <c r="D57" s="109" t="s">
        <v>173</v>
      </c>
      <c r="E57" s="110">
        <f>+(E55+E56)*19%</f>
        <v>950000.00000000023</v>
      </c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5">
        <f t="shared" si="1"/>
        <v>950000.00000000023</v>
      </c>
    </row>
    <row r="58" spans="1:17" x14ac:dyDescent="0.35">
      <c r="A58" s="109" t="s">
        <v>176</v>
      </c>
      <c r="B58" s="109">
        <v>2365</v>
      </c>
      <c r="C58" s="109" t="s">
        <v>172</v>
      </c>
      <c r="D58" s="109" t="s">
        <v>174</v>
      </c>
      <c r="E58" s="110">
        <f>-E55*6%</f>
        <v>-275000</v>
      </c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5">
        <f t="shared" si="1"/>
        <v>-275000</v>
      </c>
    </row>
    <row r="59" spans="1:17" x14ac:dyDescent="0.35">
      <c r="A59" s="109" t="s">
        <v>176</v>
      </c>
      <c r="B59" s="109">
        <v>2368</v>
      </c>
      <c r="C59" s="109" t="s">
        <v>172</v>
      </c>
      <c r="D59" s="109" t="s">
        <v>175</v>
      </c>
      <c r="E59" s="110">
        <f>-E55*0.699%</f>
        <v>-32037.500000000004</v>
      </c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5">
        <f t="shared" si="1"/>
        <v>-32037.500000000004</v>
      </c>
    </row>
    <row r="60" spans="1:17" x14ac:dyDescent="0.35">
      <c r="A60" s="109" t="s">
        <v>176</v>
      </c>
      <c r="B60" s="111">
        <v>1110</v>
      </c>
      <c r="C60" s="109" t="s">
        <v>141</v>
      </c>
      <c r="D60" s="109" t="s">
        <v>142</v>
      </c>
      <c r="E60" s="110">
        <f>-SUM(E55:E59)</f>
        <v>-5642962.5000000009</v>
      </c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5">
        <f t="shared" si="1"/>
        <v>-5642962.5000000009</v>
      </c>
    </row>
    <row r="61" spans="1:17" x14ac:dyDescent="0.35">
      <c r="A61" s="109"/>
      <c r="B61" s="109"/>
      <c r="C61" s="109"/>
      <c r="D61" s="109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5">
        <f t="shared" si="1"/>
        <v>0</v>
      </c>
    </row>
    <row r="62" spans="1:17" x14ac:dyDescent="0.35">
      <c r="A62" s="109" t="s">
        <v>177</v>
      </c>
      <c r="B62" s="109">
        <v>5295</v>
      </c>
      <c r="C62" s="109" t="s">
        <v>168</v>
      </c>
      <c r="D62" s="109" t="s">
        <v>169</v>
      </c>
      <c r="E62" s="110">
        <f>'Presupuesto economico'!F69</f>
        <v>5000000</v>
      </c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5">
        <f t="shared" si="1"/>
        <v>5000000</v>
      </c>
    </row>
    <row r="63" spans="1:17" x14ac:dyDescent="0.35">
      <c r="A63" s="109" t="s">
        <v>177</v>
      </c>
      <c r="B63" s="111">
        <v>1110</v>
      </c>
      <c r="C63" s="109" t="s">
        <v>141</v>
      </c>
      <c r="D63" s="109" t="s">
        <v>142</v>
      </c>
      <c r="E63" s="110">
        <f>-E62</f>
        <v>-5000000</v>
      </c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5">
        <f t="shared" si="1"/>
        <v>-5000000</v>
      </c>
    </row>
    <row r="64" spans="1:17" x14ac:dyDescent="0.35">
      <c r="A64" s="109"/>
      <c r="B64" s="109"/>
      <c r="C64" s="109"/>
      <c r="D64" s="109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5">
        <f t="shared" si="1"/>
        <v>0</v>
      </c>
    </row>
    <row r="65" spans="1:17" x14ac:dyDescent="0.35">
      <c r="A65" s="109" t="s">
        <v>178</v>
      </c>
      <c r="B65" s="109">
        <v>5295</v>
      </c>
      <c r="C65" s="109" t="s">
        <v>168</v>
      </c>
      <c r="D65" s="109" t="s">
        <v>169</v>
      </c>
      <c r="E65" s="145">
        <f>'Presupuesto economico'!$D$74</f>
        <v>1000000</v>
      </c>
      <c r="F65" s="145">
        <f>'Presupuesto economico'!$D$74</f>
        <v>1000000</v>
      </c>
      <c r="G65" s="145">
        <f>'Presupuesto economico'!$D$74</f>
        <v>1000000</v>
      </c>
      <c r="H65" s="145">
        <f>'Presupuesto economico'!$D$74</f>
        <v>1000000</v>
      </c>
      <c r="I65" s="145">
        <f>'Presupuesto economico'!$D$74</f>
        <v>1000000</v>
      </c>
      <c r="J65" s="145">
        <f>'Presupuesto economico'!$D$74</f>
        <v>1000000</v>
      </c>
      <c r="K65" s="145">
        <f>'Presupuesto economico'!$D$74</f>
        <v>1000000</v>
      </c>
      <c r="L65" s="145">
        <f>'Presupuesto economico'!$D$74</f>
        <v>1000000</v>
      </c>
      <c r="M65" s="145">
        <f>'Presupuesto economico'!$D$74</f>
        <v>1000000</v>
      </c>
      <c r="N65" s="145">
        <f>'Presupuesto economico'!$D$74</f>
        <v>1000000</v>
      </c>
      <c r="O65" s="145">
        <f>'Presupuesto economico'!$D$74</f>
        <v>1000000</v>
      </c>
      <c r="P65" s="145">
        <f>'Presupuesto economico'!$D$74</f>
        <v>1000000</v>
      </c>
      <c r="Q65" s="115">
        <f t="shared" si="1"/>
        <v>12000000</v>
      </c>
    </row>
    <row r="66" spans="1:17" x14ac:dyDescent="0.35">
      <c r="A66" s="109" t="s">
        <v>178</v>
      </c>
      <c r="B66" s="111">
        <v>1110</v>
      </c>
      <c r="C66" s="109" t="s">
        <v>141</v>
      </c>
      <c r="D66" s="109" t="s">
        <v>142</v>
      </c>
      <c r="E66" s="145">
        <f>-E65</f>
        <v>-1000000</v>
      </c>
      <c r="F66" s="145">
        <f t="shared" ref="F66:P66" si="31">-F65</f>
        <v>-1000000</v>
      </c>
      <c r="G66" s="145">
        <f t="shared" si="31"/>
        <v>-1000000</v>
      </c>
      <c r="H66" s="145">
        <f t="shared" si="31"/>
        <v>-1000000</v>
      </c>
      <c r="I66" s="145">
        <f t="shared" si="31"/>
        <v>-1000000</v>
      </c>
      <c r="J66" s="145">
        <f t="shared" si="31"/>
        <v>-1000000</v>
      </c>
      <c r="K66" s="145">
        <f t="shared" si="31"/>
        <v>-1000000</v>
      </c>
      <c r="L66" s="145">
        <f t="shared" si="31"/>
        <v>-1000000</v>
      </c>
      <c r="M66" s="145">
        <f t="shared" si="31"/>
        <v>-1000000</v>
      </c>
      <c r="N66" s="145">
        <f t="shared" si="31"/>
        <v>-1000000</v>
      </c>
      <c r="O66" s="145">
        <f t="shared" si="31"/>
        <v>-1000000</v>
      </c>
      <c r="P66" s="145">
        <f t="shared" si="31"/>
        <v>-1000000</v>
      </c>
      <c r="Q66" s="115">
        <f t="shared" si="1"/>
        <v>-12000000</v>
      </c>
    </row>
    <row r="67" spans="1:17" x14ac:dyDescent="0.35">
      <c r="A67" s="109"/>
      <c r="B67" s="109"/>
      <c r="C67" s="109"/>
      <c r="D67" s="109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5">
        <f t="shared" si="1"/>
        <v>0</v>
      </c>
    </row>
    <row r="68" spans="1:17" x14ac:dyDescent="0.35">
      <c r="A68" s="109" t="s">
        <v>179</v>
      </c>
      <c r="B68" s="109">
        <v>5295</v>
      </c>
      <c r="C68" s="109" t="s">
        <v>168</v>
      </c>
      <c r="D68" s="109" t="s">
        <v>169</v>
      </c>
      <c r="E68" s="145">
        <f>'Presupuesto economico'!$D$75</f>
        <v>300000</v>
      </c>
      <c r="F68" s="145">
        <f>'Presupuesto economico'!$D$75</f>
        <v>300000</v>
      </c>
      <c r="G68" s="145">
        <f>'Presupuesto economico'!$D$75</f>
        <v>300000</v>
      </c>
      <c r="H68" s="145">
        <f>'Presupuesto economico'!$D$75</f>
        <v>300000</v>
      </c>
      <c r="I68" s="145">
        <f>'Presupuesto economico'!$D$75</f>
        <v>300000</v>
      </c>
      <c r="J68" s="145">
        <f>'Presupuesto economico'!$D$75</f>
        <v>300000</v>
      </c>
      <c r="K68" s="145">
        <f>'Presupuesto economico'!$D$75</f>
        <v>300000</v>
      </c>
      <c r="L68" s="145">
        <f>'Presupuesto economico'!$D$75</f>
        <v>300000</v>
      </c>
      <c r="M68" s="145">
        <f>'Presupuesto economico'!$D$75</f>
        <v>300000</v>
      </c>
      <c r="N68" s="145">
        <f>'Presupuesto economico'!$D$75</f>
        <v>300000</v>
      </c>
      <c r="O68" s="145">
        <f>'Presupuesto economico'!$D$75</f>
        <v>300000</v>
      </c>
      <c r="P68" s="145">
        <f>'Presupuesto economico'!$D$75</f>
        <v>300000</v>
      </c>
      <c r="Q68" s="115">
        <f t="shared" si="1"/>
        <v>3600000</v>
      </c>
    </row>
    <row r="69" spans="1:17" x14ac:dyDescent="0.35">
      <c r="A69" s="109" t="s">
        <v>179</v>
      </c>
      <c r="B69" s="111">
        <v>1110</v>
      </c>
      <c r="C69" s="109" t="s">
        <v>141</v>
      </c>
      <c r="D69" s="109" t="s">
        <v>142</v>
      </c>
      <c r="E69" s="145">
        <f>-E68</f>
        <v>-300000</v>
      </c>
      <c r="F69" s="145">
        <f t="shared" ref="F69:P69" si="32">-F68</f>
        <v>-300000</v>
      </c>
      <c r="G69" s="145">
        <f t="shared" si="32"/>
        <v>-300000</v>
      </c>
      <c r="H69" s="145">
        <f t="shared" si="32"/>
        <v>-300000</v>
      </c>
      <c r="I69" s="145">
        <f t="shared" si="32"/>
        <v>-300000</v>
      </c>
      <c r="J69" s="145">
        <f t="shared" si="32"/>
        <v>-300000</v>
      </c>
      <c r="K69" s="145">
        <f t="shared" si="32"/>
        <v>-300000</v>
      </c>
      <c r="L69" s="145">
        <f t="shared" si="32"/>
        <v>-300000</v>
      </c>
      <c r="M69" s="145">
        <f t="shared" si="32"/>
        <v>-300000</v>
      </c>
      <c r="N69" s="145">
        <f t="shared" si="32"/>
        <v>-300000</v>
      </c>
      <c r="O69" s="145">
        <f t="shared" si="32"/>
        <v>-300000</v>
      </c>
      <c r="P69" s="145">
        <f t="shared" si="32"/>
        <v>-300000</v>
      </c>
      <c r="Q69" s="115">
        <f t="shared" si="1"/>
        <v>-3600000</v>
      </c>
    </row>
    <row r="70" spans="1:17" x14ac:dyDescent="0.35">
      <c r="A70" s="109"/>
      <c r="B70" s="109"/>
      <c r="C70" s="109"/>
      <c r="D70" s="109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5">
        <f t="shared" si="1"/>
        <v>0</v>
      </c>
    </row>
    <row r="71" spans="1:17" x14ac:dyDescent="0.35">
      <c r="A71" s="109" t="s">
        <v>180</v>
      </c>
      <c r="B71" s="109">
        <v>2105</v>
      </c>
      <c r="C71" s="109" t="s">
        <v>147</v>
      </c>
      <c r="D71" s="109" t="s">
        <v>148</v>
      </c>
      <c r="E71" s="110"/>
      <c r="F71" s="145">
        <f>'Presupuesto economico'!$D$88+'Presupuesto economico'!$D$93</f>
        <v>1292190.3910507923</v>
      </c>
      <c r="G71" s="145">
        <f>'Presupuesto economico'!$D$88+'Presupuesto economico'!$D$93</f>
        <v>1292190.3910507923</v>
      </c>
      <c r="H71" s="145">
        <f>'Presupuesto economico'!$D$88+'Presupuesto economico'!$D$93</f>
        <v>1292190.3910507923</v>
      </c>
      <c r="I71" s="145">
        <f>'Presupuesto economico'!$D$88+'Presupuesto economico'!$D$93</f>
        <v>1292190.3910507923</v>
      </c>
      <c r="J71" s="145">
        <f>'Presupuesto economico'!$D$88+'Presupuesto economico'!$D$93</f>
        <v>1292190.3910507923</v>
      </c>
      <c r="K71" s="145">
        <f>'Presupuesto economico'!$D$88+'Presupuesto economico'!$D$93</f>
        <v>1292190.3910507923</v>
      </c>
      <c r="L71" s="145">
        <f>'Presupuesto economico'!$D$88+'Presupuesto economico'!$D$93</f>
        <v>1292190.3910507923</v>
      </c>
      <c r="M71" s="145">
        <f>'Presupuesto economico'!$D$88+'Presupuesto economico'!$D$93</f>
        <v>1292190.3910507923</v>
      </c>
      <c r="N71" s="145">
        <f>'Presupuesto economico'!$D$88+'Presupuesto economico'!$D$93</f>
        <v>1292190.3910507923</v>
      </c>
      <c r="O71" s="145">
        <f>'Presupuesto economico'!$D$88+'Presupuesto economico'!$D$93</f>
        <v>1292190.3910507923</v>
      </c>
      <c r="P71" s="145">
        <f>'Presupuesto economico'!$D$88+'Presupuesto economico'!$D$93</f>
        <v>1292190.3910507923</v>
      </c>
      <c r="Q71" s="115">
        <f t="shared" ref="Q71:Q101" si="33">SUM(E71:P71)</f>
        <v>14214094.301558718</v>
      </c>
    </row>
    <row r="72" spans="1:17" x14ac:dyDescent="0.35">
      <c r="A72" s="109" t="s">
        <v>180</v>
      </c>
      <c r="B72" s="111">
        <v>1110</v>
      </c>
      <c r="C72" s="109" t="s">
        <v>141</v>
      </c>
      <c r="D72" s="109" t="s">
        <v>142</v>
      </c>
      <c r="E72" s="110"/>
      <c r="F72" s="110">
        <f>F71*-1</f>
        <v>-1292190.3910507923</v>
      </c>
      <c r="G72" s="110">
        <f t="shared" ref="G72:P72" si="34">G71*-1</f>
        <v>-1292190.3910507923</v>
      </c>
      <c r="H72" s="110">
        <f t="shared" si="34"/>
        <v>-1292190.3910507923</v>
      </c>
      <c r="I72" s="110">
        <f t="shared" si="34"/>
        <v>-1292190.3910507923</v>
      </c>
      <c r="J72" s="110">
        <f t="shared" si="34"/>
        <v>-1292190.3910507923</v>
      </c>
      <c r="K72" s="110">
        <f t="shared" si="34"/>
        <v>-1292190.3910507923</v>
      </c>
      <c r="L72" s="110">
        <f t="shared" si="34"/>
        <v>-1292190.3910507923</v>
      </c>
      <c r="M72" s="110">
        <f t="shared" si="34"/>
        <v>-1292190.3910507923</v>
      </c>
      <c r="N72" s="110">
        <f t="shared" si="34"/>
        <v>-1292190.3910507923</v>
      </c>
      <c r="O72" s="110">
        <f t="shared" si="34"/>
        <v>-1292190.3910507923</v>
      </c>
      <c r="P72" s="110">
        <f t="shared" si="34"/>
        <v>-1292190.3910507923</v>
      </c>
      <c r="Q72" s="115">
        <f t="shared" si="33"/>
        <v>-14214094.301558718</v>
      </c>
    </row>
    <row r="73" spans="1:17" x14ac:dyDescent="0.35">
      <c r="A73" s="109"/>
      <c r="B73" s="109"/>
      <c r="C73" s="109"/>
      <c r="D73" s="109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5">
        <f t="shared" si="33"/>
        <v>0</v>
      </c>
    </row>
    <row r="74" spans="1:17" x14ac:dyDescent="0.35">
      <c r="A74" s="109" t="s">
        <v>50</v>
      </c>
      <c r="B74" s="109">
        <v>5260</v>
      </c>
      <c r="C74" s="109" t="s">
        <v>181</v>
      </c>
      <c r="D74" s="109" t="s">
        <v>181</v>
      </c>
      <c r="E74" s="110"/>
      <c r="F74" s="110">
        <v>283333</v>
      </c>
      <c r="G74" s="110">
        <v>283333</v>
      </c>
      <c r="H74" s="110">
        <v>283333</v>
      </c>
      <c r="I74" s="110">
        <v>283333</v>
      </c>
      <c r="J74" s="110">
        <v>283333</v>
      </c>
      <c r="K74" s="110">
        <v>283333</v>
      </c>
      <c r="L74" s="110">
        <v>283333</v>
      </c>
      <c r="M74" s="110">
        <v>283333</v>
      </c>
      <c r="N74" s="110">
        <v>283333</v>
      </c>
      <c r="O74" s="110">
        <v>283333</v>
      </c>
      <c r="P74" s="110">
        <v>283333</v>
      </c>
      <c r="Q74" s="115">
        <f t="shared" si="33"/>
        <v>3116663</v>
      </c>
    </row>
    <row r="75" spans="1:17" x14ac:dyDescent="0.35">
      <c r="A75" s="109" t="s">
        <v>50</v>
      </c>
      <c r="B75" s="109">
        <v>1592</v>
      </c>
      <c r="C75" s="109" t="s">
        <v>141</v>
      </c>
      <c r="D75" s="109" t="s">
        <v>32</v>
      </c>
      <c r="E75" s="110"/>
      <c r="F75" s="110">
        <f>-E6/120</f>
        <v>-83333.333333333328</v>
      </c>
      <c r="G75" s="110">
        <v>-83333.333333333328</v>
      </c>
      <c r="H75" s="110">
        <v>-83333.333333333328</v>
      </c>
      <c r="I75" s="110">
        <v>-83333.333333333328</v>
      </c>
      <c r="J75" s="110">
        <v>-83333.333333333328</v>
      </c>
      <c r="K75" s="110">
        <v>-83333.333333333328</v>
      </c>
      <c r="L75" s="110">
        <v>-83333.333333333328</v>
      </c>
      <c r="M75" s="110">
        <v>-83333.333333333328</v>
      </c>
      <c r="N75" s="110">
        <v>-83333.333333333328</v>
      </c>
      <c r="O75" s="110">
        <v>-83333.333333333328</v>
      </c>
      <c r="P75" s="110">
        <v>-83333.333333333328</v>
      </c>
      <c r="Q75" s="115">
        <f t="shared" si="33"/>
        <v>-916666.66666666674</v>
      </c>
    </row>
    <row r="76" spans="1:17" x14ac:dyDescent="0.35">
      <c r="A76" s="109" t="s">
        <v>50</v>
      </c>
      <c r="B76" s="109">
        <v>1592</v>
      </c>
      <c r="C76" s="109" t="s">
        <v>141</v>
      </c>
      <c r="D76" s="109" t="s">
        <v>32</v>
      </c>
      <c r="E76" s="110"/>
      <c r="F76" s="110">
        <f>-E7/60</f>
        <v>-200000</v>
      </c>
      <c r="G76" s="110">
        <v>-200000</v>
      </c>
      <c r="H76" s="110">
        <v>-200000</v>
      </c>
      <c r="I76" s="110">
        <v>-200000</v>
      </c>
      <c r="J76" s="110">
        <v>-200000</v>
      </c>
      <c r="K76" s="110">
        <v>-200000</v>
      </c>
      <c r="L76" s="110">
        <v>-200000</v>
      </c>
      <c r="M76" s="110">
        <v>-200000</v>
      </c>
      <c r="N76" s="110">
        <v>-200000</v>
      </c>
      <c r="O76" s="110">
        <v>-200000</v>
      </c>
      <c r="P76" s="110">
        <v>-200000</v>
      </c>
      <c r="Q76" s="115">
        <f t="shared" si="33"/>
        <v>-2200000</v>
      </c>
    </row>
    <row r="77" spans="1:17" x14ac:dyDescent="0.35">
      <c r="A77" s="109"/>
      <c r="B77" s="109"/>
      <c r="C77" s="109"/>
      <c r="D77" s="109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5">
        <f t="shared" si="33"/>
        <v>0</v>
      </c>
    </row>
    <row r="78" spans="1:17" x14ac:dyDescent="0.35">
      <c r="A78" s="109" t="s">
        <v>182</v>
      </c>
      <c r="B78" s="109">
        <v>5295</v>
      </c>
      <c r="C78" s="109" t="s">
        <v>168</v>
      </c>
      <c r="D78" s="109" t="s">
        <v>169</v>
      </c>
      <c r="E78" s="110"/>
      <c r="F78" s="110"/>
      <c r="G78" s="110"/>
      <c r="H78" s="110"/>
      <c r="I78" s="110"/>
      <c r="J78" s="110"/>
      <c r="K78" s="110"/>
      <c r="L78" s="145">
        <f>'Presupuesto economico'!$D$76</f>
        <v>10000000</v>
      </c>
      <c r="M78" s="110"/>
      <c r="N78" s="110"/>
      <c r="O78" s="110"/>
      <c r="P78" s="110"/>
      <c r="Q78" s="115">
        <f t="shared" si="33"/>
        <v>10000000</v>
      </c>
    </row>
    <row r="79" spans="1:17" x14ac:dyDescent="0.35">
      <c r="A79" s="109" t="s">
        <v>182</v>
      </c>
      <c r="B79" s="111">
        <v>1110</v>
      </c>
      <c r="C79" s="109" t="s">
        <v>141</v>
      </c>
      <c r="D79" s="109" t="s">
        <v>164</v>
      </c>
      <c r="E79" s="110"/>
      <c r="F79" s="110"/>
      <c r="G79" s="110"/>
      <c r="H79" s="110"/>
      <c r="I79" s="110"/>
      <c r="J79" s="110"/>
      <c r="K79" s="110"/>
      <c r="L79" s="145">
        <f>-L78</f>
        <v>-10000000</v>
      </c>
      <c r="M79" s="110"/>
      <c r="N79" s="110"/>
      <c r="O79" s="110"/>
      <c r="P79" s="110"/>
      <c r="Q79" s="115">
        <f t="shared" si="33"/>
        <v>-10000000</v>
      </c>
    </row>
    <row r="80" spans="1:17" x14ac:dyDescent="0.35">
      <c r="A80" s="109"/>
      <c r="B80" s="109"/>
      <c r="C80" s="109"/>
      <c r="D80" s="109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5">
        <f t="shared" si="33"/>
        <v>0</v>
      </c>
    </row>
    <row r="81" spans="1:17" x14ac:dyDescent="0.35">
      <c r="A81" s="109" t="s">
        <v>245</v>
      </c>
      <c r="B81" s="109">
        <v>5295</v>
      </c>
      <c r="C81" s="109" t="s">
        <v>168</v>
      </c>
      <c r="D81" s="109" t="s">
        <v>169</v>
      </c>
      <c r="E81" s="163">
        <f>'Presupuesto economico'!D77</f>
        <v>0</v>
      </c>
      <c r="F81" s="110"/>
      <c r="G81" s="110"/>
      <c r="H81" s="110"/>
      <c r="I81" s="110"/>
      <c r="J81" s="110"/>
      <c r="K81" s="110"/>
      <c r="L81" s="145"/>
      <c r="M81" s="110"/>
      <c r="N81" s="110"/>
      <c r="O81" s="110"/>
      <c r="P81" s="110"/>
      <c r="Q81" s="115">
        <f t="shared" ref="Q81:Q83" si="35">SUM(E81:P81)</f>
        <v>0</v>
      </c>
    </row>
    <row r="82" spans="1:17" x14ac:dyDescent="0.35">
      <c r="A82" s="109" t="s">
        <v>245</v>
      </c>
      <c r="B82" s="111">
        <v>1110</v>
      </c>
      <c r="C82" s="109" t="s">
        <v>141</v>
      </c>
      <c r="D82" s="109" t="s">
        <v>164</v>
      </c>
      <c r="E82" s="145">
        <f>-E81</f>
        <v>0</v>
      </c>
      <c r="F82" s="110"/>
      <c r="G82" s="110"/>
      <c r="H82" s="110"/>
      <c r="I82" s="110"/>
      <c r="J82" s="110"/>
      <c r="K82" s="110"/>
      <c r="L82" s="145"/>
      <c r="M82" s="110"/>
      <c r="N82" s="110"/>
      <c r="O82" s="110"/>
      <c r="P82" s="110"/>
      <c r="Q82" s="115">
        <f t="shared" si="35"/>
        <v>0</v>
      </c>
    </row>
    <row r="83" spans="1:17" x14ac:dyDescent="0.35">
      <c r="A83" s="109"/>
      <c r="B83" s="109"/>
      <c r="C83" s="109"/>
      <c r="D83" s="109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5">
        <f t="shared" si="35"/>
        <v>0</v>
      </c>
    </row>
    <row r="84" spans="1:17" x14ac:dyDescent="0.35">
      <c r="A84" s="109" t="s">
        <v>183</v>
      </c>
      <c r="B84" s="109">
        <v>6</v>
      </c>
      <c r="C84" s="109" t="s">
        <v>168</v>
      </c>
      <c r="D84" s="109" t="s">
        <v>169</v>
      </c>
      <c r="E84" s="110"/>
      <c r="F84" s="110"/>
      <c r="G84" s="145">
        <f>'Presupuesto economico'!$D$74</f>
        <v>1000000</v>
      </c>
      <c r="H84" s="110"/>
      <c r="I84" s="110"/>
      <c r="J84" s="110"/>
      <c r="K84" s="110"/>
      <c r="L84" s="110"/>
      <c r="M84" s="110"/>
      <c r="N84" s="145">
        <f>'Presupuesto economico'!$D$74</f>
        <v>1000000</v>
      </c>
      <c r="O84" s="110"/>
      <c r="P84" s="110"/>
      <c r="Q84" s="115">
        <f t="shared" si="33"/>
        <v>2000000</v>
      </c>
    </row>
    <row r="85" spans="1:17" x14ac:dyDescent="0.35">
      <c r="A85" s="109" t="s">
        <v>183</v>
      </c>
      <c r="B85" s="111">
        <v>1110</v>
      </c>
      <c r="C85" s="109" t="s">
        <v>141</v>
      </c>
      <c r="D85" s="109" t="s">
        <v>164</v>
      </c>
      <c r="E85" s="110"/>
      <c r="F85" s="110"/>
      <c r="G85" s="145">
        <f>-G84</f>
        <v>-1000000</v>
      </c>
      <c r="H85" s="110"/>
      <c r="I85" s="110"/>
      <c r="J85" s="110"/>
      <c r="K85" s="110"/>
      <c r="L85" s="110"/>
      <c r="M85" s="110"/>
      <c r="N85" s="145">
        <f>-N84</f>
        <v>-1000000</v>
      </c>
      <c r="O85" s="110"/>
      <c r="P85" s="110"/>
      <c r="Q85" s="115">
        <f t="shared" si="33"/>
        <v>-2000000</v>
      </c>
    </row>
    <row r="86" spans="1:17" x14ac:dyDescent="0.35">
      <c r="A86" s="109"/>
      <c r="B86" s="109"/>
      <c r="C86" s="109"/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5">
        <f t="shared" si="33"/>
        <v>0</v>
      </c>
    </row>
    <row r="87" spans="1:17" x14ac:dyDescent="0.35">
      <c r="A87" s="109" t="s">
        <v>184</v>
      </c>
      <c r="B87" s="111">
        <v>1110</v>
      </c>
      <c r="C87" s="109" t="s">
        <v>141</v>
      </c>
      <c r="D87" s="109" t="s">
        <v>164</v>
      </c>
      <c r="E87" s="110">
        <f>-SUM(E88:E92)</f>
        <v>17481863.498112001</v>
      </c>
      <c r="F87" s="110">
        <f>-SUM(F88:F92)</f>
        <v>18146174.311040252</v>
      </c>
      <c r="G87" s="110">
        <f>-SUM(G88:G92)</f>
        <v>27170448.934859782</v>
      </c>
      <c r="H87" s="110">
        <f t="shared" ref="H87:P87" si="36">-SUM(H88:H92)</f>
        <v>19551486.634384457</v>
      </c>
      <c r="I87" s="110">
        <f t="shared" si="36"/>
        <v>20294443.126491062</v>
      </c>
      <c r="J87" s="110">
        <f t="shared" si="36"/>
        <v>21065631.965297729</v>
      </c>
      <c r="K87" s="110">
        <f t="shared" si="36"/>
        <v>21866125.979979038</v>
      </c>
      <c r="L87" s="110">
        <f t="shared" si="36"/>
        <v>22697038.767218243</v>
      </c>
      <c r="M87" s="110">
        <f t="shared" si="36"/>
        <v>23559526.240372539</v>
      </c>
      <c r="N87" s="110">
        <f t="shared" si="36"/>
        <v>32789508.237506695</v>
      </c>
      <c r="O87" s="110">
        <f t="shared" si="36"/>
        <v>25384070.190531954</v>
      </c>
      <c r="P87" s="110">
        <f t="shared" si="36"/>
        <v>26348664.857772164</v>
      </c>
      <c r="Q87" s="115">
        <f t="shared" si="33"/>
        <v>276354982.74356592</v>
      </c>
    </row>
    <row r="88" spans="1:17" x14ac:dyDescent="0.35">
      <c r="A88" s="109" t="s">
        <v>184</v>
      </c>
      <c r="B88" s="109">
        <v>4105</v>
      </c>
      <c r="C88" s="109" t="s">
        <v>185</v>
      </c>
      <c r="D88" s="109" t="s">
        <v>185</v>
      </c>
      <c r="E88" s="123">
        <f>-'Presupuesto economico'!D12</f>
        <v>-16779796.799999997</v>
      </c>
      <c r="F88" s="123">
        <f>-'Presupuesto economico'!D13</f>
        <v>-17417429.078399997</v>
      </c>
      <c r="G88" s="123">
        <f>-'Presupuesto economico'!D14-'Presupuesto economico'!D37</f>
        <v>-26079291.383379199</v>
      </c>
      <c r="H88" s="175">
        <f>-'Presupuesto economico'!D15</f>
        <v>-18766304.455947608</v>
      </c>
      <c r="I88" s="175">
        <f>-'Presupuesto economico'!D16</f>
        <v>-19479424.025273617</v>
      </c>
      <c r="J88" s="175">
        <f>-'Presupuesto economico'!D17</f>
        <v>-20219642.138234016</v>
      </c>
      <c r="K88" s="175">
        <f>-'Presupuesto economico'!D18</f>
        <v>-20987988.539486907</v>
      </c>
      <c r="L88" s="175">
        <f>-'Presupuesto economico'!D19</f>
        <v>-21785532.103987411</v>
      </c>
      <c r="M88" s="175">
        <f>-'Presupuesto economico'!D20</f>
        <v>-22613382.323938932</v>
      </c>
      <c r="N88" s="175">
        <f>-'Presupuesto economico'!D21-'Presupuesto economico'!D37</f>
        <v>-31472690.852248613</v>
      </c>
      <c r="O88" s="175">
        <f>-'Presupuesto economico'!D22</f>
        <v>-24364653.104634061</v>
      </c>
      <c r="P88" s="175">
        <f>-'Presupuesto economico'!D23</f>
        <v>-25290509.922610156</v>
      </c>
      <c r="Q88" s="115">
        <f t="shared" si="33"/>
        <v>-265256644.72814053</v>
      </c>
    </row>
    <row r="89" spans="1:17" x14ac:dyDescent="0.35">
      <c r="A89" s="109" t="s">
        <v>184</v>
      </c>
      <c r="B89" s="109">
        <v>2405</v>
      </c>
      <c r="C89" s="109" t="s">
        <v>172</v>
      </c>
      <c r="D89" s="109" t="s">
        <v>173</v>
      </c>
      <c r="E89" s="110">
        <f>+E88*19%</f>
        <v>-3188161.3919999995</v>
      </c>
      <c r="F89" s="110">
        <f>+F88*19%</f>
        <v>-3309311.5248959996</v>
      </c>
      <c r="G89" s="110">
        <f>+G88*19%</f>
        <v>-4955065.3628420476</v>
      </c>
      <c r="H89" s="110">
        <f t="shared" ref="H89" si="37">+H88*19%</f>
        <v>-3565597.8466300457</v>
      </c>
      <c r="I89" s="110">
        <f t="shared" ref="I89" si="38">+I88*19%</f>
        <v>-3701090.5648019873</v>
      </c>
      <c r="J89" s="110">
        <f t="shared" ref="J89:P89" si="39">+J88*19%</f>
        <v>-3841732.0062644631</v>
      </c>
      <c r="K89" s="110">
        <f t="shared" si="39"/>
        <v>-3987717.8225025125</v>
      </c>
      <c r="L89" s="110">
        <f t="shared" si="39"/>
        <v>-4139251.099757608</v>
      </c>
      <c r="M89" s="110">
        <f t="shared" si="39"/>
        <v>-4296542.641548397</v>
      </c>
      <c r="N89" s="110">
        <f t="shared" si="39"/>
        <v>-5979811.2619272368</v>
      </c>
      <c r="O89" s="110">
        <f t="shared" si="39"/>
        <v>-4629284.089880472</v>
      </c>
      <c r="P89" s="110">
        <f t="shared" si="39"/>
        <v>-4805196.8852959294</v>
      </c>
      <c r="Q89" s="115">
        <f>SUM(E89:P89)</f>
        <v>-50398762.498346701</v>
      </c>
    </row>
    <row r="90" spans="1:17" x14ac:dyDescent="0.35">
      <c r="A90" s="109"/>
      <c r="B90" s="109">
        <v>13</v>
      </c>
      <c r="C90" s="109" t="s">
        <v>141</v>
      </c>
      <c r="D90" s="109" t="s">
        <v>186</v>
      </c>
      <c r="E90" s="110">
        <f>-E89*15%</f>
        <v>478224.20879999991</v>
      </c>
      <c r="F90" s="110">
        <f>-F89*15%</f>
        <v>496396.72873439989</v>
      </c>
      <c r="G90" s="110">
        <f>-G89*15%</f>
        <v>743259.80442630709</v>
      </c>
      <c r="H90" s="110">
        <f t="shared" ref="H90" si="40">-H89*15%</f>
        <v>534839.67699450685</v>
      </c>
      <c r="I90" s="110">
        <f t="shared" ref="I90" si="41">-I89*15%</f>
        <v>555163.58472029807</v>
      </c>
      <c r="J90" s="110">
        <f t="shared" ref="J90:P90" si="42">-J89*15%</f>
        <v>576259.80093966948</v>
      </c>
      <c r="K90" s="110">
        <f t="shared" si="42"/>
        <v>598157.67337537685</v>
      </c>
      <c r="L90" s="110">
        <f t="shared" si="42"/>
        <v>620887.6649636412</v>
      </c>
      <c r="M90" s="110">
        <f t="shared" si="42"/>
        <v>644481.39623225958</v>
      </c>
      <c r="N90" s="110">
        <f t="shared" si="42"/>
        <v>896971.68928908545</v>
      </c>
      <c r="O90" s="110">
        <f t="shared" si="42"/>
        <v>694392.61348207074</v>
      </c>
      <c r="P90" s="110">
        <f t="shared" si="42"/>
        <v>720779.53279438941</v>
      </c>
      <c r="Q90" s="115">
        <f>SUM(E90:P90)</f>
        <v>7559814.3747520056</v>
      </c>
    </row>
    <row r="91" spans="1:17" x14ac:dyDescent="0.35">
      <c r="A91" s="109" t="s">
        <v>184</v>
      </c>
      <c r="B91" s="109">
        <v>13</v>
      </c>
      <c r="C91" s="109" t="s">
        <v>141</v>
      </c>
      <c r="D91" s="109" t="s">
        <v>187</v>
      </c>
      <c r="E91" s="110">
        <f>-E88*0.966%</f>
        <v>162092.83708799997</v>
      </c>
      <c r="F91" s="110">
        <f>-F88*0.966%</f>
        <v>168252.36489734397</v>
      </c>
      <c r="G91" s="110">
        <f>-G88*0.966%</f>
        <v>251925.95476344306</v>
      </c>
      <c r="H91" s="110">
        <f t="shared" ref="H91" si="43">-H88*0.966%</f>
        <v>181282.50104445391</v>
      </c>
      <c r="I91" s="110">
        <f t="shared" ref="I91" si="44">-I88*0.966%</f>
        <v>188171.23608414314</v>
      </c>
      <c r="J91" s="110">
        <f t="shared" ref="J91:P91" si="45">-J88*0.966%</f>
        <v>195321.7430553406</v>
      </c>
      <c r="K91" s="110">
        <f t="shared" si="45"/>
        <v>202743.96929144353</v>
      </c>
      <c r="L91" s="110">
        <f t="shared" si="45"/>
        <v>210448.2401245184</v>
      </c>
      <c r="M91" s="110">
        <f t="shared" si="45"/>
        <v>218445.27324925008</v>
      </c>
      <c r="N91" s="110">
        <f t="shared" si="45"/>
        <v>304026.19363272161</v>
      </c>
      <c r="O91" s="110">
        <f t="shared" si="45"/>
        <v>235362.54899076503</v>
      </c>
      <c r="P91" s="110">
        <f t="shared" si="45"/>
        <v>244306.32585241413</v>
      </c>
      <c r="Q91" s="115">
        <f t="shared" si="33"/>
        <v>2562379.1880738377</v>
      </c>
    </row>
    <row r="92" spans="1:17" x14ac:dyDescent="0.35">
      <c r="A92" s="109" t="s">
        <v>184</v>
      </c>
      <c r="B92" s="109">
        <v>13</v>
      </c>
      <c r="C92" s="109" t="s">
        <v>141</v>
      </c>
      <c r="D92" s="109" t="s">
        <v>188</v>
      </c>
      <c r="E92" s="110">
        <f>-E88*11%</f>
        <v>1845777.6479999996</v>
      </c>
      <c r="F92" s="110">
        <f>-F88*11%</f>
        <v>1915917.1986239997</v>
      </c>
      <c r="G92" s="110">
        <f>-G88*11%</f>
        <v>2868722.0521717118</v>
      </c>
      <c r="H92" s="110">
        <f t="shared" ref="H92" si="46">-H88*11%</f>
        <v>2064293.4901542368</v>
      </c>
      <c r="I92" s="110">
        <f t="shared" ref="I92" si="47">-I88*11%</f>
        <v>2142736.6427800981</v>
      </c>
      <c r="J92" s="110">
        <f t="shared" ref="J92:P92" si="48">-J88*11%</f>
        <v>2224160.6352057415</v>
      </c>
      <c r="K92" s="110">
        <f t="shared" si="48"/>
        <v>2308678.7393435598</v>
      </c>
      <c r="L92" s="110">
        <f t="shared" si="48"/>
        <v>2396408.5314386152</v>
      </c>
      <c r="M92" s="110">
        <f t="shared" si="48"/>
        <v>2487472.0556332828</v>
      </c>
      <c r="N92" s="110">
        <f t="shared" si="48"/>
        <v>3461995.9937473475</v>
      </c>
      <c r="O92" s="110">
        <f t="shared" si="48"/>
        <v>2680111.8415097469</v>
      </c>
      <c r="P92" s="110">
        <f t="shared" si="48"/>
        <v>2781956.0914871171</v>
      </c>
      <c r="Q92" s="115">
        <f>SUM(E92:P92)</f>
        <v>29178230.920095455</v>
      </c>
    </row>
    <row r="93" spans="1:17" x14ac:dyDescent="0.35">
      <c r="A93" s="109"/>
      <c r="B93" s="109"/>
      <c r="C93" s="109"/>
      <c r="D93" s="109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5">
        <f t="shared" si="33"/>
        <v>0</v>
      </c>
    </row>
    <row r="94" spans="1:17" x14ac:dyDescent="0.35">
      <c r="A94" s="109" t="s">
        <v>189</v>
      </c>
      <c r="B94" s="109">
        <v>2405</v>
      </c>
      <c r="C94" s="109" t="s">
        <v>172</v>
      </c>
      <c r="D94" s="109" t="s">
        <v>173</v>
      </c>
      <c r="E94" s="110"/>
      <c r="F94" s="110"/>
      <c r="G94" s="110"/>
      <c r="H94" s="110"/>
      <c r="I94" s="110"/>
      <c r="J94" s="110"/>
      <c r="K94" s="110">
        <f>-J89</f>
        <v>3841732.0062644631</v>
      </c>
      <c r="L94" s="110"/>
      <c r="M94" s="110">
        <f>-K89-L89</f>
        <v>8126968.9222601205</v>
      </c>
      <c r="N94" s="110"/>
      <c r="O94" s="110">
        <f>-M89-N89</f>
        <v>10276353.903475635</v>
      </c>
      <c r="P94" s="110"/>
      <c r="Q94" s="115">
        <f t="shared" si="33"/>
        <v>22245054.832000218</v>
      </c>
    </row>
    <row r="95" spans="1:17" x14ac:dyDescent="0.35">
      <c r="A95" s="109" t="s">
        <v>189</v>
      </c>
      <c r="B95" s="111">
        <v>1110</v>
      </c>
      <c r="C95" s="109" t="s">
        <v>141</v>
      </c>
      <c r="D95" s="109" t="s">
        <v>190</v>
      </c>
      <c r="E95" s="110"/>
      <c r="F95" s="110"/>
      <c r="G95" s="110"/>
      <c r="H95" s="110"/>
      <c r="I95" s="110"/>
      <c r="J95" s="110"/>
      <c r="K95" s="110">
        <f>-K94</f>
        <v>-3841732.0062644631</v>
      </c>
      <c r="L95" s="110"/>
      <c r="M95" s="110">
        <f>-M94</f>
        <v>-8126968.9222601205</v>
      </c>
      <c r="N95" s="110"/>
      <c r="O95" s="110">
        <f>-O94</f>
        <v>-10276353.903475635</v>
      </c>
      <c r="P95" s="110"/>
      <c r="Q95" s="115">
        <f t="shared" si="33"/>
        <v>-22245054.832000218</v>
      </c>
    </row>
    <row r="96" spans="1:17" x14ac:dyDescent="0.35">
      <c r="A96" s="109"/>
      <c r="B96" s="109"/>
      <c r="C96" s="109"/>
      <c r="D96" s="109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5">
        <f t="shared" si="33"/>
        <v>0</v>
      </c>
    </row>
    <row r="97" spans="1:17" x14ac:dyDescent="0.35">
      <c r="A97" s="109" t="s">
        <v>191</v>
      </c>
      <c r="B97" s="109">
        <v>5305</v>
      </c>
      <c r="C97" s="109" t="s">
        <v>192</v>
      </c>
      <c r="D97" s="109" t="s">
        <v>193</v>
      </c>
      <c r="E97" s="110">
        <f>4*E10/1000</f>
        <v>160000</v>
      </c>
      <c r="F97" s="110">
        <f>-4*F88/1000</f>
        <v>69669.716313599987</v>
      </c>
      <c r="G97" s="110">
        <f>-4*G88/1000</f>
        <v>104317.16553351679</v>
      </c>
      <c r="H97" s="110">
        <f t="shared" ref="H97:P97" si="49">-4*H88/1000</f>
        <v>75065.21782379043</v>
      </c>
      <c r="I97" s="110">
        <f t="shared" si="49"/>
        <v>77917.696101094465</v>
      </c>
      <c r="J97" s="110">
        <f t="shared" si="49"/>
        <v>80878.568552936063</v>
      </c>
      <c r="K97" s="110">
        <f t="shared" si="49"/>
        <v>83951.954157947635</v>
      </c>
      <c r="L97" s="110">
        <f t="shared" si="49"/>
        <v>87142.128415949643</v>
      </c>
      <c r="M97" s="110">
        <f t="shared" si="49"/>
        <v>90453.529295755725</v>
      </c>
      <c r="N97" s="110">
        <f t="shared" si="49"/>
        <v>125890.76340899445</v>
      </c>
      <c r="O97" s="110">
        <f t="shared" si="49"/>
        <v>97458.612418536242</v>
      </c>
      <c r="P97" s="110">
        <f t="shared" si="49"/>
        <v>101162.03969044062</v>
      </c>
      <c r="Q97" s="115"/>
    </row>
    <row r="98" spans="1:17" x14ac:dyDescent="0.35">
      <c r="A98" s="109" t="s">
        <v>191</v>
      </c>
      <c r="B98" s="111">
        <v>1110</v>
      </c>
      <c r="C98" s="109" t="s">
        <v>141</v>
      </c>
      <c r="D98" s="109" t="s">
        <v>190</v>
      </c>
      <c r="E98" s="110">
        <f t="shared" ref="E98:P98" si="50">-E97</f>
        <v>-160000</v>
      </c>
      <c r="F98" s="110">
        <f t="shared" si="50"/>
        <v>-69669.716313599987</v>
      </c>
      <c r="G98" s="110">
        <f t="shared" si="50"/>
        <v>-104317.16553351679</v>
      </c>
      <c r="H98" s="110">
        <f t="shared" si="50"/>
        <v>-75065.21782379043</v>
      </c>
      <c r="I98" s="110">
        <f t="shared" si="50"/>
        <v>-77917.696101094465</v>
      </c>
      <c r="J98" s="110">
        <f t="shared" si="50"/>
        <v>-80878.568552936063</v>
      </c>
      <c r="K98" s="110">
        <f t="shared" si="50"/>
        <v>-83951.954157947635</v>
      </c>
      <c r="L98" s="110">
        <f t="shared" si="50"/>
        <v>-87142.128415949643</v>
      </c>
      <c r="M98" s="110">
        <f t="shared" si="50"/>
        <v>-90453.529295755725</v>
      </c>
      <c r="N98" s="110">
        <f t="shared" si="50"/>
        <v>-125890.76340899445</v>
      </c>
      <c r="O98" s="110">
        <f t="shared" si="50"/>
        <v>-97458.612418536242</v>
      </c>
      <c r="P98" s="110">
        <f t="shared" si="50"/>
        <v>-101162.03969044062</v>
      </c>
      <c r="Q98" s="115"/>
    </row>
    <row r="99" spans="1:17" x14ac:dyDescent="0.35">
      <c r="A99" s="109"/>
      <c r="B99" s="109"/>
      <c r="C99" s="109"/>
      <c r="D99" s="109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5">
        <f t="shared" si="33"/>
        <v>0</v>
      </c>
    </row>
    <row r="100" spans="1:17" x14ac:dyDescent="0.35">
      <c r="A100" s="120" t="s">
        <v>210</v>
      </c>
      <c r="B100" s="120">
        <v>5405</v>
      </c>
      <c r="C100" t="s">
        <v>168</v>
      </c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>
        <f>'Estado de resultados'!E19</f>
        <v>9241777.6361263786</v>
      </c>
      <c r="Q100" s="115">
        <f t="shared" si="33"/>
        <v>9241777.6361263786</v>
      </c>
    </row>
    <row r="101" spans="1:17" x14ac:dyDescent="0.35">
      <c r="A101" s="120" t="s">
        <v>210</v>
      </c>
      <c r="B101" s="120">
        <v>13</v>
      </c>
      <c r="C101" t="s">
        <v>141</v>
      </c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>
        <f>-P100</f>
        <v>-9241777.6361263786</v>
      </c>
      <c r="Q101" s="115">
        <f t="shared" si="33"/>
        <v>-9241777.6361263786</v>
      </c>
    </row>
    <row r="104" spans="1:17" s="113" customFormat="1" x14ac:dyDescent="0.35">
      <c r="A104" s="112" t="s">
        <v>194</v>
      </c>
      <c r="E104" s="104">
        <f t="shared" ref="E104:P104" si="51">+E4+E8+E10+E27+E46+E53+E60+E63+E66+E69+E72+E79+E85+E87+E95+E96+E40+E98+E43</f>
        <v>29736213.375112001</v>
      </c>
      <c r="F104" s="104">
        <f t="shared" si="51"/>
        <v>1662404.080675859</v>
      </c>
      <c r="G104" s="104">
        <f t="shared" si="51"/>
        <v>9652031.255275473</v>
      </c>
      <c r="H104" s="104">
        <f t="shared" si="51"/>
        <v>3062320.9025098733</v>
      </c>
      <c r="I104" s="104">
        <f t="shared" si="51"/>
        <v>3802424.9163391744</v>
      </c>
      <c r="J104" s="104">
        <f t="shared" si="51"/>
        <v>4570652.8826939994</v>
      </c>
      <c r="K104" s="104">
        <f t="shared" si="51"/>
        <v>1526341.5055058342</v>
      </c>
      <c r="L104" s="104">
        <f t="shared" si="51"/>
        <v>-3804203.8752484997</v>
      </c>
      <c r="M104" s="104">
        <f t="shared" si="51"/>
        <v>-1071996.7252341311</v>
      </c>
      <c r="N104" s="104">
        <f t="shared" si="51"/>
        <v>15249516.960046908</v>
      </c>
      <c r="O104" s="104">
        <f t="shared" si="51"/>
        <v>-1403842.8394130103</v>
      </c>
      <c r="P104" s="104">
        <f t="shared" si="51"/>
        <v>-17803271.171969071</v>
      </c>
      <c r="Q104" s="104">
        <f>SUBTOTAL(9,E104:P104)</f>
        <v>45178591.26629442</v>
      </c>
    </row>
    <row r="107" spans="1:17" x14ac:dyDescent="0.35">
      <c r="Q107" s="104"/>
    </row>
    <row r="108" spans="1:17" x14ac:dyDescent="0.35">
      <c r="A108" s="113" t="s">
        <v>47</v>
      </c>
      <c r="D108" t="s">
        <v>185</v>
      </c>
      <c r="E108" s="114">
        <f t="shared" ref="E108:P112" si="52">SUMIF($C:$C,$D108,E:E)</f>
        <v>-16779796.799999997</v>
      </c>
      <c r="F108" s="114">
        <f t="shared" si="52"/>
        <v>-17417429.078399997</v>
      </c>
      <c r="G108" s="114">
        <f t="shared" si="52"/>
        <v>-26079291.383379199</v>
      </c>
      <c r="H108" s="114">
        <f t="shared" si="52"/>
        <v>-18766304.455947608</v>
      </c>
      <c r="I108" s="114">
        <f t="shared" si="52"/>
        <v>-19479424.025273617</v>
      </c>
      <c r="J108" s="114">
        <f t="shared" si="52"/>
        <v>-20219642.138234016</v>
      </c>
      <c r="K108" s="114">
        <f t="shared" si="52"/>
        <v>-20987988.539486907</v>
      </c>
      <c r="L108" s="114">
        <f t="shared" si="52"/>
        <v>-21785532.103987411</v>
      </c>
      <c r="M108" s="114">
        <f t="shared" si="52"/>
        <v>-22613382.323938932</v>
      </c>
      <c r="N108" s="114">
        <f t="shared" si="52"/>
        <v>-31472690.852248613</v>
      </c>
      <c r="O108" s="114">
        <f t="shared" si="52"/>
        <v>-24364653.104634061</v>
      </c>
      <c r="P108" s="114">
        <f t="shared" si="52"/>
        <v>-25290509.922610156</v>
      </c>
      <c r="Q108" s="115">
        <f>SUM(E108:P108)</f>
        <v>-265256644.72814053</v>
      </c>
    </row>
    <row r="109" spans="1:17" x14ac:dyDescent="0.35">
      <c r="D109" t="s">
        <v>150</v>
      </c>
      <c r="E109" s="114">
        <f t="shared" si="52"/>
        <v>16215410.123</v>
      </c>
      <c r="F109" s="114">
        <f t="shared" si="52"/>
        <v>16215410.123</v>
      </c>
      <c r="G109" s="114">
        <f t="shared" si="52"/>
        <v>16215410.123</v>
      </c>
      <c r="H109" s="114">
        <f t="shared" si="52"/>
        <v>16215410.123</v>
      </c>
      <c r="I109" s="114">
        <f t="shared" si="52"/>
        <v>16215410.123</v>
      </c>
      <c r="J109" s="114">
        <f t="shared" si="52"/>
        <v>16215410.123</v>
      </c>
      <c r="K109" s="114">
        <f t="shared" si="52"/>
        <v>16215410.123</v>
      </c>
      <c r="L109" s="114">
        <f t="shared" si="52"/>
        <v>16215410.123</v>
      </c>
      <c r="M109" s="114">
        <f t="shared" si="52"/>
        <v>16215410.123</v>
      </c>
      <c r="N109" s="114">
        <f t="shared" si="52"/>
        <v>16215410.123</v>
      </c>
      <c r="O109" s="114">
        <f t="shared" si="52"/>
        <v>16215410.123</v>
      </c>
      <c r="P109" s="114">
        <f t="shared" si="52"/>
        <v>16215410.123</v>
      </c>
      <c r="Q109" s="115">
        <f t="shared" ref="Q109:Q112" si="53">SUM(E109:P109)</f>
        <v>194584921.47599998</v>
      </c>
    </row>
    <row r="110" spans="1:17" x14ac:dyDescent="0.35">
      <c r="D110" t="s">
        <v>168</v>
      </c>
      <c r="E110" s="114">
        <f t="shared" si="52"/>
        <v>7001666.666666667</v>
      </c>
      <c r="F110" s="114">
        <f t="shared" si="52"/>
        <v>1966666.6666666667</v>
      </c>
      <c r="G110" s="114">
        <f t="shared" si="52"/>
        <v>2966666.666666667</v>
      </c>
      <c r="H110" s="114">
        <f t="shared" si="52"/>
        <v>1966666.6666666667</v>
      </c>
      <c r="I110" s="114">
        <f t="shared" si="52"/>
        <v>1966666.6666666667</v>
      </c>
      <c r="J110" s="114">
        <f t="shared" si="52"/>
        <v>1966666.6666666667</v>
      </c>
      <c r="K110" s="114">
        <f t="shared" si="52"/>
        <v>1966666.6666666667</v>
      </c>
      <c r="L110" s="114">
        <f t="shared" si="52"/>
        <v>11966666.666666666</v>
      </c>
      <c r="M110" s="114">
        <f t="shared" si="52"/>
        <v>1966666.6666666667</v>
      </c>
      <c r="N110" s="114">
        <f t="shared" si="52"/>
        <v>2966666.666666667</v>
      </c>
      <c r="O110" s="114">
        <f t="shared" si="52"/>
        <v>1966666.6666666667</v>
      </c>
      <c r="P110" s="114">
        <f t="shared" si="52"/>
        <v>11208444.302793045</v>
      </c>
      <c r="Q110" s="115">
        <f t="shared" si="53"/>
        <v>49876777.636126369</v>
      </c>
    </row>
    <row r="111" spans="1:17" x14ac:dyDescent="0.35">
      <c r="D111" t="s">
        <v>181</v>
      </c>
      <c r="E111" s="114">
        <f t="shared" si="52"/>
        <v>0</v>
      </c>
      <c r="F111" s="114">
        <f t="shared" si="52"/>
        <v>283333</v>
      </c>
      <c r="G111" s="114">
        <f t="shared" si="52"/>
        <v>283333</v>
      </c>
      <c r="H111" s="114">
        <f t="shared" si="52"/>
        <v>283333</v>
      </c>
      <c r="I111" s="114">
        <f t="shared" si="52"/>
        <v>283333</v>
      </c>
      <c r="J111" s="114">
        <f t="shared" si="52"/>
        <v>283333</v>
      </c>
      <c r="K111" s="114">
        <f t="shared" si="52"/>
        <v>283333</v>
      </c>
      <c r="L111" s="114">
        <f t="shared" si="52"/>
        <v>283333</v>
      </c>
      <c r="M111" s="114">
        <f t="shared" si="52"/>
        <v>283333</v>
      </c>
      <c r="N111" s="114">
        <f t="shared" si="52"/>
        <v>283333</v>
      </c>
      <c r="O111" s="114">
        <f t="shared" si="52"/>
        <v>283333</v>
      </c>
      <c r="P111" s="114">
        <f t="shared" si="52"/>
        <v>283333</v>
      </c>
      <c r="Q111" s="115">
        <f t="shared" si="53"/>
        <v>3116663</v>
      </c>
    </row>
    <row r="112" spans="1:17" x14ac:dyDescent="0.35">
      <c r="D112" t="s">
        <v>192</v>
      </c>
      <c r="E112" s="114">
        <f t="shared" si="52"/>
        <v>160000</v>
      </c>
      <c r="F112" s="114">
        <f t="shared" si="52"/>
        <v>69669.716313599987</v>
      </c>
      <c r="G112" s="114">
        <f t="shared" si="52"/>
        <v>104317.16553351679</v>
      </c>
      <c r="H112" s="114">
        <f t="shared" si="52"/>
        <v>75065.21782379043</v>
      </c>
      <c r="I112" s="114">
        <f t="shared" si="52"/>
        <v>77917.696101094465</v>
      </c>
      <c r="J112" s="114">
        <f t="shared" si="52"/>
        <v>80878.568552936063</v>
      </c>
      <c r="K112" s="114">
        <f t="shared" si="52"/>
        <v>83951.954157947635</v>
      </c>
      <c r="L112" s="114">
        <f t="shared" si="52"/>
        <v>87142.128415949643</v>
      </c>
      <c r="M112" s="114">
        <f t="shared" si="52"/>
        <v>90453.529295755725</v>
      </c>
      <c r="N112" s="114">
        <f t="shared" si="52"/>
        <v>125890.76340899445</v>
      </c>
      <c r="O112" s="114">
        <f t="shared" si="52"/>
        <v>97458.612418536242</v>
      </c>
      <c r="P112" s="114">
        <f t="shared" si="52"/>
        <v>101162.03969044062</v>
      </c>
      <c r="Q112" s="115">
        <f t="shared" si="53"/>
        <v>1153907.3917125619</v>
      </c>
    </row>
    <row r="113" spans="1:18" x14ac:dyDescent="0.35">
      <c r="Q113" s="116">
        <f>SUM(Q108:Q112)</f>
        <v>-16524375.224301621</v>
      </c>
    </row>
    <row r="114" spans="1:18" x14ac:dyDescent="0.35">
      <c r="A114" s="113" t="s">
        <v>195</v>
      </c>
    </row>
    <row r="115" spans="1:18" x14ac:dyDescent="0.35">
      <c r="D115" t="s">
        <v>43</v>
      </c>
      <c r="E115" s="114">
        <f t="shared" ref="E115:P119" si="54">SUMIF($C:$C,$D115,E:E)</f>
        <v>-23600000</v>
      </c>
      <c r="F115" s="114">
        <f t="shared" si="54"/>
        <v>0</v>
      </c>
      <c r="G115" s="114">
        <f t="shared" si="54"/>
        <v>0</v>
      </c>
      <c r="H115" s="114">
        <f t="shared" si="54"/>
        <v>0</v>
      </c>
      <c r="I115" s="114">
        <f t="shared" si="54"/>
        <v>0</v>
      </c>
      <c r="J115" s="114">
        <f t="shared" si="54"/>
        <v>0</v>
      </c>
      <c r="K115" s="114">
        <f t="shared" si="54"/>
        <v>0</v>
      </c>
      <c r="L115" s="114">
        <f t="shared" si="54"/>
        <v>0</v>
      </c>
      <c r="M115" s="114">
        <f t="shared" si="54"/>
        <v>0</v>
      </c>
      <c r="N115" s="114">
        <f t="shared" si="54"/>
        <v>0</v>
      </c>
      <c r="O115" s="114">
        <f t="shared" si="54"/>
        <v>0</v>
      </c>
      <c r="P115" s="114">
        <f t="shared" si="54"/>
        <v>0</v>
      </c>
      <c r="Q115" s="115">
        <f>SUM(E115:P115)</f>
        <v>-23600000</v>
      </c>
    </row>
    <row r="116" spans="1:18" x14ac:dyDescent="0.35">
      <c r="D116" t="s">
        <v>141</v>
      </c>
      <c r="E116" s="114">
        <f t="shared" si="54"/>
        <v>61555641.402333334</v>
      </c>
      <c r="F116" s="114">
        <f t="shared" si="54"/>
        <v>3292970.3729316066</v>
      </c>
      <c r="G116" s="114">
        <f t="shared" si="54"/>
        <v>12565939.066636939</v>
      </c>
      <c r="H116" s="114">
        <f t="shared" si="54"/>
        <v>4892736.5707030753</v>
      </c>
      <c r="I116" s="114">
        <f t="shared" si="54"/>
        <v>5738496.3799237181</v>
      </c>
      <c r="J116" s="114">
        <f t="shared" si="54"/>
        <v>6616395.0618947549</v>
      </c>
      <c r="K116" s="114">
        <f t="shared" si="54"/>
        <v>3685921.8875162182</v>
      </c>
      <c r="L116" s="114">
        <f t="shared" si="54"/>
        <v>-1526459.4387217206</v>
      </c>
      <c r="M116" s="114">
        <f t="shared" si="54"/>
        <v>1328401.9998806657</v>
      </c>
      <c r="N116" s="114">
        <f t="shared" si="54"/>
        <v>18962510.836716063</v>
      </c>
      <c r="O116" s="114">
        <f t="shared" si="54"/>
        <v>1256024.164569577</v>
      </c>
      <c r="P116" s="114">
        <f t="shared" si="54"/>
        <v>-24248006.857961528</v>
      </c>
      <c r="Q116" s="115">
        <f t="shared" ref="Q116:Q119" si="55">SUM(E116:P116)</f>
        <v>94120571.446422726</v>
      </c>
    </row>
    <row r="117" spans="1:18" x14ac:dyDescent="0.35">
      <c r="D117" t="s">
        <v>147</v>
      </c>
      <c r="E117" s="114">
        <f t="shared" si="54"/>
        <v>-40000000</v>
      </c>
      <c r="F117" s="114">
        <f t="shared" si="54"/>
        <v>1292190.3910507923</v>
      </c>
      <c r="G117" s="114">
        <f t="shared" si="54"/>
        <v>1292190.3910507923</v>
      </c>
      <c r="H117" s="114">
        <f t="shared" si="54"/>
        <v>1292190.3910507923</v>
      </c>
      <c r="I117" s="114">
        <f t="shared" si="54"/>
        <v>1292190.3910507923</v>
      </c>
      <c r="J117" s="114">
        <f t="shared" si="54"/>
        <v>1292190.3910507923</v>
      </c>
      <c r="K117" s="114">
        <f t="shared" si="54"/>
        <v>1292190.3910507923</v>
      </c>
      <c r="L117" s="114">
        <f t="shared" si="54"/>
        <v>1292190.3910507923</v>
      </c>
      <c r="M117" s="114">
        <f t="shared" si="54"/>
        <v>1292190.3910507923</v>
      </c>
      <c r="N117" s="114">
        <f t="shared" si="54"/>
        <v>1292190.3910507923</v>
      </c>
      <c r="O117" s="114">
        <f t="shared" si="54"/>
        <v>1292190.3910507923</v>
      </c>
      <c r="P117" s="114">
        <f t="shared" si="54"/>
        <v>1292190.3910507923</v>
      </c>
      <c r="Q117" s="115">
        <f t="shared" si="55"/>
        <v>-25785905.698441274</v>
      </c>
    </row>
    <row r="118" spans="1:18" x14ac:dyDescent="0.35">
      <c r="D118" t="s">
        <v>162</v>
      </c>
      <c r="E118" s="114">
        <f t="shared" si="54"/>
        <v>-2393499.9999999995</v>
      </c>
      <c r="F118" s="114">
        <f t="shared" si="54"/>
        <v>-2393499.9999999995</v>
      </c>
      <c r="G118" s="114">
        <f t="shared" si="54"/>
        <v>-2393499.9999999995</v>
      </c>
      <c r="H118" s="114">
        <f t="shared" si="54"/>
        <v>-2393499.9999999995</v>
      </c>
      <c r="I118" s="114">
        <f t="shared" si="54"/>
        <v>-2393499.9999999995</v>
      </c>
      <c r="J118" s="114">
        <f t="shared" si="54"/>
        <v>-2393499.9999999995</v>
      </c>
      <c r="K118" s="114">
        <f t="shared" si="54"/>
        <v>-2393499.9999999995</v>
      </c>
      <c r="L118" s="114">
        <f t="shared" si="54"/>
        <v>-2393499.9999999995</v>
      </c>
      <c r="M118" s="114">
        <f t="shared" si="54"/>
        <v>-2393499.9999999995</v>
      </c>
      <c r="N118" s="114">
        <f t="shared" si="54"/>
        <v>-2393499.9999999995</v>
      </c>
      <c r="O118" s="114">
        <f t="shared" si="54"/>
        <v>-2393499.9999999995</v>
      </c>
      <c r="P118" s="114">
        <f t="shared" si="54"/>
        <v>25243173.476</v>
      </c>
      <c r="Q118" s="115">
        <f t="shared" si="55"/>
        <v>-1085326.5239999965</v>
      </c>
    </row>
    <row r="119" spans="1:18" x14ac:dyDescent="0.35">
      <c r="D119" t="s">
        <v>172</v>
      </c>
      <c r="E119" s="114">
        <f t="shared" si="54"/>
        <v>-2159421.3919999991</v>
      </c>
      <c r="F119" s="114">
        <f t="shared" si="54"/>
        <v>-3309311.5248959996</v>
      </c>
      <c r="G119" s="114">
        <f t="shared" si="54"/>
        <v>-4955065.3628420476</v>
      </c>
      <c r="H119" s="114">
        <f t="shared" si="54"/>
        <v>-3565597.8466300457</v>
      </c>
      <c r="I119" s="114">
        <f t="shared" si="54"/>
        <v>-3701090.5648019873</v>
      </c>
      <c r="J119" s="114">
        <f t="shared" si="54"/>
        <v>-3841732.0062644631</v>
      </c>
      <c r="K119" s="114">
        <f t="shared" si="54"/>
        <v>-145985.81623804942</v>
      </c>
      <c r="L119" s="114">
        <f t="shared" si="54"/>
        <v>-4139251.099757608</v>
      </c>
      <c r="M119" s="114">
        <f t="shared" si="54"/>
        <v>3830426.2807117235</v>
      </c>
      <c r="N119" s="114">
        <f t="shared" si="54"/>
        <v>-5979811.2619272368</v>
      </c>
      <c r="O119" s="114">
        <f t="shared" si="54"/>
        <v>5647069.8135951627</v>
      </c>
      <c r="P119" s="114">
        <f t="shared" si="54"/>
        <v>-4805196.8852959294</v>
      </c>
      <c r="Q119" s="115">
        <f t="shared" si="55"/>
        <v>-27124967.666346475</v>
      </c>
    </row>
    <row r="120" spans="1:18" x14ac:dyDescent="0.35">
      <c r="Q120" s="116">
        <f>SUM(Q115:Q119)</f>
        <v>16524371.557634979</v>
      </c>
      <c r="R120" s="113" t="s">
        <v>196</v>
      </c>
    </row>
  </sheetData>
  <autoFilter ref="A2:Q101" xr:uid="{255C651E-D6D9-4BE2-BFFE-6D65BFC42A9E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07E9-7FBB-40F5-98C3-F885DE009475}">
  <dimension ref="B1:O36"/>
  <sheetViews>
    <sheetView topLeftCell="B1" zoomScale="80" zoomScaleNormal="80" workbookViewId="0">
      <pane xSplit="1" ySplit="4" topLeftCell="C5" activePane="bottomRight" state="frozen"/>
      <selection activeCell="M113" sqref="M113"/>
      <selection pane="topRight" activeCell="M113" sqref="M113"/>
      <selection pane="bottomLeft" activeCell="M113" sqref="M113"/>
      <selection pane="bottomRight" activeCell="C8" sqref="C8"/>
    </sheetView>
  </sheetViews>
  <sheetFormatPr baseColWidth="10" defaultRowHeight="15" x14ac:dyDescent="0.4"/>
  <cols>
    <col min="1" max="1" width="3.7265625" customWidth="1"/>
    <col min="2" max="2" width="27.453125" style="70" bestFit="1" customWidth="1"/>
    <col min="3" max="7" width="13.54296875" bestFit="1" customWidth="1"/>
    <col min="8" max="8" width="13.90625" customWidth="1"/>
    <col min="9" max="11" width="13.81640625" bestFit="1" customWidth="1"/>
    <col min="12" max="12" width="19.26953125" bestFit="1" customWidth="1"/>
    <col min="13" max="15" width="14" bestFit="1" customWidth="1"/>
  </cols>
  <sheetData>
    <row r="1" spans="2:15" ht="37.5" thickBot="1" x14ac:dyDescent="0.95">
      <c r="B1" s="187" t="s">
        <v>101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15" ht="15.5" thickTop="1" x14ac:dyDescent="0.4"/>
    <row r="3" spans="2:15" ht="20.5" thickBot="1" x14ac:dyDescent="0.45">
      <c r="C3" s="71" t="s">
        <v>24</v>
      </c>
      <c r="D3" s="71" t="s">
        <v>25</v>
      </c>
      <c r="E3" s="71" t="s">
        <v>26</v>
      </c>
      <c r="F3" s="71" t="s">
        <v>27</v>
      </c>
      <c r="G3" s="71" t="s">
        <v>28</v>
      </c>
      <c r="H3" s="71" t="s">
        <v>29</v>
      </c>
      <c r="I3" s="71" t="s">
        <v>81</v>
      </c>
      <c r="J3" s="71" t="s">
        <v>82</v>
      </c>
      <c r="K3" s="71" t="s">
        <v>83</v>
      </c>
      <c r="L3" s="71" t="s">
        <v>84</v>
      </c>
      <c r="M3" s="71" t="s">
        <v>85</v>
      </c>
      <c r="N3" s="71" t="s">
        <v>86</v>
      </c>
      <c r="O3" s="71" t="s">
        <v>2</v>
      </c>
    </row>
    <row r="4" spans="2:15" ht="15.5" thickTop="1" x14ac:dyDescent="0.4"/>
    <row r="5" spans="2:15" ht="15.5" thickBot="1" x14ac:dyDescent="0.45">
      <c r="B5" s="72" t="s">
        <v>87</v>
      </c>
      <c r="C5" s="73">
        <f>'Presupuesto economico'!D82</f>
        <v>23600000</v>
      </c>
      <c r="D5" s="73">
        <f>C36</f>
        <v>29896213.375111997</v>
      </c>
      <c r="E5" s="73">
        <f>D36</f>
        <v>31628287.172101457</v>
      </c>
      <c r="F5" s="73">
        <f>E36</f>
        <v>41384635.592910446</v>
      </c>
      <c r="G5" s="73">
        <f t="shared" ref="G5:M5" si="0">F36</f>
        <v>44522021.713244118</v>
      </c>
      <c r="H5" s="73">
        <f t="shared" si="0"/>
        <v>48402364.325684391</v>
      </c>
      <c r="I5" s="73">
        <f t="shared" si="0"/>
        <v>53053895.776931338</v>
      </c>
      <c r="J5" s="73">
        <f t="shared" si="0"/>
        <v>54664189.236595131</v>
      </c>
      <c r="K5" s="73">
        <f t="shared" si="0"/>
        <v>50947127.489762582</v>
      </c>
      <c r="L5" s="73">
        <f t="shared" si="0"/>
        <v>49965584.293824203</v>
      </c>
      <c r="M5" s="73">
        <f t="shared" si="0"/>
        <v>65340992.017280109</v>
      </c>
      <c r="N5" s="73">
        <f>M36</f>
        <v>64034607.790285639</v>
      </c>
      <c r="O5" s="101">
        <f>C5</f>
        <v>23600000</v>
      </c>
    </row>
    <row r="7" spans="2:15" x14ac:dyDescent="0.4">
      <c r="B7" s="74" t="s">
        <v>88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</row>
    <row r="8" spans="2:15" ht="27" x14ac:dyDescent="0.35">
      <c r="B8" s="118" t="s">
        <v>218</v>
      </c>
      <c r="C8" s="1">
        <f>'Contabilización Año 1'!E87</f>
        <v>17481863.498112001</v>
      </c>
      <c r="D8" s="1">
        <f>'Contabilización Año 1'!F87</f>
        <v>18146174.311040252</v>
      </c>
      <c r="E8" s="1">
        <f>'Contabilización Año 1'!G87</f>
        <v>27170448.934859782</v>
      </c>
      <c r="F8" s="1">
        <f>'Contabilización Año 1'!H87</f>
        <v>19551486.634384457</v>
      </c>
      <c r="G8" s="1">
        <f>'Contabilización Año 1'!I87</f>
        <v>20294443.126491062</v>
      </c>
      <c r="H8" s="1">
        <f>'Contabilización Año 1'!J87</f>
        <v>21065631.965297729</v>
      </c>
      <c r="I8" s="1">
        <f>'Contabilización Año 1'!K87</f>
        <v>21866125.979979038</v>
      </c>
      <c r="J8" s="1">
        <f>'Contabilización Año 1'!L87</f>
        <v>22697038.767218243</v>
      </c>
      <c r="K8" s="1">
        <f>'Contabilización Año 1'!M87</f>
        <v>23559526.240372539</v>
      </c>
      <c r="L8" s="1">
        <f>'Contabilización Año 1'!N87</f>
        <v>32789508.237506695</v>
      </c>
      <c r="M8" s="1">
        <f>'Contabilización Año 1'!O87</f>
        <v>25384070.190531954</v>
      </c>
      <c r="N8" s="1">
        <f>'Contabilización Año 1'!P87</f>
        <v>26348664.857772164</v>
      </c>
      <c r="O8" s="1">
        <f>SUM(Ingresos[[#This Row],[Columna1]:[Columna12]])</f>
        <v>276354982.74356592</v>
      </c>
    </row>
    <row r="9" spans="2:15" s="1" customFormat="1" ht="15.5" thickBot="1" x14ac:dyDescent="0.45">
      <c r="B9" s="77" t="s">
        <v>89</v>
      </c>
      <c r="C9" s="81">
        <f>SUBTOTAL(109,Ingresos[Columna1])</f>
        <v>17481863.498112001</v>
      </c>
      <c r="D9" s="81">
        <f>SUBTOTAL(109,Ingresos[Columna2])</f>
        <v>18146174.311040252</v>
      </c>
      <c r="E9" s="81">
        <f>SUBTOTAL(109,Ingresos[Columna3])</f>
        <v>27170448.934859782</v>
      </c>
      <c r="F9" s="81">
        <f>SUBTOTAL(109,Ingresos[Columna4])</f>
        <v>19551486.634384457</v>
      </c>
      <c r="G9" s="81">
        <f>SUBTOTAL(109,Ingresos[Columna5])</f>
        <v>20294443.126491062</v>
      </c>
      <c r="H9" s="81">
        <f>SUBTOTAL(109,Ingresos[Columna6])</f>
        <v>21065631.965297729</v>
      </c>
      <c r="I9" s="81">
        <f>SUBTOTAL(109,Ingresos[Columna7])</f>
        <v>21866125.979979038</v>
      </c>
      <c r="J9" s="81">
        <f>SUBTOTAL(109,Ingresos[Columna8])</f>
        <v>22697038.767218243</v>
      </c>
      <c r="K9" s="81">
        <f>SUBTOTAL(109,Ingresos[Columna9])</f>
        <v>23559526.240372539</v>
      </c>
      <c r="L9" s="81">
        <f>SUBTOTAL(109,Ingresos[Columna10])</f>
        <v>32789508.237506695</v>
      </c>
      <c r="M9" s="81">
        <f>SUBTOTAL(109,Ingresos[Columna11])</f>
        <v>25384070.190531954</v>
      </c>
      <c r="N9" s="81">
        <f>SUBTOTAL(109,Ingresos[Columna12])</f>
        <v>26348664.857772164</v>
      </c>
      <c r="O9" s="73">
        <f>SUM(Ingresos[#Totals])</f>
        <v>276354982.74356592</v>
      </c>
    </row>
    <row r="11" spans="2:15" x14ac:dyDescent="0.4">
      <c r="B11" s="74" t="s">
        <v>90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2:15" ht="14.5" x14ac:dyDescent="0.35">
      <c r="B12" s="76" t="s">
        <v>91</v>
      </c>
      <c r="C12" s="1">
        <f>('Contabilización Año 1'!E27+'Contabilización Año 1'!E40+'Contabilización Año 1'!E43)*-1</f>
        <v>13821910.123</v>
      </c>
      <c r="D12" s="1">
        <f>('Contabilización Año 1'!F27+'Contabilización Año 1'!F40+'Contabilización Año 1'!F43)*-1</f>
        <v>13821910.123</v>
      </c>
      <c r="E12" s="1">
        <f>('Contabilización Año 1'!G27+'Contabilización Año 1'!G40+'Contabilización Año 1'!G43)*-1</f>
        <v>13821910.123</v>
      </c>
      <c r="F12" s="1">
        <f>('Contabilización Año 1'!H27+'Contabilización Año 1'!H40+'Contabilización Año 1'!H43)*-1</f>
        <v>13821910.123</v>
      </c>
      <c r="G12" s="1">
        <f>('Contabilización Año 1'!I27+'Contabilización Año 1'!I40+'Contabilización Año 1'!I43)*-1</f>
        <v>13821910.123</v>
      </c>
      <c r="H12" s="1">
        <f>('Contabilización Año 1'!J27+'Contabilización Año 1'!J40+'Contabilización Año 1'!J43)*-1</f>
        <v>13821910.123</v>
      </c>
      <c r="I12" s="1">
        <f>('Contabilización Año 1'!K27+'Contabilización Año 1'!K40+'Contabilización Año 1'!K43)*-1</f>
        <v>13821910.123</v>
      </c>
      <c r="J12" s="1">
        <f>('Contabilización Año 1'!L27+'Contabilización Año 1'!L40+'Contabilización Año 1'!L43)*-1</f>
        <v>13821910.123</v>
      </c>
      <c r="K12" s="1">
        <f>('Contabilización Año 1'!M27+'Contabilización Año 1'!M40+'Contabilización Año 1'!M43)*-1</f>
        <v>13821910.123</v>
      </c>
      <c r="L12" s="1">
        <f>('Contabilización Año 1'!N27+'Contabilización Año 1'!N40+'Contabilización Año 1'!N43)*-1</f>
        <v>13821910.123</v>
      </c>
      <c r="M12" s="1">
        <f>('Contabilización Año 1'!O27+'Contabilización Año 1'!O40+'Contabilización Año 1'!O43)*-1</f>
        <v>13821910.123</v>
      </c>
      <c r="N12" s="1">
        <f>('Contabilización Año 1'!P27+'Contabilización Año 1'!P40+'Contabilización Año 1'!P43)*-1</f>
        <v>41458583.598999999</v>
      </c>
      <c r="O12" s="1">
        <f>SUM(Egresos[[#This Row],[Columna1]:[Columna12]])</f>
        <v>193499594.95199999</v>
      </c>
    </row>
    <row r="13" spans="2:15" ht="14.5" x14ac:dyDescent="0.35">
      <c r="B13" s="76" t="s">
        <v>100</v>
      </c>
      <c r="C13" s="1">
        <f>'Contabilización Año 1'!E79*-1</f>
        <v>0</v>
      </c>
      <c r="D13" s="1">
        <f>'Contabilización Año 1'!F79*-1</f>
        <v>0</v>
      </c>
      <c r="E13" s="1">
        <f>'Contabilización Año 1'!G79*-1</f>
        <v>0</v>
      </c>
      <c r="F13" s="1">
        <f>'Contabilización Año 1'!H79*-1</f>
        <v>0</v>
      </c>
      <c r="G13" s="1">
        <f>'Contabilización Año 1'!I79*-1</f>
        <v>0</v>
      </c>
      <c r="H13" s="1">
        <f>'Contabilización Año 1'!J79*-1</f>
        <v>0</v>
      </c>
      <c r="I13" s="1">
        <f>'Contabilización Año 1'!K79*-1</f>
        <v>0</v>
      </c>
      <c r="J13" s="1">
        <f>'Contabilización Año 1'!L79*-1</f>
        <v>10000000</v>
      </c>
      <c r="K13" s="1">
        <f>'Contabilización Año 1'!M79*-1</f>
        <v>0</v>
      </c>
      <c r="L13" s="1">
        <f>'Contabilización Año 1'!N79*-1</f>
        <v>0</v>
      </c>
      <c r="M13" s="1">
        <f>'Contabilización Año 1'!O79*-1</f>
        <v>0</v>
      </c>
      <c r="N13" s="1">
        <f>'Contabilización Año 1'!P79*-1</f>
        <v>0</v>
      </c>
      <c r="O13" s="1">
        <f>SUM(Egresos[[#This Row],[Columna1]:[Columna12]])</f>
        <v>10000000</v>
      </c>
    </row>
    <row r="14" spans="2:15" ht="14.5" x14ac:dyDescent="0.35">
      <c r="B14" s="76" t="s">
        <v>92</v>
      </c>
      <c r="C14" s="1">
        <f>'Contabilización Año 1'!E66*-1</f>
        <v>1000000</v>
      </c>
      <c r="D14" s="1">
        <f>'Contabilización Año 1'!F66*-1</f>
        <v>1000000</v>
      </c>
      <c r="E14" s="1">
        <f>'Contabilización Año 1'!G66*-1</f>
        <v>1000000</v>
      </c>
      <c r="F14" s="1">
        <f>'Contabilización Año 1'!H66*-1</f>
        <v>1000000</v>
      </c>
      <c r="G14" s="1">
        <f>'Contabilización Año 1'!I66*-1</f>
        <v>1000000</v>
      </c>
      <c r="H14" s="1">
        <f>'Contabilización Año 1'!J66*-1</f>
        <v>1000000</v>
      </c>
      <c r="I14" s="1">
        <f>'Contabilización Año 1'!K66*-1</f>
        <v>1000000</v>
      </c>
      <c r="J14" s="1">
        <f>'Contabilización Año 1'!L66*-1</f>
        <v>1000000</v>
      </c>
      <c r="K14" s="1">
        <f>'Contabilización Año 1'!M66*-1</f>
        <v>1000000</v>
      </c>
      <c r="L14" s="1">
        <f>'Contabilización Año 1'!N66*-1</f>
        <v>1000000</v>
      </c>
      <c r="M14" s="1">
        <f>'Contabilización Año 1'!O66*-1</f>
        <v>1000000</v>
      </c>
      <c r="N14" s="1">
        <f>'Contabilización Año 1'!P66*-1</f>
        <v>1000000</v>
      </c>
      <c r="O14" s="1">
        <f>SUM(Egresos[[#This Row],[Columna1]:[Columna12]])</f>
        <v>12000000</v>
      </c>
    </row>
    <row r="15" spans="2:15" ht="14.5" x14ac:dyDescent="0.35">
      <c r="B15" s="76" t="s">
        <v>198</v>
      </c>
      <c r="C15" s="1">
        <f>'Contabilización Año 1'!E85*-1</f>
        <v>0</v>
      </c>
      <c r="D15" s="1">
        <f>'Contabilización Año 1'!F85*-1</f>
        <v>0</v>
      </c>
      <c r="E15" s="1">
        <f>'Contabilización Año 1'!G85*-1</f>
        <v>1000000</v>
      </c>
      <c r="F15" s="1">
        <f>'Contabilización Año 1'!H85*-1</f>
        <v>0</v>
      </c>
      <c r="G15" s="1">
        <f>'Contabilización Año 1'!I85*-1</f>
        <v>0</v>
      </c>
      <c r="H15" s="1">
        <f>'Contabilización Año 1'!J85*-1</f>
        <v>0</v>
      </c>
      <c r="I15" s="1">
        <f>'Contabilización Año 1'!K85*-1</f>
        <v>0</v>
      </c>
      <c r="J15" s="1">
        <f>'Contabilización Año 1'!L85*-1</f>
        <v>0</v>
      </c>
      <c r="K15" s="1">
        <f>'Contabilización Año 1'!M85*-1</f>
        <v>0</v>
      </c>
      <c r="L15" s="1">
        <f>'Contabilización Año 1'!N85*-1</f>
        <v>1000000</v>
      </c>
      <c r="M15" s="1">
        <f>'Contabilización Año 1'!O85*-1</f>
        <v>0</v>
      </c>
      <c r="N15" s="1">
        <f>'Contabilización Año 1'!P85*-1</f>
        <v>0</v>
      </c>
      <c r="O15" s="1">
        <f>SUM(Egresos[[#This Row],[Columna1]:[Columna12]])</f>
        <v>2000000</v>
      </c>
    </row>
    <row r="16" spans="2:15" ht="14.5" x14ac:dyDescent="0.35">
      <c r="B16" s="76" t="s">
        <v>1</v>
      </c>
      <c r="C16" s="1">
        <f>'Contabilización Año 1'!E69*-1</f>
        <v>300000</v>
      </c>
      <c r="D16" s="1">
        <f>'Contabilización Año 1'!F69*-1</f>
        <v>300000</v>
      </c>
      <c r="E16" s="1">
        <f>'Contabilización Año 1'!G69*-1</f>
        <v>300000</v>
      </c>
      <c r="F16" s="1">
        <f>'Contabilización Año 1'!H69*-1</f>
        <v>300000</v>
      </c>
      <c r="G16" s="1">
        <f>'Contabilización Año 1'!I69*-1</f>
        <v>300000</v>
      </c>
      <c r="H16" s="1">
        <f>'Contabilización Año 1'!J69*-1</f>
        <v>300000</v>
      </c>
      <c r="I16" s="1">
        <f>'Contabilización Año 1'!K69*-1</f>
        <v>300000</v>
      </c>
      <c r="J16" s="1">
        <f>'Contabilización Año 1'!L69*-1</f>
        <v>300000</v>
      </c>
      <c r="K16" s="1">
        <f>'Contabilización Año 1'!M69*-1</f>
        <v>300000</v>
      </c>
      <c r="L16" s="1">
        <f>'Contabilización Año 1'!N69*-1</f>
        <v>300000</v>
      </c>
      <c r="M16" s="1">
        <f>'Contabilización Año 1'!O69*-1</f>
        <v>300000</v>
      </c>
      <c r="N16" s="1">
        <f>'Contabilización Año 1'!P69*-1</f>
        <v>300000</v>
      </c>
      <c r="O16" s="1">
        <f>SUM(Egresos[[#This Row],[Columna1]:[Columna12]])</f>
        <v>3600000</v>
      </c>
    </row>
    <row r="17" spans="2:15" ht="14.5" x14ac:dyDescent="0.35">
      <c r="B17" s="76" t="s">
        <v>245</v>
      </c>
      <c r="C17" s="1">
        <f>'Contabilización Año 1'!E81</f>
        <v>0</v>
      </c>
      <c r="D17" s="1">
        <f>'Contabilización Año 1'!F81</f>
        <v>0</v>
      </c>
      <c r="E17" s="1">
        <f>'Contabilización Año 1'!G81</f>
        <v>0</v>
      </c>
      <c r="F17" s="1">
        <f>'Contabilización Año 1'!H81</f>
        <v>0</v>
      </c>
      <c r="G17" s="1">
        <f>'Contabilización Año 1'!I81</f>
        <v>0</v>
      </c>
      <c r="H17" s="1">
        <f>'Contabilización Año 1'!J81</f>
        <v>0</v>
      </c>
      <c r="I17" s="1">
        <f>'Contabilización Año 1'!K81</f>
        <v>0</v>
      </c>
      <c r="J17" s="1">
        <f>'Contabilización Año 1'!L81</f>
        <v>0</v>
      </c>
      <c r="K17" s="1">
        <f>'Contabilización Año 1'!M81</f>
        <v>0</v>
      </c>
      <c r="L17" s="1">
        <f>'Contabilización Año 1'!N81</f>
        <v>0</v>
      </c>
      <c r="M17" s="1">
        <f>'Contabilización Año 1'!O81</f>
        <v>0</v>
      </c>
      <c r="N17" s="1">
        <f>'Contabilización Año 1'!P81</f>
        <v>0</v>
      </c>
      <c r="O17" s="1">
        <f>SUM(Egresos[[#This Row],[Columna1]:[Columna12]])</f>
        <v>0</v>
      </c>
    </row>
    <row r="18" spans="2:15" ht="14.5" x14ac:dyDescent="0.35">
      <c r="B18" s="76" t="s">
        <v>93</v>
      </c>
      <c r="C18" s="103">
        <f>'Contabilización Año 1'!E60*-1</f>
        <v>5642962.5000000009</v>
      </c>
      <c r="D18" s="103">
        <f>'Contabilización Año 1'!F60*-1</f>
        <v>0</v>
      </c>
      <c r="E18" s="103">
        <f>'Contabilización Año 1'!G60*-1</f>
        <v>0</v>
      </c>
      <c r="F18" s="103">
        <f>'Contabilización Año 1'!H60*-1</f>
        <v>0</v>
      </c>
      <c r="G18" s="103">
        <f>'Contabilización Año 1'!I60*-1</f>
        <v>0</v>
      </c>
      <c r="H18" s="103">
        <f>'Contabilización Año 1'!J60*-1</f>
        <v>0</v>
      </c>
      <c r="I18" s="103">
        <f>'Contabilización Año 1'!K60*-1</f>
        <v>0</v>
      </c>
      <c r="J18" s="103">
        <f>'Contabilización Año 1'!L60*-1</f>
        <v>0</v>
      </c>
      <c r="K18" s="103">
        <f>'Contabilización Año 1'!M60*-1</f>
        <v>0</v>
      </c>
      <c r="L18" s="103">
        <f>'Contabilización Año 1'!N60*-1</f>
        <v>0</v>
      </c>
      <c r="M18" s="103">
        <f>'Contabilización Año 1'!O60*-1</f>
        <v>0</v>
      </c>
      <c r="N18" s="103">
        <f>'Contabilización Año 1'!P60*-1</f>
        <v>0</v>
      </c>
      <c r="O18" s="1">
        <f>SUM(Egresos[[#This Row],[Columna1]:[Columna12]])</f>
        <v>5642962.5000000009</v>
      </c>
    </row>
    <row r="19" spans="2:15" ht="14.5" x14ac:dyDescent="0.35">
      <c r="B19" s="76" t="s">
        <v>199</v>
      </c>
      <c r="C19" s="1">
        <f>'Contabilización Año 1'!E95*-1</f>
        <v>0</v>
      </c>
      <c r="D19" s="1">
        <f>'Contabilización Año 1'!F95*-1</f>
        <v>0</v>
      </c>
      <c r="E19" s="1">
        <f>'Contabilización Año 1'!G95*-1</f>
        <v>0</v>
      </c>
      <c r="F19" s="1">
        <f>'Contabilización Año 1'!H95*-1</f>
        <v>0</v>
      </c>
      <c r="G19" s="1">
        <f>'Contabilización Año 1'!I95*-1</f>
        <v>0</v>
      </c>
      <c r="H19" s="1">
        <f>'Contabilización Año 1'!J95*-1</f>
        <v>0</v>
      </c>
      <c r="I19" s="1">
        <f>'Contabilización Año 1'!K95*-1</f>
        <v>3841732.0062644631</v>
      </c>
      <c r="J19" s="1">
        <f>'Contabilización Año 1'!L95*-1</f>
        <v>0</v>
      </c>
      <c r="K19" s="1">
        <f>'Contabilización Año 1'!M95*-1</f>
        <v>8126968.9222601205</v>
      </c>
      <c r="L19" s="1">
        <f>'Contabilización Año 1'!N95*-1</f>
        <v>0</v>
      </c>
      <c r="M19" s="1">
        <f>'Contabilización Año 1'!O95*-1</f>
        <v>10276353.903475635</v>
      </c>
      <c r="N19" s="1">
        <f>'Contabilización Año 1'!P95*-1</f>
        <v>0</v>
      </c>
      <c r="O19" s="1">
        <f>SUM(Egresos[[#This Row],[Columna1]:[Columna12]])</f>
        <v>22245054.832000218</v>
      </c>
    </row>
    <row r="20" spans="2:15" ht="14.5" hidden="1" x14ac:dyDescent="0.35">
      <c r="B20" s="7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ht="14.5" x14ac:dyDescent="0.35">
      <c r="B21" s="76" t="s">
        <v>200</v>
      </c>
      <c r="C21" s="1">
        <f>'Contabilización Año 1'!E46*-1</f>
        <v>35000</v>
      </c>
      <c r="D21" s="1">
        <f>'Contabilización Año 1'!F46*-1</f>
        <v>0</v>
      </c>
      <c r="E21" s="1">
        <f>'Contabilización Año 1'!G46*-1</f>
        <v>0</v>
      </c>
      <c r="F21" s="1">
        <f>'Contabilización Año 1'!H46*-1</f>
        <v>0</v>
      </c>
      <c r="G21" s="1">
        <f>'Contabilización Año 1'!I46*-1</f>
        <v>0</v>
      </c>
      <c r="H21" s="1">
        <f>'Contabilización Año 1'!J46*-1</f>
        <v>0</v>
      </c>
      <c r="I21" s="1">
        <f>'Contabilización Año 1'!K46*-1</f>
        <v>0</v>
      </c>
      <c r="J21" s="1">
        <f>'Contabilización Año 1'!L46*-1</f>
        <v>0</v>
      </c>
      <c r="K21" s="1">
        <f>'Contabilización Año 1'!M46*-1</f>
        <v>0</v>
      </c>
      <c r="L21" s="1">
        <f>'Contabilización Año 1'!N46*-1</f>
        <v>0</v>
      </c>
      <c r="M21" s="1">
        <f>'Contabilización Año 1'!O46*-1</f>
        <v>0</v>
      </c>
      <c r="N21" s="1">
        <f>'Contabilización Año 1'!P46*-1</f>
        <v>0</v>
      </c>
      <c r="O21" s="1">
        <f>SUM(Egresos[[#This Row],[Columna1]:[Columna12]])</f>
        <v>35000</v>
      </c>
    </row>
    <row r="22" spans="2:15" ht="14.5" x14ac:dyDescent="0.35">
      <c r="B22" s="76" t="s">
        <v>201</v>
      </c>
      <c r="C22" s="1">
        <f>'Contabilización Año 1'!E53*-1</f>
        <v>3385777.5</v>
      </c>
      <c r="D22" s="1">
        <f>'Contabilización Año 1'!F53*-1</f>
        <v>0</v>
      </c>
      <c r="E22" s="1">
        <f>'Contabilización Año 1'!G53*-1</f>
        <v>0</v>
      </c>
      <c r="F22" s="1">
        <f>'Contabilización Año 1'!H53*-1</f>
        <v>0</v>
      </c>
      <c r="G22" s="1">
        <f>'Contabilización Año 1'!I53*-1</f>
        <v>0</v>
      </c>
      <c r="H22" s="1">
        <f>'Contabilización Año 1'!J53*-1</f>
        <v>0</v>
      </c>
      <c r="I22" s="1">
        <f>'Contabilización Año 1'!K53*-1</f>
        <v>0</v>
      </c>
      <c r="J22" s="1">
        <f>'Contabilización Año 1'!L53*-1</f>
        <v>0</v>
      </c>
      <c r="K22" s="1">
        <f>'Contabilización Año 1'!M53*-1</f>
        <v>0</v>
      </c>
      <c r="L22" s="1">
        <f>'Contabilización Año 1'!N53*-1</f>
        <v>0</v>
      </c>
      <c r="M22" s="1">
        <f>'Contabilización Año 1'!O53*-1</f>
        <v>0</v>
      </c>
      <c r="N22" s="1">
        <f>'Contabilización Año 1'!P53*-1</f>
        <v>0</v>
      </c>
      <c r="O22" s="1">
        <f>SUM(Egresos[[#This Row],[Columna1]:[Columna12]])</f>
        <v>3385777.5</v>
      </c>
    </row>
    <row r="23" spans="2:15" ht="14.5" x14ac:dyDescent="0.35">
      <c r="B23" s="76" t="s">
        <v>202</v>
      </c>
      <c r="C23" s="1">
        <f>'Contabilización Año 1'!E63*-1</f>
        <v>5000000</v>
      </c>
      <c r="D23" s="1">
        <f>'Contabilización Año 1'!F63*-1</f>
        <v>0</v>
      </c>
      <c r="E23" s="1">
        <f>'Contabilización Año 1'!G63*-1</f>
        <v>0</v>
      </c>
      <c r="F23" s="1">
        <f>'Contabilización Año 1'!H63*-1</f>
        <v>0</v>
      </c>
      <c r="G23" s="1">
        <f>'Contabilización Año 1'!I63*-1</f>
        <v>0</v>
      </c>
      <c r="H23" s="1">
        <f>'Contabilización Año 1'!J63*-1</f>
        <v>0</v>
      </c>
      <c r="I23" s="1">
        <f>'Contabilización Año 1'!K63*-1</f>
        <v>0</v>
      </c>
      <c r="J23" s="1">
        <f>'Contabilización Año 1'!L63*-1</f>
        <v>0</v>
      </c>
      <c r="K23" s="1">
        <f>'Contabilización Año 1'!M63*-1</f>
        <v>0</v>
      </c>
      <c r="L23" s="1">
        <f>'Contabilización Año 1'!N63*-1</f>
        <v>0</v>
      </c>
      <c r="M23" s="1">
        <f>'Contabilización Año 1'!O63*-1</f>
        <v>0</v>
      </c>
      <c r="N23" s="1">
        <f>'Contabilización Año 1'!P63*-1</f>
        <v>0</v>
      </c>
      <c r="O23" s="1">
        <f>SUM(Egresos[[#This Row],[Columna1]:[Columna12]])</f>
        <v>5000000</v>
      </c>
    </row>
    <row r="24" spans="2:15" ht="15.5" thickBot="1" x14ac:dyDescent="0.45">
      <c r="B24" s="72" t="s">
        <v>94</v>
      </c>
      <c r="C24" s="81">
        <f>SUM(Egresos[Columna1])</f>
        <v>29185650.123</v>
      </c>
      <c r="D24" s="81">
        <f>SUM(Egresos[Columna2])</f>
        <v>15121910.123</v>
      </c>
      <c r="E24" s="81">
        <f>SUM(Egresos[Columna3])</f>
        <v>16121910.123</v>
      </c>
      <c r="F24" s="81">
        <f>SUM(Egresos[Columna4])</f>
        <v>15121910.123</v>
      </c>
      <c r="G24" s="81">
        <f>SUM(Egresos[Columna5])</f>
        <v>15121910.123</v>
      </c>
      <c r="H24" s="81">
        <f>SUM(Egresos[Columna6])</f>
        <v>15121910.123</v>
      </c>
      <c r="I24" s="81">
        <f>SUM(Egresos[Columna7])</f>
        <v>18963642.129264463</v>
      </c>
      <c r="J24" s="81">
        <f>SUM(Egresos[Columna8])</f>
        <v>25121910.123</v>
      </c>
      <c r="K24" s="81">
        <f>SUM(Egresos[Columna9])</f>
        <v>23248879.04526012</v>
      </c>
      <c r="L24" s="81">
        <f>SUM(Egresos[Columna10])</f>
        <v>16121910.123</v>
      </c>
      <c r="M24" s="81">
        <f>SUM(Egresos[Columna11])</f>
        <v>25398264.026475634</v>
      </c>
      <c r="N24" s="81">
        <f>SUM(Egresos[Columna12])</f>
        <v>42758583.598999999</v>
      </c>
      <c r="O24" s="73">
        <f>SUM(O12:O23)</f>
        <v>257408389.78400022</v>
      </c>
    </row>
    <row r="25" spans="2:15" ht="14.5" x14ac:dyDescent="0.35">
      <c r="B25" s="7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5" ht="15.5" thickBot="1" x14ac:dyDescent="0.45">
      <c r="B26" s="79" t="s">
        <v>95</v>
      </c>
      <c r="C26" s="80">
        <f>C5+Ingresos[[#Totals],[Columna1]]-Egresos[[#Totals],[Columna1]]</f>
        <v>11896213.375112001</v>
      </c>
      <c r="D26" s="80">
        <f>D5+Ingresos[[#Totals],[Columna2]]-Egresos[[#Totals],[Columna2]]</f>
        <v>32920477.56315225</v>
      </c>
      <c r="E26" s="80">
        <f>E5+Ingresos[[#Totals],[Columna3]]-Egresos[[#Totals],[Columna3]]</f>
        <v>42676825.983961239</v>
      </c>
      <c r="F26" s="80">
        <f>F5+Ingresos[[#Totals],[Columna4]]-Egresos[[#Totals],[Columna4]]</f>
        <v>45814212.104294911</v>
      </c>
      <c r="G26" s="80">
        <f>G5+Ingresos[[#Totals],[Columna5]]-Egresos[[#Totals],[Columna5]]</f>
        <v>49694554.716735184</v>
      </c>
      <c r="H26" s="80">
        <f>H5+Ingresos[[#Totals],[Columna6]]-Egresos[[#Totals],[Columna6]]</f>
        <v>54346086.167982131</v>
      </c>
      <c r="I26" s="80">
        <f>I5+Ingresos[[#Totals],[Columna7]]-Egresos[[#Totals],[Columna7]]</f>
        <v>55956379.627645925</v>
      </c>
      <c r="J26" s="80">
        <f>J5+Ingresos[[#Totals],[Columna8]]-Egresos[[#Totals],[Columna8]]</f>
        <v>52239317.880813375</v>
      </c>
      <c r="K26" s="80">
        <f>K5+Ingresos[[#Totals],[Columna9]]-Egresos[[#Totals],[Columna9]]</f>
        <v>51257774.684874997</v>
      </c>
      <c r="L26" s="80">
        <f>L5+Ingresos[[#Totals],[Columna10]]-Egresos[[#Totals],[Columna10]]</f>
        <v>66633182.408330902</v>
      </c>
      <c r="M26" s="80">
        <f>M5+Ingresos[[#Totals],[Columna11]]-Egresos[[#Totals],[Columna11]]</f>
        <v>65326798.181336433</v>
      </c>
      <c r="N26" s="80">
        <f>N5+Ingresos[[#Totals],[Columna12]]-Egresos[[#Totals],[Columna12]]</f>
        <v>47624689.049057804</v>
      </c>
      <c r="O26" s="80">
        <f>O5+O9-O24</f>
        <v>42546592.959565699</v>
      </c>
    </row>
    <row r="28" spans="2:15" x14ac:dyDescent="0.4">
      <c r="B28" s="74" t="s">
        <v>96</v>
      </c>
      <c r="C28" s="117">
        <f>'Contabilización Año 1'!E10</f>
        <v>40000000</v>
      </c>
      <c r="D28" s="117">
        <f>'Contabilización Año 1'!F10</f>
        <v>0</v>
      </c>
      <c r="E28" s="117">
        <f>'Contabilización Año 1'!G10</f>
        <v>0</v>
      </c>
      <c r="F28" s="117">
        <f>'Contabilización Año 1'!H10</f>
        <v>0</v>
      </c>
      <c r="G28" s="117">
        <f>'Contabilización Año 1'!I10</f>
        <v>0</v>
      </c>
      <c r="H28" s="117">
        <f>'Contabilización Año 1'!J10</f>
        <v>0</v>
      </c>
      <c r="I28" s="117">
        <f>'Contabilización Año 1'!K10</f>
        <v>0</v>
      </c>
      <c r="J28" s="117">
        <f>'Contabilización Año 1'!L10</f>
        <v>0</v>
      </c>
      <c r="K28" s="117">
        <f>'Contabilización Año 1'!M10</f>
        <v>0</v>
      </c>
      <c r="L28" s="117">
        <f>'Contabilización Año 1'!N10</f>
        <v>0</v>
      </c>
      <c r="M28" s="117">
        <f>'Contabilización Año 1'!O10</f>
        <v>0</v>
      </c>
      <c r="N28" s="117">
        <f>'Contabilización Año 1'!P10</f>
        <v>0</v>
      </c>
      <c r="O28" s="1">
        <f>SUM(C28:N28)</f>
        <v>40000000</v>
      </c>
    </row>
    <row r="29" spans="2:15" ht="14.5" x14ac:dyDescent="0.35">
      <c r="B29" s="76" t="s">
        <v>97</v>
      </c>
      <c r="C29" s="1">
        <f>'Contabilización Año 1'!E72*-1</f>
        <v>0</v>
      </c>
      <c r="D29" s="1">
        <f>'Contabilización Año 1'!F72*-1</f>
        <v>1292190.3910507923</v>
      </c>
      <c r="E29" s="1">
        <f>'Contabilización Año 1'!G72*-1</f>
        <v>1292190.3910507923</v>
      </c>
      <c r="F29" s="1">
        <f>'Contabilización Año 1'!H72*-1</f>
        <v>1292190.3910507923</v>
      </c>
      <c r="G29" s="1">
        <f>'Contabilización Año 1'!I72*-1</f>
        <v>1292190.3910507923</v>
      </c>
      <c r="H29" s="1">
        <f>'Contabilización Año 1'!J72*-1</f>
        <v>1292190.3910507923</v>
      </c>
      <c r="I29" s="1">
        <f>'Contabilización Año 1'!K72*-1</f>
        <v>1292190.3910507923</v>
      </c>
      <c r="J29" s="1">
        <f>'Contabilización Año 1'!L72*-1</f>
        <v>1292190.3910507923</v>
      </c>
      <c r="K29" s="1">
        <f>'Contabilización Año 1'!M72*-1</f>
        <v>1292190.3910507923</v>
      </c>
      <c r="L29" s="1">
        <f>'Contabilización Año 1'!N72*-1</f>
        <v>1292190.3910507923</v>
      </c>
      <c r="M29" s="1">
        <f>'Contabilización Año 1'!O72*-1</f>
        <v>1292190.3910507923</v>
      </c>
      <c r="N29" s="1">
        <f>'Contabilización Año 1'!P72*-1</f>
        <v>1292190.3910507923</v>
      </c>
      <c r="O29" s="1">
        <f>SUM(Financiamiento[[#This Row],[Columna1]:[Columna12]])</f>
        <v>14214094.301558718</v>
      </c>
    </row>
    <row r="30" spans="2:15" ht="15.5" thickBot="1" x14ac:dyDescent="0.45">
      <c r="B30" s="72" t="s">
        <v>98</v>
      </c>
      <c r="C30" s="81" cm="1">
        <f t="array" ref="C30">C28-Financiamiento[Columna1]</f>
        <v>40000000</v>
      </c>
      <c r="D30" s="81">
        <f>SUM(Financiamiento[Columna2])</f>
        <v>1292190.3910507923</v>
      </c>
      <c r="E30" s="81">
        <f>SUM(Financiamiento[Columna3])</f>
        <v>1292190.3910507923</v>
      </c>
      <c r="F30" s="81">
        <f>SUM(Financiamiento[Columna4])</f>
        <v>1292190.3910507923</v>
      </c>
      <c r="G30" s="81">
        <f>SUM(Financiamiento[Columna5])</f>
        <v>1292190.3910507923</v>
      </c>
      <c r="H30" s="81">
        <f>SUM(Financiamiento[Columna6])</f>
        <v>1292190.3910507923</v>
      </c>
      <c r="I30" s="81">
        <f>SUM(Financiamiento[Columna7])</f>
        <v>1292190.3910507923</v>
      </c>
      <c r="J30" s="81">
        <f>SUM(Financiamiento[Columna8])</f>
        <v>1292190.3910507923</v>
      </c>
      <c r="K30" s="81">
        <f>SUM(Financiamiento[Columna9])</f>
        <v>1292190.3910507923</v>
      </c>
      <c r="L30" s="81">
        <f>SUM(Financiamiento[Columna10])</f>
        <v>1292190.3910507923</v>
      </c>
      <c r="M30" s="81">
        <f>SUM(Financiamiento[Columna11])</f>
        <v>1292190.3910507923</v>
      </c>
      <c r="N30" s="81">
        <f>SUM(Financiamiento[Columna12])</f>
        <v>1292190.3910507923</v>
      </c>
      <c r="O30" s="73">
        <f>SUM(Financiamiento[#Totals])</f>
        <v>54214094.301558726</v>
      </c>
    </row>
    <row r="32" spans="2:15" x14ac:dyDescent="0.4">
      <c r="B32" s="74" t="s">
        <v>122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2:15" ht="14.5" x14ac:dyDescent="0.35">
      <c r="B33" s="76" t="s">
        <v>197</v>
      </c>
      <c r="C33" s="1">
        <f>'Contabilización Año 1'!E8*-1</f>
        <v>22000000</v>
      </c>
      <c r="D33" s="1">
        <f>'Contabilización Año 1'!F8*-1</f>
        <v>0</v>
      </c>
      <c r="E33" s="1">
        <f>'Contabilización Año 1'!G8*-1</f>
        <v>0</v>
      </c>
      <c r="F33" s="1">
        <f>'Contabilización Año 1'!H8*-1</f>
        <v>0</v>
      </c>
      <c r="G33" s="1">
        <f>'Contabilización Año 1'!I8*-1</f>
        <v>0</v>
      </c>
      <c r="H33" s="1">
        <f>'Contabilización Año 1'!J8*-1</f>
        <v>0</v>
      </c>
      <c r="I33" s="1">
        <f>'Contabilización Año 1'!K8*-1</f>
        <v>0</v>
      </c>
      <c r="J33" s="1">
        <f>'Contabilización Año 1'!L8*-1</f>
        <v>0</v>
      </c>
      <c r="K33" s="1">
        <f>'Contabilización Año 1'!M8*-1</f>
        <v>0</v>
      </c>
      <c r="L33" s="1">
        <f>'Contabilización Año 1'!N8*-1</f>
        <v>0</v>
      </c>
      <c r="M33" s="1">
        <f>'Contabilización Año 1'!O8*-1</f>
        <v>0</v>
      </c>
      <c r="N33" s="1">
        <f>'Contabilización Año 1'!P8*-1</f>
        <v>0</v>
      </c>
      <c r="O33" s="1">
        <f>SUM(Financiamiento9[[#This Row],[Columna1]:[Columna12]])</f>
        <v>22000000</v>
      </c>
    </row>
    <row r="34" spans="2:15" ht="15.5" thickBot="1" x14ac:dyDescent="0.45">
      <c r="B34" s="72" t="s">
        <v>123</v>
      </c>
      <c r="C34" s="81">
        <f>SUM(Financiamiento9[Columna1])</f>
        <v>22000000</v>
      </c>
      <c r="D34" s="81">
        <f>SUM(Financiamiento9[Columna2])</f>
        <v>0</v>
      </c>
      <c r="E34" s="81">
        <f>SUM(Financiamiento9[Columna3])</f>
        <v>0</v>
      </c>
      <c r="F34" s="81">
        <f>SUM(Financiamiento9[Columna4])</f>
        <v>0</v>
      </c>
      <c r="G34" s="81">
        <f>SUM(Financiamiento9[Columna5])</f>
        <v>0</v>
      </c>
      <c r="H34" s="81">
        <f>SUM(Financiamiento9[Columna6])</f>
        <v>0</v>
      </c>
      <c r="I34" s="81">
        <f>SUM(Financiamiento9[Columna7])</f>
        <v>0</v>
      </c>
      <c r="J34" s="81">
        <f>SUM(Financiamiento9[Columna8])</f>
        <v>0</v>
      </c>
      <c r="K34" s="81">
        <f>SUM(Financiamiento9[Columna9])</f>
        <v>0</v>
      </c>
      <c r="L34" s="81">
        <f>SUM(Financiamiento9[Columna10])</f>
        <v>0</v>
      </c>
      <c r="M34" s="81">
        <f>SUM(Financiamiento9[Columna11])</f>
        <v>0</v>
      </c>
      <c r="N34" s="81">
        <f>SUM(Financiamiento9[Columna12])</f>
        <v>0</v>
      </c>
      <c r="O34" s="73">
        <f>SUM(Financiamiento9[#Totals])</f>
        <v>22000000</v>
      </c>
    </row>
    <row r="36" spans="2:15" ht="15.5" thickBot="1" x14ac:dyDescent="0.45">
      <c r="B36" s="79" t="s">
        <v>99</v>
      </c>
      <c r="C36" s="80">
        <f t="shared" ref="C36:O36" si="1">C5+C9-C24+C28-C29-C34</f>
        <v>29896213.375111997</v>
      </c>
      <c r="D36" s="80">
        <f t="shared" si="1"/>
        <v>31628287.172101457</v>
      </c>
      <c r="E36" s="80">
        <f t="shared" si="1"/>
        <v>41384635.592910446</v>
      </c>
      <c r="F36" s="80">
        <f t="shared" si="1"/>
        <v>44522021.713244118</v>
      </c>
      <c r="G36" s="80">
        <f t="shared" si="1"/>
        <v>48402364.325684391</v>
      </c>
      <c r="H36" s="80">
        <f t="shared" si="1"/>
        <v>53053895.776931338</v>
      </c>
      <c r="I36" s="80">
        <f t="shared" si="1"/>
        <v>54664189.236595131</v>
      </c>
      <c r="J36" s="80">
        <f t="shared" si="1"/>
        <v>50947127.489762582</v>
      </c>
      <c r="K36" s="80">
        <f t="shared" si="1"/>
        <v>49965584.293824203</v>
      </c>
      <c r="L36" s="80">
        <f t="shared" si="1"/>
        <v>65340992.017280109</v>
      </c>
      <c r="M36" s="80">
        <f t="shared" si="1"/>
        <v>64034607.790285639</v>
      </c>
      <c r="N36" s="80">
        <f t="shared" si="1"/>
        <v>46332498.658007011</v>
      </c>
      <c r="O36" s="80">
        <f t="shared" si="1"/>
        <v>46332498.658006981</v>
      </c>
    </row>
  </sheetData>
  <mergeCells count="1">
    <mergeCell ref="B1:O1"/>
  </mergeCells>
  <phoneticPr fontId="3" type="noConversion"/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129671F-3944-4902-97D1-A233DF2553DB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1'!C29:N29</xm:f>
              <xm:sqref>P29</xm:sqref>
            </x14:sparkline>
          </x14:sparklines>
        </x14:sparklineGroup>
        <x14:sparklineGroup displayEmptyCellsAs="gap" xr2:uid="{490EE8DC-EFB0-424D-96B6-F26E61D01A7A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1'!C33:N33</xm:f>
              <xm:sqref>P33</xm:sqref>
            </x14:sparkline>
          </x14:sparklines>
        </x14:sparklineGroup>
        <x14:sparklineGroup displayEmptyCellsAs="gap" xr2:uid="{81F1C137-116B-4762-8877-17F3CF87CDD9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1'!C30:N30</xm:f>
              <xm:sqref>P30</xm:sqref>
            </x14:sparkline>
          </x14:sparklines>
        </x14:sparklineGroup>
        <x14:sparklineGroup displayEmptyCellsAs="gap" xr2:uid="{FB31B1C1-DC83-4712-8C6B-99B23E727B46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'Flujo de caja año 1'!C26:N26</xm:f>
              <xm:sqref>P26</xm:sqref>
            </x14:sparkline>
          </x14:sparklines>
        </x14:sparklineGroup>
        <x14:sparklineGroup displayEmptyCellsAs="gap" xr2:uid="{092F5C05-9DF2-4B91-8609-62C40B61CFED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1'!C24:N24</xm:f>
              <xm:sqref>P24</xm:sqref>
            </x14:sparkline>
          </x14:sparklines>
        </x14:sparklineGroup>
        <x14:sparklineGroup displayEmptyCellsAs="gap" xr2:uid="{2AA0F25A-5218-40CF-B487-926286F33329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1'!C18:N18</xm:f>
              <xm:sqref>P18</xm:sqref>
            </x14:sparkline>
            <x14:sparkline>
              <xm:f>'Flujo de caja año 1'!C19:N19</xm:f>
              <xm:sqref>P19</xm:sqref>
            </x14:sparkline>
            <x14:sparkline>
              <xm:f>'Flujo de caja año 1'!C20:N20</xm:f>
              <xm:sqref>P20</xm:sqref>
            </x14:sparkline>
            <x14:sparkline>
              <xm:f>'Flujo de caja año 1'!C21:N21</xm:f>
              <xm:sqref>P21</xm:sqref>
            </x14:sparkline>
            <x14:sparkline>
              <xm:f>'Flujo de caja año 1'!C22:N22</xm:f>
              <xm:sqref>P22</xm:sqref>
            </x14:sparkline>
            <x14:sparkline>
              <xm:f>'Flujo de caja año 1'!C23:N23</xm:f>
              <xm:sqref>P23</xm:sqref>
            </x14:sparkline>
          </x14:sparklines>
        </x14:sparklineGroup>
        <x14:sparklineGroup displayEmptyCellsAs="gap" xr2:uid="{CBB5EE9E-056F-4DE0-86EC-B22A18739487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1'!C14:N14</xm:f>
              <xm:sqref>P14</xm:sqref>
            </x14:sparkline>
            <x14:sparkline>
              <xm:f>'Flujo de caja año 1'!C15:N15</xm:f>
              <xm:sqref>P15</xm:sqref>
            </x14:sparkline>
            <x14:sparkline>
              <xm:f>'Flujo de caja año 1'!C16:N16</xm:f>
              <xm:sqref>P16</xm:sqref>
            </x14:sparkline>
            <x14:sparkline>
              <xm:f>'Flujo de caja año 1'!C17:N17</xm:f>
              <xm:sqref>P17</xm:sqref>
            </x14:sparkline>
          </x14:sparklines>
        </x14:sparklineGroup>
        <x14:sparklineGroup displayEmptyCellsAs="gap" xr2:uid="{05CACDE9-4548-4A58-AFDC-47E3ACEE530C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1'!C13:N13</xm:f>
              <xm:sqref>P13</xm:sqref>
            </x14:sparkline>
          </x14:sparklines>
        </x14:sparklineGroup>
        <x14:sparklineGroup displayEmptyCellsAs="gap" xr2:uid="{B039040A-6C3C-41C1-AE5C-14CD0A66498D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1'!C12:N12</xm:f>
              <xm:sqref>P12</xm:sqref>
            </x14:sparkline>
          </x14:sparklines>
        </x14:sparklineGroup>
        <x14:sparklineGroup displayEmptyCellsAs="gap" xr2:uid="{FEC0FD87-D0D5-4A77-9364-05245902E9C7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'Flujo de caja año 1'!C9:N9</xm:f>
              <xm:sqref>P9</xm:sqref>
            </x14:sparkline>
          </x14:sparklines>
        </x14:sparklineGroup>
        <x14:sparklineGroup displayEmptyCellsAs="gap" xr2:uid="{EED0B3DD-69C2-4269-BF66-0B7A81C5FE4F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'Flujo de caja año 1'!C8:N8</xm:f>
              <xm:sqref>P8</xm:sqref>
            </x14:sparkline>
          </x14:sparklines>
        </x14:sparklineGroup>
        <x14:sparklineGroup displayEmptyCellsAs="gap" xr2:uid="{1F9DAD43-538E-4660-BF71-24136D42D2FB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1'!C34:N34</xm:f>
              <xm:sqref>P34</xm:sqref>
            </x14:sparkline>
          </x14:sparklines>
        </x14:sparklineGroup>
        <x14:sparklineGroup displayEmptyCellsAs="gap" xr2:uid="{A6B4B6D3-234E-41B7-B1E3-599A8D9914B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'Flujo de caja año 1'!C36:N36</xm:f>
              <xm:sqref>P36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44AB-B2D8-4BBC-8809-4DC2D15BEFC1}">
  <dimension ref="A1:R126"/>
  <sheetViews>
    <sheetView zoomScale="80" zoomScaleNormal="80" workbookViewId="0">
      <pane xSplit="4" ySplit="2" topLeftCell="E8" activePane="bottomRight" state="frozen"/>
      <selection activeCell="M113" sqref="M113"/>
      <selection pane="topRight" activeCell="M113" sqref="M113"/>
      <selection pane="bottomLeft" activeCell="M113" sqref="M113"/>
      <selection pane="bottomRight" activeCell="E13" sqref="E13"/>
    </sheetView>
  </sheetViews>
  <sheetFormatPr baseColWidth="10" defaultRowHeight="14.5" x14ac:dyDescent="0.35"/>
  <cols>
    <col min="1" max="1" width="35.453125" bestFit="1" customWidth="1"/>
    <col min="4" max="4" width="18.453125" customWidth="1"/>
    <col min="5" max="5" width="18.26953125" style="114" bestFit="1" customWidth="1"/>
    <col min="6" max="13" width="17.7265625" style="114" bestFit="1" customWidth="1"/>
    <col min="14" max="14" width="18.7265625" style="114" bestFit="1" customWidth="1"/>
    <col min="15" max="15" width="18.26953125" style="114" bestFit="1" customWidth="1"/>
    <col min="16" max="16" width="18.7265625" style="114" bestFit="1" customWidth="1"/>
    <col min="17" max="17" width="17.453125" bestFit="1" customWidth="1"/>
  </cols>
  <sheetData>
    <row r="1" spans="1:17" x14ac:dyDescent="0.35"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7" s="108" customFormat="1" ht="29" x14ac:dyDescent="0.35">
      <c r="A2" s="105" t="s">
        <v>125</v>
      </c>
      <c r="B2" s="106" t="s">
        <v>126</v>
      </c>
      <c r="C2" s="106"/>
      <c r="D2" s="106" t="s">
        <v>127</v>
      </c>
      <c r="E2" s="107" t="s">
        <v>128</v>
      </c>
      <c r="F2" s="107" t="s">
        <v>129</v>
      </c>
      <c r="G2" s="107" t="s">
        <v>130</v>
      </c>
      <c r="H2" s="107" t="s">
        <v>131</v>
      </c>
      <c r="I2" s="107" t="s">
        <v>132</v>
      </c>
      <c r="J2" s="107" t="s">
        <v>133</v>
      </c>
      <c r="K2" s="107" t="s">
        <v>134</v>
      </c>
      <c r="L2" s="107" t="s">
        <v>135</v>
      </c>
      <c r="M2" s="107" t="s">
        <v>136</v>
      </c>
      <c r="N2" s="107" t="s">
        <v>137</v>
      </c>
      <c r="O2" s="107" t="s">
        <v>138</v>
      </c>
      <c r="P2" s="107" t="s">
        <v>139</v>
      </c>
    </row>
    <row r="3" spans="1:17" x14ac:dyDescent="0.35">
      <c r="A3" s="109" t="s">
        <v>124</v>
      </c>
      <c r="B3" s="109">
        <v>3105</v>
      </c>
      <c r="C3" s="109" t="s">
        <v>43</v>
      </c>
      <c r="D3" s="109" t="s">
        <v>140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>
        <f>SUBTOTAL(9,E3:P3)</f>
        <v>0</v>
      </c>
    </row>
    <row r="4" spans="1:17" x14ac:dyDescent="0.35">
      <c r="A4" s="109" t="s">
        <v>124</v>
      </c>
      <c r="B4" s="111">
        <v>1110</v>
      </c>
      <c r="C4" s="109" t="s">
        <v>141</v>
      </c>
      <c r="D4" s="109" t="s">
        <v>142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5">
        <f t="shared" ref="Q4:Q5" si="0">SUM(E4:P4)</f>
        <v>0</v>
      </c>
    </row>
    <row r="5" spans="1:17" x14ac:dyDescent="0.35">
      <c r="A5" s="109"/>
      <c r="B5" s="109"/>
      <c r="C5" s="109"/>
      <c r="D5" s="109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5">
        <f t="shared" si="0"/>
        <v>0</v>
      </c>
    </row>
    <row r="6" spans="1:17" x14ac:dyDescent="0.35">
      <c r="A6" s="109" t="s">
        <v>143</v>
      </c>
      <c r="B6" s="109">
        <v>1524</v>
      </c>
      <c r="C6" s="109" t="s">
        <v>141</v>
      </c>
      <c r="D6" s="109" t="s">
        <v>144</v>
      </c>
      <c r="E6" s="110">
        <f>'Presupuesto economico'!E83</f>
        <v>1000000</v>
      </c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5">
        <f>SUM(E6:P6)</f>
        <v>1000000</v>
      </c>
    </row>
    <row r="7" spans="1:17" x14ac:dyDescent="0.35">
      <c r="A7" s="109" t="s">
        <v>143</v>
      </c>
      <c r="B7" s="109">
        <v>1528</v>
      </c>
      <c r="C7" s="109" t="s">
        <v>141</v>
      </c>
      <c r="D7" s="109" t="s">
        <v>145</v>
      </c>
      <c r="E7" s="110">
        <f>'Presupuesto economico'!G66</f>
        <v>1500000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5">
        <f t="shared" ref="Q7:Q70" si="1">SUM(E7:P7)</f>
        <v>1500000</v>
      </c>
    </row>
    <row r="8" spans="1:17" x14ac:dyDescent="0.35">
      <c r="A8" s="109" t="s">
        <v>143</v>
      </c>
      <c r="B8" s="111">
        <v>1110</v>
      </c>
      <c r="C8" s="109" t="s">
        <v>141</v>
      </c>
      <c r="D8" s="109" t="s">
        <v>142</v>
      </c>
      <c r="E8" s="110">
        <f>-E6-E7</f>
        <v>-2500000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5">
        <f t="shared" si="1"/>
        <v>-2500000</v>
      </c>
    </row>
    <row r="9" spans="1:17" x14ac:dyDescent="0.35">
      <c r="A9" s="109"/>
      <c r="B9" s="109"/>
      <c r="C9" s="109"/>
      <c r="D9" s="109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5">
        <f t="shared" si="1"/>
        <v>0</v>
      </c>
    </row>
    <row r="10" spans="1:17" x14ac:dyDescent="0.35">
      <c r="A10" s="109" t="s">
        <v>146</v>
      </c>
      <c r="B10" s="111">
        <v>1110</v>
      </c>
      <c r="C10" s="109" t="s">
        <v>141</v>
      </c>
      <c r="D10" s="109" t="s">
        <v>142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5">
        <f t="shared" si="1"/>
        <v>0</v>
      </c>
    </row>
    <row r="11" spans="1:17" x14ac:dyDescent="0.35">
      <c r="A11" s="109" t="s">
        <v>146</v>
      </c>
      <c r="B11" s="109">
        <v>2105</v>
      </c>
      <c r="C11" s="109" t="s">
        <v>147</v>
      </c>
      <c r="D11" s="109" t="s">
        <v>148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5">
        <f t="shared" si="1"/>
        <v>0</v>
      </c>
    </row>
    <row r="12" spans="1:17" x14ac:dyDescent="0.35">
      <c r="A12" s="109"/>
      <c r="B12" s="109"/>
      <c r="C12" s="109"/>
      <c r="D12" s="109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5">
        <f t="shared" si="1"/>
        <v>0</v>
      </c>
    </row>
    <row r="13" spans="1:17" x14ac:dyDescent="0.35">
      <c r="A13" s="109" t="s">
        <v>149</v>
      </c>
      <c r="B13" s="109">
        <v>5205</v>
      </c>
      <c r="C13" s="109" t="s">
        <v>150</v>
      </c>
      <c r="D13" s="109" t="s">
        <v>151</v>
      </c>
      <c r="E13" s="123">
        <f>SUM('Presupuesto economico'!$E$53:$E$58)</f>
        <v>17500000</v>
      </c>
      <c r="F13" s="123">
        <f>SUM('Presupuesto economico'!$E$53:$E$58)</f>
        <v>17500000</v>
      </c>
      <c r="G13" s="123">
        <f>SUM('Presupuesto economico'!$E$53:$E$58)</f>
        <v>17500000</v>
      </c>
      <c r="H13" s="123">
        <f>SUM('Presupuesto economico'!$E$53:$E$58)</f>
        <v>17500000</v>
      </c>
      <c r="I13" s="123">
        <f>SUM('Presupuesto economico'!$E$53:$E$58)</f>
        <v>17500000</v>
      </c>
      <c r="J13" s="123">
        <f>SUM('Presupuesto economico'!$E$53:$E$58)</f>
        <v>17500000</v>
      </c>
      <c r="K13" s="123">
        <f>SUM('Presupuesto economico'!$E$53:$E$58)</f>
        <v>17500000</v>
      </c>
      <c r="L13" s="123">
        <f>SUM('Presupuesto economico'!$E$53:$E$58)</f>
        <v>17500000</v>
      </c>
      <c r="M13" s="123">
        <f>SUM('Presupuesto economico'!$E$53:$E$58)</f>
        <v>17500000</v>
      </c>
      <c r="N13" s="123">
        <f>SUM('Presupuesto economico'!$E$53:$E$58)</f>
        <v>17500000</v>
      </c>
      <c r="O13" s="123">
        <f>SUM('Presupuesto economico'!$E$53:$E$58)</f>
        <v>17500000</v>
      </c>
      <c r="P13" s="123">
        <f>SUM('Presupuesto economico'!$E$53:$E$58)</f>
        <v>17500000</v>
      </c>
      <c r="Q13" s="115">
        <f t="shared" si="1"/>
        <v>210000000</v>
      </c>
    </row>
    <row r="14" spans="1:17" x14ac:dyDescent="0.35">
      <c r="A14" s="109" t="s">
        <v>149</v>
      </c>
      <c r="B14" s="109">
        <v>5205</v>
      </c>
      <c r="C14" s="109" t="s">
        <v>150</v>
      </c>
      <c r="D14" s="110" t="s">
        <v>152</v>
      </c>
      <c r="E14" s="110">
        <f>E13*0.12</f>
        <v>2100000</v>
      </c>
      <c r="F14" s="110">
        <f t="shared" ref="F14:P14" si="2">F13*0.12</f>
        <v>2100000</v>
      </c>
      <c r="G14" s="110">
        <f t="shared" si="2"/>
        <v>2100000</v>
      </c>
      <c r="H14" s="110">
        <f t="shared" si="2"/>
        <v>2100000</v>
      </c>
      <c r="I14" s="110">
        <f t="shared" si="2"/>
        <v>2100000</v>
      </c>
      <c r="J14" s="110">
        <f t="shared" si="2"/>
        <v>2100000</v>
      </c>
      <c r="K14" s="110">
        <f t="shared" si="2"/>
        <v>2100000</v>
      </c>
      <c r="L14" s="110">
        <f t="shared" si="2"/>
        <v>2100000</v>
      </c>
      <c r="M14" s="110">
        <f t="shared" si="2"/>
        <v>2100000</v>
      </c>
      <c r="N14" s="110">
        <f t="shared" si="2"/>
        <v>2100000</v>
      </c>
      <c r="O14" s="110">
        <f t="shared" si="2"/>
        <v>2100000</v>
      </c>
      <c r="P14" s="110">
        <f t="shared" si="2"/>
        <v>2100000</v>
      </c>
      <c r="Q14" s="115">
        <f t="shared" si="1"/>
        <v>25200000</v>
      </c>
    </row>
    <row r="15" spans="1:17" x14ac:dyDescent="0.35">
      <c r="A15" s="109" t="s">
        <v>149</v>
      </c>
      <c r="B15" s="109">
        <v>5205</v>
      </c>
      <c r="C15" s="109" t="s">
        <v>150</v>
      </c>
      <c r="D15" s="110" t="s">
        <v>153</v>
      </c>
      <c r="E15" s="110">
        <f>E13*0.085</f>
        <v>1487500</v>
      </c>
      <c r="F15" s="110">
        <f t="shared" ref="F15:P15" si="3">F13*0.085</f>
        <v>1487500</v>
      </c>
      <c r="G15" s="110">
        <f t="shared" si="3"/>
        <v>1487500</v>
      </c>
      <c r="H15" s="110">
        <f t="shared" si="3"/>
        <v>1487500</v>
      </c>
      <c r="I15" s="110">
        <f t="shared" si="3"/>
        <v>1487500</v>
      </c>
      <c r="J15" s="110">
        <f t="shared" si="3"/>
        <v>1487500</v>
      </c>
      <c r="K15" s="110">
        <f t="shared" si="3"/>
        <v>1487500</v>
      </c>
      <c r="L15" s="110">
        <f t="shared" si="3"/>
        <v>1487500</v>
      </c>
      <c r="M15" s="110">
        <f t="shared" si="3"/>
        <v>1487500</v>
      </c>
      <c r="N15" s="110">
        <f t="shared" si="3"/>
        <v>1487500</v>
      </c>
      <c r="O15" s="110">
        <f t="shared" si="3"/>
        <v>1487500</v>
      </c>
      <c r="P15" s="110">
        <f t="shared" si="3"/>
        <v>1487500</v>
      </c>
      <c r="Q15" s="115">
        <f t="shared" si="1"/>
        <v>17850000</v>
      </c>
    </row>
    <row r="16" spans="1:17" x14ac:dyDescent="0.35">
      <c r="A16" s="109" t="s">
        <v>149</v>
      </c>
      <c r="B16" s="109">
        <v>5205</v>
      </c>
      <c r="C16" s="109" t="s">
        <v>150</v>
      </c>
      <c r="D16" s="110" t="s">
        <v>154</v>
      </c>
      <c r="E16" s="110">
        <f>E13*0.00522</f>
        <v>91350</v>
      </c>
      <c r="F16" s="110">
        <f t="shared" ref="F16:P16" si="4">F13*0.00522</f>
        <v>91350</v>
      </c>
      <c r="G16" s="110">
        <f t="shared" si="4"/>
        <v>91350</v>
      </c>
      <c r="H16" s="110">
        <f t="shared" si="4"/>
        <v>91350</v>
      </c>
      <c r="I16" s="110">
        <f t="shared" si="4"/>
        <v>91350</v>
      </c>
      <c r="J16" s="110">
        <f t="shared" si="4"/>
        <v>91350</v>
      </c>
      <c r="K16" s="110">
        <f t="shared" si="4"/>
        <v>91350</v>
      </c>
      <c r="L16" s="110">
        <f t="shared" si="4"/>
        <v>91350</v>
      </c>
      <c r="M16" s="110">
        <f t="shared" si="4"/>
        <v>91350</v>
      </c>
      <c r="N16" s="110">
        <f t="shared" si="4"/>
        <v>91350</v>
      </c>
      <c r="O16" s="110">
        <f t="shared" si="4"/>
        <v>91350</v>
      </c>
      <c r="P16" s="110">
        <f t="shared" si="4"/>
        <v>91350</v>
      </c>
      <c r="Q16" s="115">
        <f t="shared" si="1"/>
        <v>1096200</v>
      </c>
    </row>
    <row r="17" spans="1:17" x14ac:dyDescent="0.35">
      <c r="A17" s="109" t="s">
        <v>149</v>
      </c>
      <c r="B17" s="109">
        <v>5205</v>
      </c>
      <c r="C17" s="109" t="s">
        <v>150</v>
      </c>
      <c r="D17" s="110" t="s">
        <v>155</v>
      </c>
      <c r="E17" s="110">
        <f>E13*0.02</f>
        <v>350000</v>
      </c>
      <c r="F17" s="110">
        <f t="shared" ref="F17:P17" si="5">F13*0.02</f>
        <v>350000</v>
      </c>
      <c r="G17" s="110">
        <f t="shared" si="5"/>
        <v>350000</v>
      </c>
      <c r="H17" s="110">
        <f t="shared" si="5"/>
        <v>350000</v>
      </c>
      <c r="I17" s="110">
        <f t="shared" si="5"/>
        <v>350000</v>
      </c>
      <c r="J17" s="110">
        <f t="shared" si="5"/>
        <v>350000</v>
      </c>
      <c r="K17" s="110">
        <f t="shared" si="5"/>
        <v>350000</v>
      </c>
      <c r="L17" s="110">
        <f t="shared" si="5"/>
        <v>350000</v>
      </c>
      <c r="M17" s="110">
        <f t="shared" si="5"/>
        <v>350000</v>
      </c>
      <c r="N17" s="110">
        <f t="shared" si="5"/>
        <v>350000</v>
      </c>
      <c r="O17" s="110">
        <f t="shared" si="5"/>
        <v>350000</v>
      </c>
      <c r="P17" s="110">
        <f t="shared" si="5"/>
        <v>350000</v>
      </c>
      <c r="Q17" s="115">
        <f t="shared" si="1"/>
        <v>4200000</v>
      </c>
    </row>
    <row r="18" spans="1:17" x14ac:dyDescent="0.35">
      <c r="A18" s="109" t="s">
        <v>149</v>
      </c>
      <c r="B18" s="109">
        <v>5205</v>
      </c>
      <c r="C18" s="109" t="s">
        <v>150</v>
      </c>
      <c r="D18" s="110" t="s">
        <v>156</v>
      </c>
      <c r="E18" s="110">
        <f>E13*0.03</f>
        <v>525000</v>
      </c>
      <c r="F18" s="110">
        <f t="shared" ref="F18:P18" si="6">F13*0.03</f>
        <v>525000</v>
      </c>
      <c r="G18" s="110">
        <f t="shared" si="6"/>
        <v>525000</v>
      </c>
      <c r="H18" s="110">
        <f t="shared" si="6"/>
        <v>525000</v>
      </c>
      <c r="I18" s="110">
        <f t="shared" si="6"/>
        <v>525000</v>
      </c>
      <c r="J18" s="110">
        <f t="shared" si="6"/>
        <v>525000</v>
      </c>
      <c r="K18" s="110">
        <f t="shared" si="6"/>
        <v>525000</v>
      </c>
      <c r="L18" s="110">
        <f t="shared" si="6"/>
        <v>525000</v>
      </c>
      <c r="M18" s="110">
        <f t="shared" si="6"/>
        <v>525000</v>
      </c>
      <c r="N18" s="110">
        <f t="shared" si="6"/>
        <v>525000</v>
      </c>
      <c r="O18" s="110">
        <f t="shared" si="6"/>
        <v>525000</v>
      </c>
      <c r="P18" s="110">
        <f t="shared" si="6"/>
        <v>525000</v>
      </c>
      <c r="Q18" s="115">
        <f t="shared" si="1"/>
        <v>6300000</v>
      </c>
    </row>
    <row r="19" spans="1:17" x14ac:dyDescent="0.35">
      <c r="A19" s="109" t="s">
        <v>149</v>
      </c>
      <c r="B19" s="109">
        <v>5205</v>
      </c>
      <c r="C19" s="109" t="s">
        <v>150</v>
      </c>
      <c r="D19" s="110" t="s">
        <v>157</v>
      </c>
      <c r="E19" s="110">
        <f>E13*0.04</f>
        <v>700000</v>
      </c>
      <c r="F19" s="110">
        <f t="shared" ref="F19:P19" si="7">F13*0.04</f>
        <v>700000</v>
      </c>
      <c r="G19" s="110">
        <f t="shared" si="7"/>
        <v>700000</v>
      </c>
      <c r="H19" s="110">
        <f t="shared" si="7"/>
        <v>700000</v>
      </c>
      <c r="I19" s="110">
        <f t="shared" si="7"/>
        <v>700000</v>
      </c>
      <c r="J19" s="110">
        <f t="shared" si="7"/>
        <v>700000</v>
      </c>
      <c r="K19" s="110">
        <f t="shared" si="7"/>
        <v>700000</v>
      </c>
      <c r="L19" s="110">
        <f t="shared" si="7"/>
        <v>700000</v>
      </c>
      <c r="M19" s="110">
        <f t="shared" si="7"/>
        <v>700000</v>
      </c>
      <c r="N19" s="110">
        <f t="shared" si="7"/>
        <v>700000</v>
      </c>
      <c r="O19" s="110">
        <f t="shared" si="7"/>
        <v>700000</v>
      </c>
      <c r="P19" s="110">
        <f t="shared" si="7"/>
        <v>700000</v>
      </c>
      <c r="Q19" s="115">
        <f t="shared" si="1"/>
        <v>8400000</v>
      </c>
    </row>
    <row r="20" spans="1:17" x14ac:dyDescent="0.35">
      <c r="A20" s="109" t="s">
        <v>149</v>
      </c>
      <c r="B20" s="109">
        <v>5205</v>
      </c>
      <c r="C20" s="109" t="s">
        <v>150</v>
      </c>
      <c r="D20" s="110" t="s">
        <v>158</v>
      </c>
      <c r="E20" s="110">
        <f>E13*0.0833</f>
        <v>1457750</v>
      </c>
      <c r="F20" s="110">
        <f t="shared" ref="F20:P20" si="8">F13*0.0833</f>
        <v>1457750</v>
      </c>
      <c r="G20" s="110">
        <f t="shared" si="8"/>
        <v>1457750</v>
      </c>
      <c r="H20" s="110">
        <f t="shared" si="8"/>
        <v>1457750</v>
      </c>
      <c r="I20" s="110">
        <f t="shared" si="8"/>
        <v>1457750</v>
      </c>
      <c r="J20" s="110">
        <f t="shared" si="8"/>
        <v>1457750</v>
      </c>
      <c r="K20" s="110">
        <f t="shared" si="8"/>
        <v>1457750</v>
      </c>
      <c r="L20" s="110">
        <f t="shared" si="8"/>
        <v>1457750</v>
      </c>
      <c r="M20" s="110">
        <f t="shared" si="8"/>
        <v>1457750</v>
      </c>
      <c r="N20" s="110">
        <f t="shared" si="8"/>
        <v>1457750</v>
      </c>
      <c r="O20" s="110">
        <f t="shared" si="8"/>
        <v>1457750</v>
      </c>
      <c r="P20" s="110">
        <f t="shared" si="8"/>
        <v>1457750</v>
      </c>
      <c r="Q20" s="115">
        <f t="shared" si="1"/>
        <v>17493000</v>
      </c>
    </row>
    <row r="21" spans="1:17" x14ac:dyDescent="0.35">
      <c r="A21" s="109" t="s">
        <v>149</v>
      </c>
      <c r="B21" s="109">
        <v>5205</v>
      </c>
      <c r="C21" s="109" t="s">
        <v>150</v>
      </c>
      <c r="D21" s="110" t="s">
        <v>159</v>
      </c>
      <c r="E21" s="110">
        <f>E13*0.0833</f>
        <v>1457750</v>
      </c>
      <c r="F21" s="110">
        <f t="shared" ref="F21:P21" si="9">F13*0.0833</f>
        <v>1457750</v>
      </c>
      <c r="G21" s="110">
        <f t="shared" si="9"/>
        <v>1457750</v>
      </c>
      <c r="H21" s="110">
        <f t="shared" si="9"/>
        <v>1457750</v>
      </c>
      <c r="I21" s="110">
        <f t="shared" si="9"/>
        <v>1457750</v>
      </c>
      <c r="J21" s="110">
        <f t="shared" si="9"/>
        <v>1457750</v>
      </c>
      <c r="K21" s="110">
        <f t="shared" si="9"/>
        <v>1457750</v>
      </c>
      <c r="L21" s="110">
        <f t="shared" si="9"/>
        <v>1457750</v>
      </c>
      <c r="M21" s="110">
        <f t="shared" si="9"/>
        <v>1457750</v>
      </c>
      <c r="N21" s="110">
        <f t="shared" si="9"/>
        <v>1457750</v>
      </c>
      <c r="O21" s="110">
        <f t="shared" si="9"/>
        <v>1457750</v>
      </c>
      <c r="P21" s="110">
        <f t="shared" si="9"/>
        <v>1457750</v>
      </c>
      <c r="Q21" s="115">
        <f t="shared" si="1"/>
        <v>17493000</v>
      </c>
    </row>
    <row r="22" spans="1:17" x14ac:dyDescent="0.35">
      <c r="A22" s="109" t="s">
        <v>149</v>
      </c>
      <c r="B22" s="109">
        <v>5205</v>
      </c>
      <c r="C22" s="109" t="s">
        <v>150</v>
      </c>
      <c r="D22" s="110" t="s">
        <v>160</v>
      </c>
      <c r="E22" s="110">
        <f>E21*0.0833</f>
        <v>121430.575</v>
      </c>
      <c r="F22" s="110">
        <f t="shared" ref="F22:P22" si="10">F21*0.0833</f>
        <v>121430.575</v>
      </c>
      <c r="G22" s="110">
        <f t="shared" si="10"/>
        <v>121430.575</v>
      </c>
      <c r="H22" s="110">
        <f t="shared" si="10"/>
        <v>121430.575</v>
      </c>
      <c r="I22" s="110">
        <f t="shared" si="10"/>
        <v>121430.575</v>
      </c>
      <c r="J22" s="110">
        <f t="shared" si="10"/>
        <v>121430.575</v>
      </c>
      <c r="K22" s="110">
        <f t="shared" si="10"/>
        <v>121430.575</v>
      </c>
      <c r="L22" s="110">
        <f t="shared" si="10"/>
        <v>121430.575</v>
      </c>
      <c r="M22" s="110">
        <f t="shared" si="10"/>
        <v>121430.575</v>
      </c>
      <c r="N22" s="110">
        <f t="shared" si="10"/>
        <v>121430.575</v>
      </c>
      <c r="O22" s="110">
        <f t="shared" si="10"/>
        <v>121430.575</v>
      </c>
      <c r="P22" s="110">
        <f t="shared" si="10"/>
        <v>121430.575</v>
      </c>
      <c r="Q22" s="115">
        <f t="shared" si="1"/>
        <v>1457166.8999999997</v>
      </c>
    </row>
    <row r="23" spans="1:17" x14ac:dyDescent="0.35">
      <c r="A23" s="109" t="s">
        <v>149</v>
      </c>
      <c r="B23" s="109">
        <v>5205</v>
      </c>
      <c r="C23" s="109" t="s">
        <v>150</v>
      </c>
      <c r="D23" s="110" t="s">
        <v>161</v>
      </c>
      <c r="E23" s="110">
        <f t="shared" ref="E23:P23" si="11">E13*0.0417</f>
        <v>729750</v>
      </c>
      <c r="F23" s="110">
        <f t="shared" si="11"/>
        <v>729750</v>
      </c>
      <c r="G23" s="110">
        <f t="shared" si="11"/>
        <v>729750</v>
      </c>
      <c r="H23" s="110">
        <f t="shared" si="11"/>
        <v>729750</v>
      </c>
      <c r="I23" s="110">
        <f t="shared" si="11"/>
        <v>729750</v>
      </c>
      <c r="J23" s="110">
        <f t="shared" si="11"/>
        <v>729750</v>
      </c>
      <c r="K23" s="110">
        <f t="shared" si="11"/>
        <v>729750</v>
      </c>
      <c r="L23" s="110">
        <f t="shared" si="11"/>
        <v>729750</v>
      </c>
      <c r="M23" s="110">
        <f t="shared" si="11"/>
        <v>729750</v>
      </c>
      <c r="N23" s="110">
        <f t="shared" si="11"/>
        <v>729750</v>
      </c>
      <c r="O23" s="110">
        <f t="shared" si="11"/>
        <v>729750</v>
      </c>
      <c r="P23" s="110">
        <f t="shared" si="11"/>
        <v>729750</v>
      </c>
      <c r="Q23" s="115">
        <f t="shared" si="1"/>
        <v>8757000</v>
      </c>
    </row>
    <row r="24" spans="1:17" x14ac:dyDescent="0.35">
      <c r="A24" s="109" t="s">
        <v>149</v>
      </c>
      <c r="B24" s="109">
        <v>2370</v>
      </c>
      <c r="C24" s="109" t="s">
        <v>162</v>
      </c>
      <c r="D24" s="109" t="s">
        <v>152</v>
      </c>
      <c r="E24" s="110">
        <f t="shared" ref="E24:P24" si="12">-E13*0.04</f>
        <v>-700000</v>
      </c>
      <c r="F24" s="110">
        <f t="shared" si="12"/>
        <v>-700000</v>
      </c>
      <c r="G24" s="110">
        <f t="shared" si="12"/>
        <v>-700000</v>
      </c>
      <c r="H24" s="110">
        <f t="shared" si="12"/>
        <v>-700000</v>
      </c>
      <c r="I24" s="110">
        <f t="shared" si="12"/>
        <v>-700000</v>
      </c>
      <c r="J24" s="110">
        <f t="shared" si="12"/>
        <v>-700000</v>
      </c>
      <c r="K24" s="110">
        <f t="shared" si="12"/>
        <v>-700000</v>
      </c>
      <c r="L24" s="110">
        <f t="shared" si="12"/>
        <v>-700000</v>
      </c>
      <c r="M24" s="110">
        <f t="shared" si="12"/>
        <v>-700000</v>
      </c>
      <c r="N24" s="110">
        <f t="shared" si="12"/>
        <v>-700000</v>
      </c>
      <c r="O24" s="110">
        <f t="shared" si="12"/>
        <v>-700000</v>
      </c>
      <c r="P24" s="110">
        <f t="shared" si="12"/>
        <v>-700000</v>
      </c>
      <c r="Q24" s="115">
        <f t="shared" si="1"/>
        <v>-8400000</v>
      </c>
    </row>
    <row r="25" spans="1:17" x14ac:dyDescent="0.35">
      <c r="A25" s="109" t="s">
        <v>149</v>
      </c>
      <c r="B25" s="109">
        <v>2370</v>
      </c>
      <c r="C25" s="109" t="s">
        <v>162</v>
      </c>
      <c r="D25" s="109" t="s">
        <v>153</v>
      </c>
      <c r="E25" s="110">
        <f t="shared" ref="E25:P25" si="13">-E13*0.04</f>
        <v>-700000</v>
      </c>
      <c r="F25" s="110">
        <f t="shared" si="13"/>
        <v>-700000</v>
      </c>
      <c r="G25" s="110">
        <f t="shared" si="13"/>
        <v>-700000</v>
      </c>
      <c r="H25" s="110">
        <f t="shared" si="13"/>
        <v>-700000</v>
      </c>
      <c r="I25" s="110">
        <f t="shared" si="13"/>
        <v>-700000</v>
      </c>
      <c r="J25" s="110">
        <f t="shared" si="13"/>
        <v>-700000</v>
      </c>
      <c r="K25" s="110">
        <f t="shared" si="13"/>
        <v>-700000</v>
      </c>
      <c r="L25" s="110">
        <f t="shared" si="13"/>
        <v>-700000</v>
      </c>
      <c r="M25" s="110">
        <f t="shared" si="13"/>
        <v>-700000</v>
      </c>
      <c r="N25" s="110">
        <f t="shared" si="13"/>
        <v>-700000</v>
      </c>
      <c r="O25" s="110">
        <f t="shared" si="13"/>
        <v>-700000</v>
      </c>
      <c r="P25" s="110">
        <f t="shared" si="13"/>
        <v>-700000</v>
      </c>
      <c r="Q25" s="115">
        <f t="shared" si="1"/>
        <v>-8400000</v>
      </c>
    </row>
    <row r="26" spans="1:17" x14ac:dyDescent="0.35">
      <c r="A26" s="109" t="s">
        <v>149</v>
      </c>
      <c r="B26" s="109">
        <v>2370</v>
      </c>
      <c r="C26" s="109" t="s">
        <v>162</v>
      </c>
      <c r="D26" s="109" t="s">
        <v>163</v>
      </c>
      <c r="E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F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G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H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I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J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K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L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M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N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O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P26" s="110">
        <f>-('Presupuesto economico'!$E$49)*(IF(AND((('Presupuesto economico'!$D$49)/877803)&gt;=4,(('Presupuesto economico'!$E$49)/877803)&lt;16),1,IF(AND((('Presupuesto economico'!$E$49)/877803)&gt;=16,(('Presupuesto economico'!$E$49)/877803)&lt;=17),1.2,IF(AND((('Presupuesto economico'!$E$49)/877803)&gt;17,(('Presupuesto economico'!$E$49)/877803)&lt;=18),1.4,IF(AND((('Presupuesto economico'!$E$49)/877803)&gt;18,(('Presupuesto economico'!$E$49)/877803)&lt;=19),1.6,IF(AND((('Presupuesto economico'!$E$49)/877803)&gt;19,(('Presupuesto economico'!$E$49)/877803)&lt;=20),1.8,IF((('Presupuesto economico'!$E$49)/877803)&gt;20,2,0))))))/100)*5</f>
        <v>-200000</v>
      </c>
      <c r="Q26" s="115">
        <f t="shared" si="1"/>
        <v>-2400000</v>
      </c>
    </row>
    <row r="27" spans="1:17" x14ac:dyDescent="0.35">
      <c r="A27" s="109" t="s">
        <v>149</v>
      </c>
      <c r="B27" s="111">
        <v>1110</v>
      </c>
      <c r="C27" s="109" t="s">
        <v>141</v>
      </c>
      <c r="D27" s="109" t="s">
        <v>164</v>
      </c>
      <c r="E27" s="110">
        <f>-(E13+E24+E25+E26)</f>
        <v>-15900000</v>
      </c>
      <c r="F27" s="110">
        <f t="shared" ref="F27:P27" si="14">-(F13+F24+F25+F26)</f>
        <v>-15900000</v>
      </c>
      <c r="G27" s="110">
        <f t="shared" si="14"/>
        <v>-15900000</v>
      </c>
      <c r="H27" s="110">
        <f t="shared" si="14"/>
        <v>-15900000</v>
      </c>
      <c r="I27" s="110">
        <f t="shared" si="14"/>
        <v>-15900000</v>
      </c>
      <c r="J27" s="110">
        <f t="shared" si="14"/>
        <v>-15900000</v>
      </c>
      <c r="K27" s="110">
        <f t="shared" si="14"/>
        <v>-15900000</v>
      </c>
      <c r="L27" s="110">
        <f t="shared" si="14"/>
        <v>-15900000</v>
      </c>
      <c r="M27" s="110">
        <f t="shared" si="14"/>
        <v>-15900000</v>
      </c>
      <c r="N27" s="110">
        <f t="shared" si="14"/>
        <v>-15900000</v>
      </c>
      <c r="O27" s="110">
        <f t="shared" si="14"/>
        <v>-15900000</v>
      </c>
      <c r="P27" s="110">
        <f t="shared" si="14"/>
        <v>-15900000</v>
      </c>
      <c r="Q27" s="115">
        <f t="shared" si="1"/>
        <v>-190800000</v>
      </c>
    </row>
    <row r="28" spans="1:17" x14ac:dyDescent="0.35">
      <c r="A28" s="109" t="s">
        <v>149</v>
      </c>
      <c r="B28" s="109">
        <v>2370</v>
      </c>
      <c r="C28" s="109" t="s">
        <v>162</v>
      </c>
      <c r="D28" s="110" t="s">
        <v>152</v>
      </c>
      <c r="E28" s="110">
        <f t="shared" ref="E28:P28" si="15">-E13*0.12</f>
        <v>-2100000</v>
      </c>
      <c r="F28" s="110">
        <f t="shared" si="15"/>
        <v>-2100000</v>
      </c>
      <c r="G28" s="110">
        <f t="shared" si="15"/>
        <v>-2100000</v>
      </c>
      <c r="H28" s="110">
        <f t="shared" si="15"/>
        <v>-2100000</v>
      </c>
      <c r="I28" s="110">
        <f t="shared" si="15"/>
        <v>-2100000</v>
      </c>
      <c r="J28" s="110">
        <f t="shared" si="15"/>
        <v>-2100000</v>
      </c>
      <c r="K28" s="110">
        <f t="shared" si="15"/>
        <v>-2100000</v>
      </c>
      <c r="L28" s="110">
        <f t="shared" si="15"/>
        <v>-2100000</v>
      </c>
      <c r="M28" s="110">
        <f t="shared" si="15"/>
        <v>-2100000</v>
      </c>
      <c r="N28" s="110">
        <f t="shared" si="15"/>
        <v>-2100000</v>
      </c>
      <c r="O28" s="110">
        <f t="shared" si="15"/>
        <v>-2100000</v>
      </c>
      <c r="P28" s="110">
        <f t="shared" si="15"/>
        <v>-2100000</v>
      </c>
      <c r="Q28" s="115">
        <f t="shared" si="1"/>
        <v>-25200000</v>
      </c>
    </row>
    <row r="29" spans="1:17" x14ac:dyDescent="0.35">
      <c r="A29" s="109" t="s">
        <v>149</v>
      </c>
      <c r="B29" s="109">
        <v>2370</v>
      </c>
      <c r="C29" s="109" t="s">
        <v>162</v>
      </c>
      <c r="D29" s="110" t="s">
        <v>153</v>
      </c>
      <c r="E29" s="110">
        <f t="shared" ref="E29:P29" si="16">-E13*0.085</f>
        <v>-1487500</v>
      </c>
      <c r="F29" s="110">
        <f t="shared" si="16"/>
        <v>-1487500</v>
      </c>
      <c r="G29" s="110">
        <f t="shared" si="16"/>
        <v>-1487500</v>
      </c>
      <c r="H29" s="110">
        <f t="shared" si="16"/>
        <v>-1487500</v>
      </c>
      <c r="I29" s="110">
        <f t="shared" si="16"/>
        <v>-1487500</v>
      </c>
      <c r="J29" s="110">
        <f t="shared" si="16"/>
        <v>-1487500</v>
      </c>
      <c r="K29" s="110">
        <f t="shared" si="16"/>
        <v>-1487500</v>
      </c>
      <c r="L29" s="110">
        <f t="shared" si="16"/>
        <v>-1487500</v>
      </c>
      <c r="M29" s="110">
        <f t="shared" si="16"/>
        <v>-1487500</v>
      </c>
      <c r="N29" s="110">
        <f t="shared" si="16"/>
        <v>-1487500</v>
      </c>
      <c r="O29" s="110">
        <f t="shared" si="16"/>
        <v>-1487500</v>
      </c>
      <c r="P29" s="110">
        <f t="shared" si="16"/>
        <v>-1487500</v>
      </c>
      <c r="Q29" s="115">
        <f t="shared" si="1"/>
        <v>-17850000</v>
      </c>
    </row>
    <row r="30" spans="1:17" x14ac:dyDescent="0.35">
      <c r="A30" s="109" t="s">
        <v>149</v>
      </c>
      <c r="B30" s="109">
        <v>2370</v>
      </c>
      <c r="C30" s="109" t="s">
        <v>162</v>
      </c>
      <c r="D30" s="110" t="s">
        <v>154</v>
      </c>
      <c r="E30" s="110">
        <f t="shared" ref="E30:P30" si="17">-E13*0.00522</f>
        <v>-91350</v>
      </c>
      <c r="F30" s="110">
        <f t="shared" si="17"/>
        <v>-91350</v>
      </c>
      <c r="G30" s="110">
        <f t="shared" si="17"/>
        <v>-91350</v>
      </c>
      <c r="H30" s="110">
        <f t="shared" si="17"/>
        <v>-91350</v>
      </c>
      <c r="I30" s="110">
        <f t="shared" si="17"/>
        <v>-91350</v>
      </c>
      <c r="J30" s="110">
        <f t="shared" si="17"/>
        <v>-91350</v>
      </c>
      <c r="K30" s="110">
        <f t="shared" si="17"/>
        <v>-91350</v>
      </c>
      <c r="L30" s="110">
        <f t="shared" si="17"/>
        <v>-91350</v>
      </c>
      <c r="M30" s="110">
        <f t="shared" si="17"/>
        <v>-91350</v>
      </c>
      <c r="N30" s="110">
        <f t="shared" si="17"/>
        <v>-91350</v>
      </c>
      <c r="O30" s="110">
        <f t="shared" si="17"/>
        <v>-91350</v>
      </c>
      <c r="P30" s="110">
        <f t="shared" si="17"/>
        <v>-91350</v>
      </c>
      <c r="Q30" s="115">
        <f t="shared" si="1"/>
        <v>-1096200</v>
      </c>
    </row>
    <row r="31" spans="1:17" x14ac:dyDescent="0.35">
      <c r="A31" s="109" t="s">
        <v>149</v>
      </c>
      <c r="B31" s="109">
        <v>2370</v>
      </c>
      <c r="C31" s="109" t="s">
        <v>162</v>
      </c>
      <c r="D31" s="110" t="s">
        <v>155</v>
      </c>
      <c r="E31" s="110">
        <f t="shared" ref="E31:P31" si="18">-E13*0.02</f>
        <v>-350000</v>
      </c>
      <c r="F31" s="110">
        <f t="shared" si="18"/>
        <v>-350000</v>
      </c>
      <c r="G31" s="110">
        <f t="shared" si="18"/>
        <v>-350000</v>
      </c>
      <c r="H31" s="110">
        <f t="shared" si="18"/>
        <v>-350000</v>
      </c>
      <c r="I31" s="110">
        <f t="shared" si="18"/>
        <v>-350000</v>
      </c>
      <c r="J31" s="110">
        <f t="shared" si="18"/>
        <v>-350000</v>
      </c>
      <c r="K31" s="110">
        <f t="shared" si="18"/>
        <v>-350000</v>
      </c>
      <c r="L31" s="110">
        <f t="shared" si="18"/>
        <v>-350000</v>
      </c>
      <c r="M31" s="110">
        <f t="shared" si="18"/>
        <v>-350000</v>
      </c>
      <c r="N31" s="110">
        <f t="shared" si="18"/>
        <v>-350000</v>
      </c>
      <c r="O31" s="110">
        <f t="shared" si="18"/>
        <v>-350000</v>
      </c>
      <c r="P31" s="110">
        <f t="shared" si="18"/>
        <v>-350000</v>
      </c>
      <c r="Q31" s="115">
        <f t="shared" si="1"/>
        <v>-4200000</v>
      </c>
    </row>
    <row r="32" spans="1:17" x14ac:dyDescent="0.35">
      <c r="A32" s="109" t="s">
        <v>149</v>
      </c>
      <c r="B32" s="109">
        <v>2370</v>
      </c>
      <c r="C32" s="109" t="s">
        <v>162</v>
      </c>
      <c r="D32" s="110" t="s">
        <v>156</v>
      </c>
      <c r="E32" s="110">
        <f t="shared" ref="E32:P32" si="19">-E13*0.03</f>
        <v>-525000</v>
      </c>
      <c r="F32" s="110">
        <f t="shared" si="19"/>
        <v>-525000</v>
      </c>
      <c r="G32" s="110">
        <f t="shared" si="19"/>
        <v>-525000</v>
      </c>
      <c r="H32" s="110">
        <f t="shared" si="19"/>
        <v>-525000</v>
      </c>
      <c r="I32" s="110">
        <f t="shared" si="19"/>
        <v>-525000</v>
      </c>
      <c r="J32" s="110">
        <f t="shared" si="19"/>
        <v>-525000</v>
      </c>
      <c r="K32" s="110">
        <f t="shared" si="19"/>
        <v>-525000</v>
      </c>
      <c r="L32" s="110">
        <f t="shared" si="19"/>
        <v>-525000</v>
      </c>
      <c r="M32" s="110">
        <f t="shared" si="19"/>
        <v>-525000</v>
      </c>
      <c r="N32" s="110">
        <f t="shared" si="19"/>
        <v>-525000</v>
      </c>
      <c r="O32" s="110">
        <f t="shared" si="19"/>
        <v>-525000</v>
      </c>
      <c r="P32" s="110">
        <f t="shared" si="19"/>
        <v>-525000</v>
      </c>
      <c r="Q32" s="115">
        <f t="shared" si="1"/>
        <v>-6300000</v>
      </c>
    </row>
    <row r="33" spans="1:17" x14ac:dyDescent="0.35">
      <c r="A33" s="109" t="s">
        <v>149</v>
      </c>
      <c r="B33" s="109">
        <v>2370</v>
      </c>
      <c r="C33" s="109" t="s">
        <v>162</v>
      </c>
      <c r="D33" s="110" t="s">
        <v>157</v>
      </c>
      <c r="E33" s="110">
        <f t="shared" ref="E33:P33" si="20">-E13*0.04</f>
        <v>-700000</v>
      </c>
      <c r="F33" s="110">
        <f t="shared" si="20"/>
        <v>-700000</v>
      </c>
      <c r="G33" s="110">
        <f t="shared" si="20"/>
        <v>-700000</v>
      </c>
      <c r="H33" s="110">
        <f t="shared" si="20"/>
        <v>-700000</v>
      </c>
      <c r="I33" s="110">
        <f t="shared" si="20"/>
        <v>-700000</v>
      </c>
      <c r="J33" s="110">
        <f t="shared" si="20"/>
        <v>-700000</v>
      </c>
      <c r="K33" s="110">
        <f t="shared" si="20"/>
        <v>-700000</v>
      </c>
      <c r="L33" s="110">
        <f t="shared" si="20"/>
        <v>-700000</v>
      </c>
      <c r="M33" s="110">
        <f t="shared" si="20"/>
        <v>-700000</v>
      </c>
      <c r="N33" s="110">
        <f t="shared" si="20"/>
        <v>-700000</v>
      </c>
      <c r="O33" s="110">
        <f t="shared" si="20"/>
        <v>-700000</v>
      </c>
      <c r="P33" s="110">
        <f t="shared" si="20"/>
        <v>-700000</v>
      </c>
      <c r="Q33" s="115">
        <f t="shared" si="1"/>
        <v>-8400000</v>
      </c>
    </row>
    <row r="34" spans="1:17" x14ac:dyDescent="0.35">
      <c r="A34" s="109" t="s">
        <v>149</v>
      </c>
      <c r="B34" s="109">
        <v>2610</v>
      </c>
      <c r="C34" s="109" t="s">
        <v>162</v>
      </c>
      <c r="D34" s="110" t="s">
        <v>158</v>
      </c>
      <c r="E34" s="110">
        <f t="shared" ref="E34:P34" si="21">-E13*0.0833</f>
        <v>-1457750</v>
      </c>
      <c r="F34" s="110">
        <f t="shared" si="21"/>
        <v>-1457750</v>
      </c>
      <c r="G34" s="110">
        <f t="shared" si="21"/>
        <v>-1457750</v>
      </c>
      <c r="H34" s="110">
        <f t="shared" si="21"/>
        <v>-1457750</v>
      </c>
      <c r="I34" s="110">
        <f t="shared" si="21"/>
        <v>-1457750</v>
      </c>
      <c r="J34" s="110">
        <f t="shared" si="21"/>
        <v>-1457750</v>
      </c>
      <c r="K34" s="110">
        <f t="shared" si="21"/>
        <v>-1457750</v>
      </c>
      <c r="L34" s="110">
        <f t="shared" si="21"/>
        <v>-1457750</v>
      </c>
      <c r="M34" s="110">
        <f t="shared" si="21"/>
        <v>-1457750</v>
      </c>
      <c r="N34" s="110">
        <f t="shared" si="21"/>
        <v>-1457750</v>
      </c>
      <c r="O34" s="110">
        <f t="shared" si="21"/>
        <v>-1457750</v>
      </c>
      <c r="P34" s="110">
        <f t="shared" si="21"/>
        <v>-1457750</v>
      </c>
      <c r="Q34" s="115">
        <f t="shared" si="1"/>
        <v>-17493000</v>
      </c>
    </row>
    <row r="35" spans="1:17" x14ac:dyDescent="0.35">
      <c r="A35" s="109" t="s">
        <v>149</v>
      </c>
      <c r="B35" s="109">
        <v>2610</v>
      </c>
      <c r="C35" s="109" t="s">
        <v>162</v>
      </c>
      <c r="D35" s="110" t="s">
        <v>159</v>
      </c>
      <c r="E35" s="110">
        <f t="shared" ref="E35:P35" si="22">-E13*0.0833</f>
        <v>-1457750</v>
      </c>
      <c r="F35" s="110">
        <f t="shared" si="22"/>
        <v>-1457750</v>
      </c>
      <c r="G35" s="110">
        <f t="shared" si="22"/>
        <v>-1457750</v>
      </c>
      <c r="H35" s="110">
        <f t="shared" si="22"/>
        <v>-1457750</v>
      </c>
      <c r="I35" s="110">
        <f t="shared" si="22"/>
        <v>-1457750</v>
      </c>
      <c r="J35" s="110">
        <f t="shared" si="22"/>
        <v>-1457750</v>
      </c>
      <c r="K35" s="110">
        <f t="shared" si="22"/>
        <v>-1457750</v>
      </c>
      <c r="L35" s="110">
        <f t="shared" si="22"/>
        <v>-1457750</v>
      </c>
      <c r="M35" s="110">
        <f t="shared" si="22"/>
        <v>-1457750</v>
      </c>
      <c r="N35" s="110">
        <f t="shared" si="22"/>
        <v>-1457750</v>
      </c>
      <c r="O35" s="110">
        <f t="shared" si="22"/>
        <v>-1457750</v>
      </c>
      <c r="P35" s="110">
        <f t="shared" si="22"/>
        <v>-1457750</v>
      </c>
      <c r="Q35" s="115">
        <f t="shared" si="1"/>
        <v>-17493000</v>
      </c>
    </row>
    <row r="36" spans="1:17" x14ac:dyDescent="0.35">
      <c r="A36" s="109" t="s">
        <v>149</v>
      </c>
      <c r="B36" s="109">
        <v>2610</v>
      </c>
      <c r="C36" s="109" t="s">
        <v>162</v>
      </c>
      <c r="D36" s="110" t="s">
        <v>160</v>
      </c>
      <c r="E36" s="110">
        <f t="shared" ref="E36:P36" si="23">-E21*0.0833</f>
        <v>-121430.575</v>
      </c>
      <c r="F36" s="110">
        <f t="shared" si="23"/>
        <v>-121430.575</v>
      </c>
      <c r="G36" s="110">
        <f t="shared" si="23"/>
        <v>-121430.575</v>
      </c>
      <c r="H36" s="110">
        <f t="shared" si="23"/>
        <v>-121430.575</v>
      </c>
      <c r="I36" s="110">
        <f t="shared" si="23"/>
        <v>-121430.575</v>
      </c>
      <c r="J36" s="110">
        <f t="shared" si="23"/>
        <v>-121430.575</v>
      </c>
      <c r="K36" s="110">
        <f t="shared" si="23"/>
        <v>-121430.575</v>
      </c>
      <c r="L36" s="110">
        <f t="shared" si="23"/>
        <v>-121430.575</v>
      </c>
      <c r="M36" s="110">
        <f t="shared" si="23"/>
        <v>-121430.575</v>
      </c>
      <c r="N36" s="110">
        <f t="shared" si="23"/>
        <v>-121430.575</v>
      </c>
      <c r="O36" s="110">
        <f t="shared" si="23"/>
        <v>-121430.575</v>
      </c>
      <c r="P36" s="110">
        <f t="shared" si="23"/>
        <v>-121430.575</v>
      </c>
      <c r="Q36" s="115">
        <f t="shared" si="1"/>
        <v>-1457166.8999999997</v>
      </c>
    </row>
    <row r="37" spans="1:17" x14ac:dyDescent="0.35">
      <c r="A37" s="109" t="s">
        <v>149</v>
      </c>
      <c r="B37" s="109">
        <v>2610</v>
      </c>
      <c r="C37" s="109" t="s">
        <v>162</v>
      </c>
      <c r="D37" s="110" t="s">
        <v>161</v>
      </c>
      <c r="E37" s="110">
        <f t="shared" ref="E37:P37" si="24">-E13*0.0417</f>
        <v>-729750</v>
      </c>
      <c r="F37" s="110">
        <f t="shared" si="24"/>
        <v>-729750</v>
      </c>
      <c r="G37" s="110">
        <f t="shared" si="24"/>
        <v>-729750</v>
      </c>
      <c r="H37" s="110">
        <f t="shared" si="24"/>
        <v>-729750</v>
      </c>
      <c r="I37" s="110">
        <f t="shared" si="24"/>
        <v>-729750</v>
      </c>
      <c r="J37" s="110">
        <f t="shared" si="24"/>
        <v>-729750</v>
      </c>
      <c r="K37" s="110">
        <f t="shared" si="24"/>
        <v>-729750</v>
      </c>
      <c r="L37" s="110">
        <f t="shared" si="24"/>
        <v>-729750</v>
      </c>
      <c r="M37" s="110">
        <f t="shared" si="24"/>
        <v>-729750</v>
      </c>
      <c r="N37" s="110">
        <f t="shared" si="24"/>
        <v>-729750</v>
      </c>
      <c r="O37" s="110">
        <f t="shared" si="24"/>
        <v>-729750</v>
      </c>
      <c r="P37" s="110">
        <f t="shared" si="24"/>
        <v>-729750</v>
      </c>
      <c r="Q37" s="115">
        <f t="shared" si="1"/>
        <v>-8757000</v>
      </c>
    </row>
    <row r="38" spans="1:17" x14ac:dyDescent="0.35">
      <c r="A38" s="109"/>
      <c r="B38" s="109"/>
      <c r="C38" s="109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5">
        <f t="shared" si="1"/>
        <v>0</v>
      </c>
    </row>
    <row r="39" spans="1:17" x14ac:dyDescent="0.35">
      <c r="A39" s="109" t="s">
        <v>165</v>
      </c>
      <c r="B39" s="109">
        <v>2370</v>
      </c>
      <c r="C39" s="109" t="s">
        <v>162</v>
      </c>
      <c r="D39" s="109" t="s">
        <v>165</v>
      </c>
      <c r="E39" s="110">
        <f>-(+E24+E25+E26+E28+E29+E30+E31+E32+E33)</f>
        <v>6853850</v>
      </c>
      <c r="F39" s="110">
        <f t="shared" ref="F39:P39" si="25">-(+F24+F25+F26+F28+F29+F30+F31+F32+F33)</f>
        <v>6853850</v>
      </c>
      <c r="G39" s="110">
        <f t="shared" si="25"/>
        <v>6853850</v>
      </c>
      <c r="H39" s="110">
        <f t="shared" si="25"/>
        <v>6853850</v>
      </c>
      <c r="I39" s="110">
        <f t="shared" si="25"/>
        <v>6853850</v>
      </c>
      <c r="J39" s="110">
        <f t="shared" si="25"/>
        <v>6853850</v>
      </c>
      <c r="K39" s="110">
        <f t="shared" si="25"/>
        <v>6853850</v>
      </c>
      <c r="L39" s="110">
        <f t="shared" si="25"/>
        <v>6853850</v>
      </c>
      <c r="M39" s="110">
        <f t="shared" si="25"/>
        <v>6853850</v>
      </c>
      <c r="N39" s="110">
        <f t="shared" si="25"/>
        <v>6853850</v>
      </c>
      <c r="O39" s="110">
        <f t="shared" si="25"/>
        <v>6853850</v>
      </c>
      <c r="P39" s="110">
        <f t="shared" si="25"/>
        <v>6853850</v>
      </c>
      <c r="Q39" s="115">
        <f t="shared" si="1"/>
        <v>82246200</v>
      </c>
    </row>
    <row r="40" spans="1:17" x14ac:dyDescent="0.35">
      <c r="A40" s="109" t="s">
        <v>165</v>
      </c>
      <c r="B40" s="111">
        <v>1110</v>
      </c>
      <c r="C40" s="109" t="s">
        <v>141</v>
      </c>
      <c r="D40" s="110" t="s">
        <v>164</v>
      </c>
      <c r="E40" s="110">
        <f>-E39</f>
        <v>-6853850</v>
      </c>
      <c r="F40" s="110">
        <f t="shared" ref="F40:P40" si="26">-F39</f>
        <v>-6853850</v>
      </c>
      <c r="G40" s="110">
        <f t="shared" si="26"/>
        <v>-6853850</v>
      </c>
      <c r="H40" s="110">
        <f t="shared" si="26"/>
        <v>-6853850</v>
      </c>
      <c r="I40" s="110">
        <f t="shared" si="26"/>
        <v>-6853850</v>
      </c>
      <c r="J40" s="110">
        <f t="shared" si="26"/>
        <v>-6853850</v>
      </c>
      <c r="K40" s="110">
        <f t="shared" si="26"/>
        <v>-6853850</v>
      </c>
      <c r="L40" s="110">
        <f t="shared" si="26"/>
        <v>-6853850</v>
      </c>
      <c r="M40" s="110">
        <f t="shared" si="26"/>
        <v>-6853850</v>
      </c>
      <c r="N40" s="110">
        <f t="shared" si="26"/>
        <v>-6853850</v>
      </c>
      <c r="O40" s="110">
        <f t="shared" si="26"/>
        <v>-6853850</v>
      </c>
      <c r="P40" s="110">
        <f t="shared" si="26"/>
        <v>-6853850</v>
      </c>
      <c r="Q40" s="115">
        <f t="shared" si="1"/>
        <v>-82246200</v>
      </c>
    </row>
    <row r="41" spans="1:17" x14ac:dyDescent="0.35">
      <c r="A41" s="109"/>
      <c r="B41" s="109"/>
      <c r="C41" s="109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5">
        <f t="shared" si="1"/>
        <v>0</v>
      </c>
    </row>
    <row r="42" spans="1:17" x14ac:dyDescent="0.35">
      <c r="A42" s="109" t="s">
        <v>166</v>
      </c>
      <c r="B42" s="109">
        <v>2610</v>
      </c>
      <c r="C42" s="109" t="s">
        <v>162</v>
      </c>
      <c r="D42" s="109" t="s">
        <v>165</v>
      </c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>
        <f>-(Q34+Q35+Q36+Q37)</f>
        <v>45200166.899999999</v>
      </c>
      <c r="Q42" s="115">
        <f t="shared" si="1"/>
        <v>45200166.899999999</v>
      </c>
    </row>
    <row r="43" spans="1:17" x14ac:dyDescent="0.35">
      <c r="A43" s="109" t="s">
        <v>166</v>
      </c>
      <c r="B43" s="111">
        <v>1110</v>
      </c>
      <c r="C43" s="109" t="s">
        <v>141</v>
      </c>
      <c r="D43" s="110" t="s">
        <v>164</v>
      </c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>
        <f>-P42</f>
        <v>-45200166.899999999</v>
      </c>
      <c r="Q43" s="115">
        <f t="shared" si="1"/>
        <v>-45200166.899999999</v>
      </c>
    </row>
    <row r="44" spans="1:17" x14ac:dyDescent="0.35">
      <c r="A44" s="109"/>
      <c r="B44" s="109"/>
      <c r="C44" s="109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5">
        <f t="shared" si="1"/>
        <v>0</v>
      </c>
    </row>
    <row r="45" spans="1:17" x14ac:dyDescent="0.35">
      <c r="A45" s="109" t="s">
        <v>167</v>
      </c>
      <c r="B45" s="109">
        <v>5295</v>
      </c>
      <c r="C45" s="109" t="s">
        <v>168</v>
      </c>
      <c r="D45" s="109" t="s">
        <v>169</v>
      </c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5">
        <f t="shared" si="1"/>
        <v>0</v>
      </c>
    </row>
    <row r="46" spans="1:17" x14ac:dyDescent="0.35">
      <c r="A46" s="109" t="s">
        <v>167</v>
      </c>
      <c r="B46" s="111">
        <v>1110</v>
      </c>
      <c r="C46" s="109" t="s">
        <v>141</v>
      </c>
      <c r="D46" s="109" t="s">
        <v>142</v>
      </c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5">
        <f t="shared" si="1"/>
        <v>0</v>
      </c>
    </row>
    <row r="47" spans="1:17" x14ac:dyDescent="0.35">
      <c r="A47" s="109"/>
      <c r="B47" s="109"/>
      <c r="C47" s="109"/>
      <c r="D47" s="109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5">
        <f t="shared" si="1"/>
        <v>0</v>
      </c>
    </row>
    <row r="48" spans="1:17" x14ac:dyDescent="0.35">
      <c r="A48" s="109" t="s">
        <v>170</v>
      </c>
      <c r="B48" s="109">
        <v>1705</v>
      </c>
      <c r="C48" s="109" t="s">
        <v>141</v>
      </c>
      <c r="D48" s="109" t="s">
        <v>171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5">
        <f t="shared" si="1"/>
        <v>0</v>
      </c>
    </row>
    <row r="49" spans="1:17" x14ac:dyDescent="0.35">
      <c r="A49" s="109" t="s">
        <v>170</v>
      </c>
      <c r="B49" s="109">
        <v>5295</v>
      </c>
      <c r="C49" s="109" t="s">
        <v>168</v>
      </c>
      <c r="D49" s="109" t="s">
        <v>169</v>
      </c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5">
        <f t="shared" si="1"/>
        <v>0</v>
      </c>
    </row>
    <row r="50" spans="1:17" x14ac:dyDescent="0.35">
      <c r="A50" s="109" t="s">
        <v>170</v>
      </c>
      <c r="B50" s="109">
        <v>2405</v>
      </c>
      <c r="C50" s="109" t="s">
        <v>172</v>
      </c>
      <c r="D50" s="109" t="s">
        <v>173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5">
        <f t="shared" si="1"/>
        <v>0</v>
      </c>
    </row>
    <row r="51" spans="1:17" x14ac:dyDescent="0.35">
      <c r="A51" s="109" t="s">
        <v>170</v>
      </c>
      <c r="B51" s="109">
        <v>2365</v>
      </c>
      <c r="C51" s="109" t="s">
        <v>172</v>
      </c>
      <c r="D51" s="109" t="s">
        <v>174</v>
      </c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5">
        <f t="shared" si="1"/>
        <v>0</v>
      </c>
    </row>
    <row r="52" spans="1:17" x14ac:dyDescent="0.35">
      <c r="A52" s="109" t="s">
        <v>170</v>
      </c>
      <c r="B52" s="109">
        <v>2368</v>
      </c>
      <c r="C52" s="109" t="s">
        <v>172</v>
      </c>
      <c r="D52" s="109" t="s">
        <v>175</v>
      </c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5">
        <f t="shared" si="1"/>
        <v>0</v>
      </c>
    </row>
    <row r="53" spans="1:17" x14ac:dyDescent="0.35">
      <c r="A53" s="109" t="s">
        <v>170</v>
      </c>
      <c r="B53" s="111">
        <v>1110</v>
      </c>
      <c r="C53" s="109" t="s">
        <v>141</v>
      </c>
      <c r="D53" s="109" t="s">
        <v>142</v>
      </c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5">
        <f t="shared" si="1"/>
        <v>0</v>
      </c>
    </row>
    <row r="54" spans="1:17" x14ac:dyDescent="0.35">
      <c r="A54" s="109"/>
      <c r="B54" s="109"/>
      <c r="C54" s="109"/>
      <c r="D54" s="109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5">
        <f t="shared" si="1"/>
        <v>0</v>
      </c>
    </row>
    <row r="55" spans="1:17" x14ac:dyDescent="0.35">
      <c r="A55" s="109" t="s">
        <v>176</v>
      </c>
      <c r="B55" s="109">
        <v>1705</v>
      </c>
      <c r="C55" s="109" t="s">
        <v>141</v>
      </c>
      <c r="D55" s="109" t="s">
        <v>171</v>
      </c>
      <c r="E55" s="110">
        <f>('Presupuesto economico'!G68/12)*11</f>
        <v>4812500</v>
      </c>
      <c r="F55" s="110">
        <f>-$E$56</f>
        <v>-437500</v>
      </c>
      <c r="G55" s="110">
        <f t="shared" ref="G55:P55" si="27">-$E$56</f>
        <v>-437500</v>
      </c>
      <c r="H55" s="110">
        <f t="shared" si="27"/>
        <v>-437500</v>
      </c>
      <c r="I55" s="110">
        <f t="shared" si="27"/>
        <v>-437500</v>
      </c>
      <c r="J55" s="110">
        <f t="shared" si="27"/>
        <v>-437500</v>
      </c>
      <c r="K55" s="110">
        <f t="shared" si="27"/>
        <v>-437500</v>
      </c>
      <c r="L55" s="110">
        <f t="shared" si="27"/>
        <v>-437500</v>
      </c>
      <c r="M55" s="110">
        <f t="shared" si="27"/>
        <v>-437500</v>
      </c>
      <c r="N55" s="110">
        <f t="shared" si="27"/>
        <v>-437500</v>
      </c>
      <c r="O55" s="110">
        <f t="shared" si="27"/>
        <v>-437500</v>
      </c>
      <c r="P55" s="110">
        <f t="shared" si="27"/>
        <v>-437500</v>
      </c>
      <c r="Q55" s="115">
        <f t="shared" si="1"/>
        <v>0</v>
      </c>
    </row>
    <row r="56" spans="1:17" x14ac:dyDescent="0.35">
      <c r="A56" s="109" t="s">
        <v>176</v>
      </c>
      <c r="B56" s="109">
        <v>6</v>
      </c>
      <c r="C56" s="109" t="s">
        <v>168</v>
      </c>
      <c r="D56" s="109" t="s">
        <v>169</v>
      </c>
      <c r="E56" s="110">
        <f>('Presupuesto economico'!G68/12)</f>
        <v>437500</v>
      </c>
      <c r="F56" s="110">
        <f>-F55</f>
        <v>437500</v>
      </c>
      <c r="G56" s="110">
        <f t="shared" ref="G56:P56" si="28">-G55</f>
        <v>437500</v>
      </c>
      <c r="H56" s="110">
        <f t="shared" si="28"/>
        <v>437500</v>
      </c>
      <c r="I56" s="110">
        <f t="shared" si="28"/>
        <v>437500</v>
      </c>
      <c r="J56" s="110">
        <f t="shared" si="28"/>
        <v>437500</v>
      </c>
      <c r="K56" s="110">
        <f t="shared" si="28"/>
        <v>437500</v>
      </c>
      <c r="L56" s="110">
        <f t="shared" si="28"/>
        <v>437500</v>
      </c>
      <c r="M56" s="110">
        <f t="shared" si="28"/>
        <v>437500</v>
      </c>
      <c r="N56" s="110">
        <f t="shared" si="28"/>
        <v>437500</v>
      </c>
      <c r="O56" s="110">
        <f t="shared" si="28"/>
        <v>437500</v>
      </c>
      <c r="P56" s="110">
        <f t="shared" si="28"/>
        <v>437500</v>
      </c>
      <c r="Q56" s="115">
        <f t="shared" si="1"/>
        <v>5250000</v>
      </c>
    </row>
    <row r="57" spans="1:17" x14ac:dyDescent="0.35">
      <c r="A57" s="109" t="s">
        <v>176</v>
      </c>
      <c r="B57" s="109">
        <v>2405</v>
      </c>
      <c r="C57" s="109" t="s">
        <v>172</v>
      </c>
      <c r="D57" s="109" t="s">
        <v>173</v>
      </c>
      <c r="E57" s="110">
        <f t="shared" ref="E57:P57" si="29">+(E55+E56)*19%</f>
        <v>997500</v>
      </c>
      <c r="F57" s="110">
        <f t="shared" si="29"/>
        <v>0</v>
      </c>
      <c r="G57" s="110">
        <f t="shared" si="29"/>
        <v>0</v>
      </c>
      <c r="H57" s="110">
        <f t="shared" si="29"/>
        <v>0</v>
      </c>
      <c r="I57" s="110">
        <f t="shared" si="29"/>
        <v>0</v>
      </c>
      <c r="J57" s="110">
        <f t="shared" si="29"/>
        <v>0</v>
      </c>
      <c r="K57" s="110">
        <f t="shared" si="29"/>
        <v>0</v>
      </c>
      <c r="L57" s="110">
        <f t="shared" si="29"/>
        <v>0</v>
      </c>
      <c r="M57" s="110">
        <f t="shared" si="29"/>
        <v>0</v>
      </c>
      <c r="N57" s="110">
        <f t="shared" si="29"/>
        <v>0</v>
      </c>
      <c r="O57" s="110">
        <f t="shared" si="29"/>
        <v>0</v>
      </c>
      <c r="P57" s="110">
        <f t="shared" si="29"/>
        <v>0</v>
      </c>
      <c r="Q57" s="115">
        <f t="shared" si="1"/>
        <v>997500</v>
      </c>
    </row>
    <row r="58" spans="1:17" x14ac:dyDescent="0.35">
      <c r="A58" s="109" t="s">
        <v>176</v>
      </c>
      <c r="B58" s="109">
        <v>2365</v>
      </c>
      <c r="C58" s="109" t="s">
        <v>172</v>
      </c>
      <c r="D58" s="109" t="s">
        <v>174</v>
      </c>
      <c r="E58" s="110">
        <f>-E55*6%</f>
        <v>-288750</v>
      </c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5">
        <f t="shared" si="1"/>
        <v>-288750</v>
      </c>
    </row>
    <row r="59" spans="1:17" x14ac:dyDescent="0.35">
      <c r="A59" s="109" t="s">
        <v>176</v>
      </c>
      <c r="B59" s="109">
        <v>2368</v>
      </c>
      <c r="C59" s="109" t="s">
        <v>172</v>
      </c>
      <c r="D59" s="109" t="s">
        <v>175</v>
      </c>
      <c r="E59" s="110">
        <f>-E55*0.699%</f>
        <v>-33639.375</v>
      </c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5">
        <f t="shared" si="1"/>
        <v>-33639.375</v>
      </c>
    </row>
    <row r="60" spans="1:17" x14ac:dyDescent="0.35">
      <c r="A60" s="109" t="s">
        <v>176</v>
      </c>
      <c r="B60" s="111">
        <v>1110</v>
      </c>
      <c r="C60" s="109" t="s">
        <v>141</v>
      </c>
      <c r="D60" s="109" t="s">
        <v>142</v>
      </c>
      <c r="E60" s="110">
        <f>-SUM(E55:E59)</f>
        <v>-5925110.625</v>
      </c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5">
        <f t="shared" si="1"/>
        <v>-5925110.625</v>
      </c>
    </row>
    <row r="61" spans="1:17" x14ac:dyDescent="0.35">
      <c r="A61" s="109"/>
      <c r="B61" s="109"/>
      <c r="C61" s="109"/>
      <c r="D61" s="109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5">
        <f t="shared" si="1"/>
        <v>0</v>
      </c>
    </row>
    <row r="62" spans="1:17" x14ac:dyDescent="0.35">
      <c r="A62" s="109" t="s">
        <v>177</v>
      </c>
      <c r="B62" s="109">
        <v>5295</v>
      </c>
      <c r="C62" s="109" t="s">
        <v>168</v>
      </c>
      <c r="D62" s="109" t="s">
        <v>169</v>
      </c>
      <c r="E62" s="110">
        <f>'Presupuesto economico'!$G$69</f>
        <v>5000000</v>
      </c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5">
        <f t="shared" si="1"/>
        <v>5000000</v>
      </c>
    </row>
    <row r="63" spans="1:17" x14ac:dyDescent="0.35">
      <c r="A63" s="109" t="s">
        <v>177</v>
      </c>
      <c r="B63" s="111">
        <v>1110</v>
      </c>
      <c r="C63" s="109" t="s">
        <v>141</v>
      </c>
      <c r="D63" s="109" t="s">
        <v>142</v>
      </c>
      <c r="E63" s="110">
        <f>-E62</f>
        <v>-5000000</v>
      </c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5">
        <f t="shared" si="1"/>
        <v>-5000000</v>
      </c>
    </row>
    <row r="64" spans="1:17" x14ac:dyDescent="0.35">
      <c r="A64" s="109"/>
      <c r="B64" s="109"/>
      <c r="C64" s="109"/>
      <c r="D64" s="109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5">
        <f t="shared" si="1"/>
        <v>0</v>
      </c>
    </row>
    <row r="65" spans="1:17" x14ac:dyDescent="0.35">
      <c r="A65" s="109" t="s">
        <v>178</v>
      </c>
      <c r="B65" s="109">
        <v>5295</v>
      </c>
      <c r="C65" s="109" t="s">
        <v>168</v>
      </c>
      <c r="D65" s="109" t="s">
        <v>169</v>
      </c>
      <c r="E65" s="123">
        <f>'Presupuesto economico'!$E$74</f>
        <v>1050000</v>
      </c>
      <c r="F65" s="123">
        <f>'Presupuesto economico'!$E$74</f>
        <v>1050000</v>
      </c>
      <c r="G65" s="123">
        <f>'Presupuesto economico'!$E$74</f>
        <v>1050000</v>
      </c>
      <c r="H65" s="123">
        <f>'Presupuesto economico'!$E$74</f>
        <v>1050000</v>
      </c>
      <c r="I65" s="123">
        <f>'Presupuesto economico'!$E$74</f>
        <v>1050000</v>
      </c>
      <c r="J65" s="123">
        <f>'Presupuesto economico'!$E$74</f>
        <v>1050000</v>
      </c>
      <c r="K65" s="123">
        <f>'Presupuesto economico'!$E$74</f>
        <v>1050000</v>
      </c>
      <c r="L65" s="123">
        <f>'Presupuesto economico'!$E$74</f>
        <v>1050000</v>
      </c>
      <c r="M65" s="123">
        <f>'Presupuesto economico'!$E$74</f>
        <v>1050000</v>
      </c>
      <c r="N65" s="123">
        <f>'Presupuesto economico'!$E$74</f>
        <v>1050000</v>
      </c>
      <c r="O65" s="123">
        <f>'Presupuesto economico'!$E$74</f>
        <v>1050000</v>
      </c>
      <c r="P65" s="123">
        <f>'Presupuesto economico'!$E$74</f>
        <v>1050000</v>
      </c>
      <c r="Q65" s="115">
        <f t="shared" si="1"/>
        <v>12600000</v>
      </c>
    </row>
    <row r="66" spans="1:17" x14ac:dyDescent="0.35">
      <c r="A66" s="109" t="s">
        <v>178</v>
      </c>
      <c r="B66" s="111">
        <v>1110</v>
      </c>
      <c r="C66" s="109" t="s">
        <v>141</v>
      </c>
      <c r="D66" s="109" t="s">
        <v>142</v>
      </c>
      <c r="E66" s="145">
        <f>-E65</f>
        <v>-1050000</v>
      </c>
      <c r="F66" s="145">
        <f t="shared" ref="F66:P66" si="30">-F65</f>
        <v>-1050000</v>
      </c>
      <c r="G66" s="145">
        <f t="shared" si="30"/>
        <v>-1050000</v>
      </c>
      <c r="H66" s="145">
        <f t="shared" si="30"/>
        <v>-1050000</v>
      </c>
      <c r="I66" s="145">
        <f t="shared" si="30"/>
        <v>-1050000</v>
      </c>
      <c r="J66" s="145">
        <f t="shared" si="30"/>
        <v>-1050000</v>
      </c>
      <c r="K66" s="145">
        <f t="shared" si="30"/>
        <v>-1050000</v>
      </c>
      <c r="L66" s="145">
        <f t="shared" si="30"/>
        <v>-1050000</v>
      </c>
      <c r="M66" s="145">
        <f t="shared" si="30"/>
        <v>-1050000</v>
      </c>
      <c r="N66" s="145">
        <f t="shared" si="30"/>
        <v>-1050000</v>
      </c>
      <c r="O66" s="145">
        <f t="shared" si="30"/>
        <v>-1050000</v>
      </c>
      <c r="P66" s="145">
        <f t="shared" si="30"/>
        <v>-1050000</v>
      </c>
      <c r="Q66" s="115">
        <f t="shared" si="1"/>
        <v>-12600000</v>
      </c>
    </row>
    <row r="67" spans="1:17" x14ac:dyDescent="0.35">
      <c r="A67" s="109"/>
      <c r="B67" s="109"/>
      <c r="C67" s="109"/>
      <c r="D67" s="109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5">
        <f t="shared" si="1"/>
        <v>0</v>
      </c>
    </row>
    <row r="68" spans="1:17" x14ac:dyDescent="0.35">
      <c r="A68" s="109" t="s">
        <v>179</v>
      </c>
      <c r="B68" s="109">
        <v>5295</v>
      </c>
      <c r="C68" s="109" t="s">
        <v>168</v>
      </c>
      <c r="D68" s="109" t="s">
        <v>169</v>
      </c>
      <c r="E68" s="145">
        <f>'Presupuesto economico'!$E$75</f>
        <v>315000</v>
      </c>
      <c r="F68" s="145">
        <f>'Presupuesto economico'!$E$75</f>
        <v>315000</v>
      </c>
      <c r="G68" s="145">
        <f>'Presupuesto economico'!$E$75</f>
        <v>315000</v>
      </c>
      <c r="H68" s="145">
        <f>'Presupuesto economico'!$E$75</f>
        <v>315000</v>
      </c>
      <c r="I68" s="145">
        <f>'Presupuesto economico'!$E$75</f>
        <v>315000</v>
      </c>
      <c r="J68" s="145">
        <f>'Presupuesto economico'!$E$75</f>
        <v>315000</v>
      </c>
      <c r="K68" s="145">
        <f>'Presupuesto economico'!$E$75</f>
        <v>315000</v>
      </c>
      <c r="L68" s="145">
        <f>'Presupuesto economico'!$E$75</f>
        <v>315000</v>
      </c>
      <c r="M68" s="145">
        <f>'Presupuesto economico'!$E$75</f>
        <v>315000</v>
      </c>
      <c r="N68" s="145">
        <f>'Presupuesto economico'!$E$75</f>
        <v>315000</v>
      </c>
      <c r="O68" s="145">
        <f>'Presupuesto economico'!$E$75</f>
        <v>315000</v>
      </c>
      <c r="P68" s="145">
        <f>'Presupuesto economico'!$E$75</f>
        <v>315000</v>
      </c>
      <c r="Q68" s="115">
        <f t="shared" si="1"/>
        <v>3780000</v>
      </c>
    </row>
    <row r="69" spans="1:17" x14ac:dyDescent="0.35">
      <c r="A69" s="109" t="s">
        <v>179</v>
      </c>
      <c r="B69" s="111">
        <v>1110</v>
      </c>
      <c r="C69" s="109" t="s">
        <v>141</v>
      </c>
      <c r="D69" s="109" t="s">
        <v>142</v>
      </c>
      <c r="E69" s="110">
        <f>-E68</f>
        <v>-315000</v>
      </c>
      <c r="F69" s="145">
        <f t="shared" ref="F69:P69" si="31">-F68</f>
        <v>-315000</v>
      </c>
      <c r="G69" s="145">
        <f t="shared" si="31"/>
        <v>-315000</v>
      </c>
      <c r="H69" s="145">
        <f t="shared" si="31"/>
        <v>-315000</v>
      </c>
      <c r="I69" s="145">
        <f t="shared" si="31"/>
        <v>-315000</v>
      </c>
      <c r="J69" s="145">
        <f t="shared" si="31"/>
        <v>-315000</v>
      </c>
      <c r="K69" s="145">
        <f t="shared" si="31"/>
        <v>-315000</v>
      </c>
      <c r="L69" s="145">
        <f t="shared" si="31"/>
        <v>-315000</v>
      </c>
      <c r="M69" s="145">
        <f t="shared" si="31"/>
        <v>-315000</v>
      </c>
      <c r="N69" s="145">
        <f t="shared" si="31"/>
        <v>-315000</v>
      </c>
      <c r="O69" s="145">
        <f t="shared" si="31"/>
        <v>-315000</v>
      </c>
      <c r="P69" s="145">
        <f t="shared" si="31"/>
        <v>-315000</v>
      </c>
      <c r="Q69" s="115">
        <f t="shared" si="1"/>
        <v>-3780000</v>
      </c>
    </row>
    <row r="70" spans="1:17" x14ac:dyDescent="0.35">
      <c r="A70" s="109"/>
      <c r="B70" s="109"/>
      <c r="C70" s="109"/>
      <c r="D70" s="109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5">
        <f t="shared" si="1"/>
        <v>0</v>
      </c>
    </row>
    <row r="71" spans="1:17" x14ac:dyDescent="0.35">
      <c r="A71" s="109" t="s">
        <v>180</v>
      </c>
      <c r="B71" s="109">
        <v>2105</v>
      </c>
      <c r="C71" s="109" t="s">
        <v>147</v>
      </c>
      <c r="D71" s="109" t="s">
        <v>148</v>
      </c>
      <c r="E71" s="145">
        <f>'Presupuesto economico'!$D$88+'Presupuesto economico'!$D$93</f>
        <v>1292190.3910507923</v>
      </c>
      <c r="F71" s="145">
        <f>'Presupuesto economico'!$D$88+'Presupuesto economico'!$D$93</f>
        <v>1292190.3910507923</v>
      </c>
      <c r="G71" s="145">
        <f>'Presupuesto economico'!$D$88+'Presupuesto economico'!$D$93</f>
        <v>1292190.3910507923</v>
      </c>
      <c r="H71" s="145">
        <f>'Presupuesto economico'!$D$88+'Presupuesto economico'!$D$93</f>
        <v>1292190.3910507923</v>
      </c>
      <c r="I71" s="145">
        <f>'Presupuesto economico'!$D$88+'Presupuesto economico'!$D$93</f>
        <v>1292190.3910507923</v>
      </c>
      <c r="J71" s="145">
        <f>'Presupuesto economico'!$D$88+'Presupuesto economico'!$D$93</f>
        <v>1292190.3910507923</v>
      </c>
      <c r="K71" s="145">
        <f>'Presupuesto economico'!$D$88+'Presupuesto economico'!$D$93</f>
        <v>1292190.3910507923</v>
      </c>
      <c r="L71" s="145">
        <f>'Presupuesto economico'!$D$88+'Presupuesto economico'!$D$93</f>
        <v>1292190.3910507923</v>
      </c>
      <c r="M71" s="145">
        <f>'Presupuesto economico'!$D$88+'Presupuesto economico'!$D$93</f>
        <v>1292190.3910507923</v>
      </c>
      <c r="N71" s="145">
        <f>'Presupuesto economico'!$D$88+'Presupuesto economico'!$D$93</f>
        <v>1292190.3910507923</v>
      </c>
      <c r="O71" s="145">
        <f>'Presupuesto economico'!$D$88+'Presupuesto economico'!$D$93</f>
        <v>1292190.3910507923</v>
      </c>
      <c r="P71" s="145">
        <f>'Presupuesto economico'!$D$88+'Presupuesto economico'!$D$93</f>
        <v>1292190.3910507923</v>
      </c>
      <c r="Q71" s="115">
        <f t="shared" ref="Q71:Q107" si="32">SUM(E71:P71)</f>
        <v>15506284.692609511</v>
      </c>
    </row>
    <row r="72" spans="1:17" x14ac:dyDescent="0.35">
      <c r="A72" s="109" t="s">
        <v>180</v>
      </c>
      <c r="B72" s="111">
        <v>1110</v>
      </c>
      <c r="C72" s="109" t="s">
        <v>141</v>
      </c>
      <c r="D72" s="109" t="s">
        <v>142</v>
      </c>
      <c r="E72" s="145">
        <f>-E71</f>
        <v>-1292190.3910507923</v>
      </c>
      <c r="F72" s="145">
        <f t="shared" ref="F72:P72" si="33">-F71</f>
        <v>-1292190.3910507923</v>
      </c>
      <c r="G72" s="145">
        <f t="shared" si="33"/>
        <v>-1292190.3910507923</v>
      </c>
      <c r="H72" s="145">
        <f t="shared" si="33"/>
        <v>-1292190.3910507923</v>
      </c>
      <c r="I72" s="145">
        <f t="shared" si="33"/>
        <v>-1292190.3910507923</v>
      </c>
      <c r="J72" s="145">
        <f t="shared" si="33"/>
        <v>-1292190.3910507923</v>
      </c>
      <c r="K72" s="145">
        <f t="shared" si="33"/>
        <v>-1292190.3910507923</v>
      </c>
      <c r="L72" s="145">
        <f t="shared" si="33"/>
        <v>-1292190.3910507923</v>
      </c>
      <c r="M72" s="145">
        <f t="shared" si="33"/>
        <v>-1292190.3910507923</v>
      </c>
      <c r="N72" s="145">
        <f t="shared" si="33"/>
        <v>-1292190.3910507923</v>
      </c>
      <c r="O72" s="145">
        <f t="shared" si="33"/>
        <v>-1292190.3910507923</v>
      </c>
      <c r="P72" s="145">
        <f t="shared" si="33"/>
        <v>-1292190.3910507923</v>
      </c>
      <c r="Q72" s="115">
        <f t="shared" si="32"/>
        <v>-15506284.692609511</v>
      </c>
    </row>
    <row r="73" spans="1:17" x14ac:dyDescent="0.35">
      <c r="A73" s="109"/>
      <c r="B73" s="109"/>
      <c r="C73" s="109"/>
      <c r="D73" s="109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5">
        <f t="shared" si="32"/>
        <v>0</v>
      </c>
    </row>
    <row r="74" spans="1:17" x14ac:dyDescent="0.35">
      <c r="A74" s="109" t="s">
        <v>50</v>
      </c>
      <c r="B74" s="109">
        <v>5260</v>
      </c>
      <c r="C74" s="109" t="s">
        <v>181</v>
      </c>
      <c r="D74" s="109" t="s">
        <v>181</v>
      </c>
      <c r="E74" s="110"/>
      <c r="F74" s="110">
        <f>(E6+E7)/11</f>
        <v>227272.72727272726</v>
      </c>
      <c r="G74" s="110">
        <v>227272.72727272726</v>
      </c>
      <c r="H74" s="110">
        <v>227272.72727272726</v>
      </c>
      <c r="I74" s="110">
        <v>227272.72727272726</v>
      </c>
      <c r="J74" s="110">
        <v>227272.72727272726</v>
      </c>
      <c r="K74" s="110">
        <v>227272.72727272726</v>
      </c>
      <c r="L74" s="110">
        <v>227272.72727272726</v>
      </c>
      <c r="M74" s="110">
        <v>227272.72727272726</v>
      </c>
      <c r="N74" s="110">
        <v>227272.72727272726</v>
      </c>
      <c r="O74" s="110">
        <v>227272.72727272726</v>
      </c>
      <c r="P74" s="110">
        <v>227272.72727272726</v>
      </c>
      <c r="Q74" s="115">
        <f t="shared" si="32"/>
        <v>2499999.9999999995</v>
      </c>
    </row>
    <row r="75" spans="1:17" x14ac:dyDescent="0.35">
      <c r="A75" s="109" t="s">
        <v>50</v>
      </c>
      <c r="B75" s="109">
        <v>1592</v>
      </c>
      <c r="C75" s="109" t="s">
        <v>141</v>
      </c>
      <c r="D75" s="109" t="s">
        <v>32</v>
      </c>
      <c r="E75" s="110"/>
      <c r="F75" s="110">
        <f>-E6/11</f>
        <v>-90909.090909090912</v>
      </c>
      <c r="G75" s="110">
        <v>-90909.090909090912</v>
      </c>
      <c r="H75" s="110">
        <v>-90909.090909090912</v>
      </c>
      <c r="I75" s="110">
        <v>-90909.090909090912</v>
      </c>
      <c r="J75" s="110">
        <v>-90909.090909090912</v>
      </c>
      <c r="K75" s="110">
        <v>-90909.090909090912</v>
      </c>
      <c r="L75" s="110">
        <v>-90909.090909090912</v>
      </c>
      <c r="M75" s="110">
        <v>-90909.090909090912</v>
      </c>
      <c r="N75" s="110">
        <v>-90909.090909090912</v>
      </c>
      <c r="O75" s="110">
        <v>-90909.090909090912</v>
      </c>
      <c r="P75" s="110">
        <v>-90909.090909090912</v>
      </c>
      <c r="Q75" s="115">
        <f t="shared" si="32"/>
        <v>-1000000.0000000002</v>
      </c>
    </row>
    <row r="76" spans="1:17" x14ac:dyDescent="0.35">
      <c r="A76" s="109" t="s">
        <v>50</v>
      </c>
      <c r="B76" s="109">
        <v>1592</v>
      </c>
      <c r="C76" s="109" t="s">
        <v>141</v>
      </c>
      <c r="D76" s="109" t="s">
        <v>32</v>
      </c>
      <c r="E76" s="110"/>
      <c r="F76" s="110">
        <f>-E7/11</f>
        <v>-136363.63636363635</v>
      </c>
      <c r="G76" s="110">
        <v>-136363.63636363635</v>
      </c>
      <c r="H76" s="110">
        <v>-136363.63636363635</v>
      </c>
      <c r="I76" s="110">
        <v>-136363.63636363635</v>
      </c>
      <c r="J76" s="110">
        <v>-136363.63636363635</v>
      </c>
      <c r="K76" s="110">
        <v>-136363.63636363635</v>
      </c>
      <c r="L76" s="110">
        <v>-136363.63636363635</v>
      </c>
      <c r="M76" s="110">
        <v>-136363.63636363635</v>
      </c>
      <c r="N76" s="110">
        <v>-136363.63636363635</v>
      </c>
      <c r="O76" s="110">
        <v>-136363.63636363635</v>
      </c>
      <c r="P76" s="110">
        <v>-136363.63636363635</v>
      </c>
      <c r="Q76" s="115">
        <f t="shared" si="32"/>
        <v>-1499999.9999999995</v>
      </c>
    </row>
    <row r="77" spans="1:17" s="127" customFormat="1" x14ac:dyDescent="0.35">
      <c r="A77" s="124"/>
      <c r="B77" s="124"/>
      <c r="C77" s="124"/>
      <c r="D77" s="124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6">
        <f t="shared" si="32"/>
        <v>0</v>
      </c>
    </row>
    <row r="78" spans="1:17" x14ac:dyDescent="0.35">
      <c r="A78" s="109" t="s">
        <v>182</v>
      </c>
      <c r="B78" s="109">
        <v>5295</v>
      </c>
      <c r="C78" s="109" t="s">
        <v>168</v>
      </c>
      <c r="D78" s="109" t="s">
        <v>169</v>
      </c>
      <c r="E78" s="110"/>
      <c r="F78" s="110"/>
      <c r="G78" s="110"/>
      <c r="H78" s="110"/>
      <c r="I78" s="110"/>
      <c r="J78" s="110"/>
      <c r="K78" s="110"/>
      <c r="L78" s="123">
        <f>'Presupuesto economico'!E76</f>
        <v>10500000</v>
      </c>
      <c r="M78" s="110"/>
      <c r="N78" s="110"/>
      <c r="O78" s="110"/>
      <c r="P78" s="110"/>
      <c r="Q78" s="115">
        <f t="shared" si="32"/>
        <v>10500000</v>
      </c>
    </row>
    <row r="79" spans="1:17" x14ac:dyDescent="0.35">
      <c r="A79" s="109" t="s">
        <v>182</v>
      </c>
      <c r="B79" s="111">
        <v>1110</v>
      </c>
      <c r="C79" s="109" t="s">
        <v>141</v>
      </c>
      <c r="D79" s="109" t="s">
        <v>164</v>
      </c>
      <c r="E79" s="110"/>
      <c r="F79" s="110"/>
      <c r="G79" s="110"/>
      <c r="H79" s="110"/>
      <c r="I79" s="110"/>
      <c r="J79" s="110"/>
      <c r="K79" s="110"/>
      <c r="L79" s="145">
        <f>-L78</f>
        <v>-10500000</v>
      </c>
      <c r="M79" s="110"/>
      <c r="N79" s="110"/>
      <c r="O79" s="110"/>
      <c r="P79" s="110"/>
      <c r="Q79" s="115">
        <f t="shared" si="32"/>
        <v>-10500000</v>
      </c>
    </row>
    <row r="80" spans="1:17" x14ac:dyDescent="0.35">
      <c r="A80" s="109"/>
      <c r="B80" s="109"/>
      <c r="C80" s="109"/>
      <c r="D80" s="109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5">
        <f t="shared" si="32"/>
        <v>0</v>
      </c>
    </row>
    <row r="81" spans="1:17" x14ac:dyDescent="0.35">
      <c r="A81" s="109" t="s">
        <v>183</v>
      </c>
      <c r="B81" s="109">
        <v>6</v>
      </c>
      <c r="C81" s="109" t="s">
        <v>168</v>
      </c>
      <c r="D81" s="109" t="s">
        <v>169</v>
      </c>
      <c r="E81" s="110"/>
      <c r="F81" s="110"/>
      <c r="G81" s="145">
        <f>'Presupuesto economico'!$E$74</f>
        <v>1050000</v>
      </c>
      <c r="H81" s="110"/>
      <c r="I81" s="110"/>
      <c r="J81" s="110"/>
      <c r="K81" s="110"/>
      <c r="L81" s="110"/>
      <c r="M81" s="110"/>
      <c r="N81" s="145">
        <f>'Presupuesto economico'!E74</f>
        <v>1050000</v>
      </c>
      <c r="O81" s="110"/>
      <c r="P81" s="110"/>
      <c r="Q81" s="115">
        <f t="shared" si="32"/>
        <v>2100000</v>
      </c>
    </row>
    <row r="82" spans="1:17" x14ac:dyDescent="0.35">
      <c r="A82" s="109" t="s">
        <v>183</v>
      </c>
      <c r="B82" s="111">
        <v>1110</v>
      </c>
      <c r="C82" s="109" t="s">
        <v>141</v>
      </c>
      <c r="D82" s="109" t="s">
        <v>164</v>
      </c>
      <c r="E82" s="110"/>
      <c r="F82" s="110"/>
      <c r="G82" s="145">
        <f>-G81</f>
        <v>-1050000</v>
      </c>
      <c r="H82" s="110"/>
      <c r="I82" s="110"/>
      <c r="J82" s="110"/>
      <c r="K82" s="110"/>
      <c r="L82" s="110"/>
      <c r="M82" s="110"/>
      <c r="N82" s="145">
        <f>-N81</f>
        <v>-1050000</v>
      </c>
      <c r="O82" s="110"/>
      <c r="P82" s="110"/>
      <c r="Q82" s="115">
        <f t="shared" si="32"/>
        <v>-2100000</v>
      </c>
    </row>
    <row r="83" spans="1:17" x14ac:dyDescent="0.35">
      <c r="A83" s="109"/>
      <c r="B83" s="109"/>
      <c r="C83" s="109"/>
      <c r="D83" s="109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5">
        <f t="shared" si="32"/>
        <v>0</v>
      </c>
    </row>
    <row r="84" spans="1:17" x14ac:dyDescent="0.35">
      <c r="A84" s="109" t="s">
        <v>184</v>
      </c>
      <c r="B84" s="111">
        <v>1110</v>
      </c>
      <c r="C84" s="109" t="s">
        <v>141</v>
      </c>
      <c r="D84" s="109" t="s">
        <v>164</v>
      </c>
      <c r="E84" s="110">
        <f t="shared" ref="E84:F84" si="34">-SUM(E85:E89)</f>
        <v>27349914.122367509</v>
      </c>
      <c r="F84" s="110">
        <f t="shared" si="34"/>
        <v>28389210.859017473</v>
      </c>
      <c r="G84" s="110">
        <f>-SUM(G85:G89)</f>
        <v>37802720.871660143</v>
      </c>
      <c r="H84" s="110">
        <f t="shared" ref="H84:I84" si="35">-SUM(H85:H89)</f>
        <v>30587784.90478323</v>
      </c>
      <c r="I84" s="110">
        <f t="shared" si="35"/>
        <v>31750120.731164999</v>
      </c>
      <c r="J84" s="110">
        <f t="shared" ref="J84:P84" si="36">-SUM(J85:J89)</f>
        <v>32956625.318949267</v>
      </c>
      <c r="K84" s="110">
        <f t="shared" si="36"/>
        <v>34208977.081069343</v>
      </c>
      <c r="L84" s="110">
        <f t="shared" si="36"/>
        <v>35508918.210149974</v>
      </c>
      <c r="M84" s="110">
        <f t="shared" si="36"/>
        <v>36858257.102135666</v>
      </c>
      <c r="N84" s="110">
        <f t="shared" si="36"/>
        <v>46593590.872016832</v>
      </c>
      <c r="O84" s="110">
        <f t="shared" si="36"/>
        <v>39712707.965153478</v>
      </c>
      <c r="P84" s="110">
        <f t="shared" si="36"/>
        <v>41221790.867829308</v>
      </c>
      <c r="Q84" s="115">
        <f t="shared" si="32"/>
        <v>422940618.90629727</v>
      </c>
    </row>
    <row r="85" spans="1:17" x14ac:dyDescent="0.35">
      <c r="A85" s="109" t="s">
        <v>184</v>
      </c>
      <c r="B85" s="109">
        <v>4105</v>
      </c>
      <c r="C85" s="109" t="s">
        <v>185</v>
      </c>
      <c r="D85" s="109" t="s">
        <v>185</v>
      </c>
      <c r="E85" s="123">
        <f>-'Presupuesto economico'!D24</f>
        <v>-26251549.299669344</v>
      </c>
      <c r="F85" s="123">
        <f>-'Presupuesto economico'!D25</f>
        <v>-27249108.173056781</v>
      </c>
      <c r="G85" s="123">
        <f>-'Presupuesto economico'!D26-'Presupuesto economico'!D37</f>
        <v>-36284574.283632942</v>
      </c>
      <c r="H85" s="123">
        <f>-'Presupuesto economico'!D27</f>
        <v>-29359388.106410995</v>
      </c>
      <c r="I85" s="123">
        <f>-'Presupuesto economico'!D28</f>
        <v>-30475044.854454614</v>
      </c>
      <c r="J85" s="123">
        <f>-'Presupuesto economico'!D29</f>
        <v>-31633096.558923889</v>
      </c>
      <c r="K85" s="123">
        <f>-'Presupuesto economico'!D30</f>
        <v>-32835154.228162996</v>
      </c>
      <c r="L85" s="123">
        <f>-'Presupuesto economico'!D31</f>
        <v>-34082890.088833191</v>
      </c>
      <c r="M85" s="123">
        <f>-'Presupuesto economico'!D32</f>
        <v>-35378039.912208855</v>
      </c>
      <c r="N85" s="123">
        <f>-'Presupuesto economico'!D33-'Presupuesto economico'!D37</f>
        <v>-44722405.428872794</v>
      </c>
      <c r="O85" s="123">
        <f>-'Presupuesto economico'!D34</f>
        <v>-38117856.835169964</v>
      </c>
      <c r="P85" s="123">
        <f>-'Presupuesto economico'!D35</f>
        <v>-39566335.394906424</v>
      </c>
      <c r="Q85" s="115">
        <f t="shared" si="32"/>
        <v>-405955443.16430277</v>
      </c>
    </row>
    <row r="86" spans="1:17" x14ac:dyDescent="0.35">
      <c r="A86" s="109" t="s">
        <v>184</v>
      </c>
      <c r="B86" s="109">
        <v>2405</v>
      </c>
      <c r="C86" s="109" t="s">
        <v>172</v>
      </c>
      <c r="D86" s="109" t="s">
        <v>173</v>
      </c>
      <c r="E86" s="110">
        <f t="shared" ref="E86:F86" si="37">+E85*19%</f>
        <v>-4987794.3669371754</v>
      </c>
      <c r="F86" s="110">
        <f t="shared" si="37"/>
        <v>-5177330.5528807882</v>
      </c>
      <c r="G86" s="110">
        <f>+G85*19%</f>
        <v>-6894069.1138902586</v>
      </c>
      <c r="H86" s="110">
        <f t="shared" ref="H86:I86" si="38">+H85*19%</f>
        <v>-5578283.740218089</v>
      </c>
      <c r="I86" s="110">
        <f t="shared" si="38"/>
        <v>-5790258.5223463764</v>
      </c>
      <c r="J86" s="110">
        <f t="shared" ref="J86:P86" si="39">+J85*19%</f>
        <v>-6010288.3461955385</v>
      </c>
      <c r="K86" s="110">
        <f t="shared" si="39"/>
        <v>-6238679.3033509692</v>
      </c>
      <c r="L86" s="110">
        <f t="shared" si="39"/>
        <v>-6475749.1168783065</v>
      </c>
      <c r="M86" s="110">
        <f t="shared" si="39"/>
        <v>-6721827.5833196826</v>
      </c>
      <c r="N86" s="110">
        <f t="shared" si="39"/>
        <v>-8497257.0314858314</v>
      </c>
      <c r="O86" s="110">
        <f t="shared" si="39"/>
        <v>-7242392.7986822929</v>
      </c>
      <c r="P86" s="110">
        <f t="shared" si="39"/>
        <v>-7517603.7250322206</v>
      </c>
      <c r="Q86" s="115">
        <f t="shared" si="32"/>
        <v>-77131534.201217547</v>
      </c>
    </row>
    <row r="87" spans="1:17" x14ac:dyDescent="0.35">
      <c r="A87" s="109"/>
      <c r="B87" s="109">
        <v>13</v>
      </c>
      <c r="C87" s="109" t="s">
        <v>141</v>
      </c>
      <c r="D87" s="109" t="s">
        <v>186</v>
      </c>
      <c r="E87" s="110">
        <f t="shared" ref="E87:F87" si="40">-E86*15%</f>
        <v>748169.15504057624</v>
      </c>
      <c r="F87" s="110">
        <f t="shared" si="40"/>
        <v>776599.58293211821</v>
      </c>
      <c r="G87" s="110">
        <f>-G86*15%</f>
        <v>1034110.3670835388</v>
      </c>
      <c r="H87" s="110">
        <f t="shared" ref="H87:I87" si="41">-H86*15%</f>
        <v>836742.56103271327</v>
      </c>
      <c r="I87" s="110">
        <f t="shared" si="41"/>
        <v>868538.7783519564</v>
      </c>
      <c r="J87" s="110">
        <f t="shared" ref="J87:P87" si="42">-J86*15%</f>
        <v>901543.25192933076</v>
      </c>
      <c r="K87" s="110">
        <f t="shared" si="42"/>
        <v>935801.89550264541</v>
      </c>
      <c r="L87" s="110">
        <f t="shared" si="42"/>
        <v>971362.36753174593</v>
      </c>
      <c r="M87" s="110">
        <f t="shared" si="42"/>
        <v>1008274.1374979523</v>
      </c>
      <c r="N87" s="110">
        <f t="shared" si="42"/>
        <v>1274588.5547228747</v>
      </c>
      <c r="O87" s="110">
        <f t="shared" si="42"/>
        <v>1086358.9198023439</v>
      </c>
      <c r="P87" s="110">
        <f t="shared" si="42"/>
        <v>1127640.5587548329</v>
      </c>
      <c r="Q87" s="115">
        <f t="shared" si="32"/>
        <v>11569730.130182629</v>
      </c>
    </row>
    <row r="88" spans="1:17" x14ac:dyDescent="0.35">
      <c r="A88" s="109" t="s">
        <v>184</v>
      </c>
      <c r="B88" s="109">
        <v>13</v>
      </c>
      <c r="C88" s="109" t="s">
        <v>141</v>
      </c>
      <c r="D88" s="109" t="s">
        <v>187</v>
      </c>
      <c r="E88" s="110">
        <f t="shared" ref="E88:F88" si="43">-E85*0.966%</f>
        <v>253589.96623480588</v>
      </c>
      <c r="F88" s="110">
        <f t="shared" si="43"/>
        <v>263226.38495172851</v>
      </c>
      <c r="G88" s="110">
        <f>-G85*0.966%</f>
        <v>350508.98757989419</v>
      </c>
      <c r="H88" s="110">
        <f t="shared" ref="H88:I88" si="44">-H85*0.966%</f>
        <v>283611.68910793023</v>
      </c>
      <c r="I88" s="110">
        <f t="shared" si="44"/>
        <v>294388.93329403159</v>
      </c>
      <c r="J88" s="110">
        <f t="shared" ref="J88:P88" si="45">-J85*0.966%</f>
        <v>305575.71275920479</v>
      </c>
      <c r="K88" s="110">
        <f t="shared" si="45"/>
        <v>317187.58984405454</v>
      </c>
      <c r="L88" s="110">
        <f t="shared" si="45"/>
        <v>329240.71825812862</v>
      </c>
      <c r="M88" s="110">
        <f t="shared" si="45"/>
        <v>341751.86555193755</v>
      </c>
      <c r="N88" s="110">
        <f t="shared" si="45"/>
        <v>432018.43644291122</v>
      </c>
      <c r="O88" s="110">
        <f t="shared" si="45"/>
        <v>368218.49702774186</v>
      </c>
      <c r="P88" s="110">
        <f t="shared" si="45"/>
        <v>382210.79991479608</v>
      </c>
      <c r="Q88" s="115">
        <f t="shared" si="32"/>
        <v>3921529.5809671646</v>
      </c>
    </row>
    <row r="89" spans="1:17" x14ac:dyDescent="0.35">
      <c r="A89" s="109" t="s">
        <v>184</v>
      </c>
      <c r="B89" s="109">
        <v>13</v>
      </c>
      <c r="C89" s="109" t="s">
        <v>141</v>
      </c>
      <c r="D89" s="109" t="s">
        <v>188</v>
      </c>
      <c r="E89" s="110">
        <f t="shared" ref="E89:F89" si="46">-E85*11%</f>
        <v>2887670.4229636281</v>
      </c>
      <c r="F89" s="110">
        <f t="shared" si="46"/>
        <v>2997401.8990362459</v>
      </c>
      <c r="G89" s="110">
        <f>-G85*11%</f>
        <v>3991303.1711996235</v>
      </c>
      <c r="H89" s="110">
        <f t="shared" ref="H89:I89" si="47">-H85*11%</f>
        <v>3229532.6917052097</v>
      </c>
      <c r="I89" s="110">
        <f t="shared" si="47"/>
        <v>3352254.9339900077</v>
      </c>
      <c r="J89" s="110">
        <f t="shared" ref="J89:P89" si="48">-J85*11%</f>
        <v>3479640.6214816277</v>
      </c>
      <c r="K89" s="110">
        <f t="shared" si="48"/>
        <v>3611866.9650979298</v>
      </c>
      <c r="L89" s="110">
        <f t="shared" si="48"/>
        <v>3749117.909771651</v>
      </c>
      <c r="M89" s="110">
        <f t="shared" si="48"/>
        <v>3891584.3903429741</v>
      </c>
      <c r="N89" s="110">
        <f t="shared" si="48"/>
        <v>4919464.597176007</v>
      </c>
      <c r="O89" s="110">
        <f t="shared" si="48"/>
        <v>4192964.251868696</v>
      </c>
      <c r="P89" s="110">
        <f t="shared" si="48"/>
        <v>4352296.8934397064</v>
      </c>
      <c r="Q89" s="115">
        <f>SUM(E89:P89)</f>
        <v>44655098.74807331</v>
      </c>
    </row>
    <row r="90" spans="1:17" x14ac:dyDescent="0.35">
      <c r="A90" s="109"/>
      <c r="B90" s="109"/>
      <c r="C90" s="109"/>
      <c r="D90" s="109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5">
        <f t="shared" si="32"/>
        <v>0</v>
      </c>
    </row>
    <row r="91" spans="1:17" x14ac:dyDescent="0.35">
      <c r="A91" s="109" t="s">
        <v>189</v>
      </c>
      <c r="B91" s="109">
        <v>2405</v>
      </c>
      <c r="C91" s="109" t="s">
        <v>172</v>
      </c>
      <c r="D91" s="109" t="s">
        <v>173</v>
      </c>
      <c r="E91" s="110">
        <f>-E92</f>
        <v>9434480.9751764014</v>
      </c>
      <c r="F91" s="110"/>
      <c r="G91" s="110">
        <f>-(+E86+F86)</f>
        <v>10165124.919817964</v>
      </c>
      <c r="H91" s="110"/>
      <c r="I91" s="110">
        <f>-(+G86+H86)</f>
        <v>12472352.854108348</v>
      </c>
      <c r="J91" s="110"/>
      <c r="K91" s="110">
        <f>-(+I86+J86)</f>
        <v>11800546.868541915</v>
      </c>
      <c r="L91" s="110"/>
      <c r="M91" s="110">
        <f>-(+K86+L86)</f>
        <v>12714428.420229275</v>
      </c>
      <c r="N91" s="110"/>
      <c r="O91" s="110">
        <f>-(+M86+N86)</f>
        <v>15219084.614805514</v>
      </c>
      <c r="P91" s="110"/>
      <c r="Q91" s="115">
        <f t="shared" si="32"/>
        <v>71806018.652679414</v>
      </c>
    </row>
    <row r="92" spans="1:17" x14ac:dyDescent="0.35">
      <c r="A92" s="109" t="s">
        <v>189</v>
      </c>
      <c r="B92" s="111">
        <v>1110</v>
      </c>
      <c r="C92" s="109" t="s">
        <v>141</v>
      </c>
      <c r="D92" s="109" t="s">
        <v>190</v>
      </c>
      <c r="E92" s="110">
        <f>+'Contabilización Año 1'!O89+'Contabilización Año 1'!P89</f>
        <v>-9434480.9751764014</v>
      </c>
      <c r="F92" s="110"/>
      <c r="G92" s="110">
        <f>-G91</f>
        <v>-10165124.919817964</v>
      </c>
      <c r="H92" s="110"/>
      <c r="I92" s="110">
        <f>-I91</f>
        <v>-12472352.854108348</v>
      </c>
      <c r="J92" s="110"/>
      <c r="K92" s="110">
        <f>-K91</f>
        <v>-11800546.868541915</v>
      </c>
      <c r="L92" s="110"/>
      <c r="M92" s="110">
        <f>-M91</f>
        <v>-12714428.420229275</v>
      </c>
      <c r="N92" s="110"/>
      <c r="O92" s="110">
        <f>-O91</f>
        <v>-15219084.614805514</v>
      </c>
      <c r="P92" s="110"/>
      <c r="Q92" s="115">
        <f t="shared" si="32"/>
        <v>-71806018.652679414</v>
      </c>
    </row>
    <row r="93" spans="1:17" x14ac:dyDescent="0.35">
      <c r="A93" s="109"/>
      <c r="B93" s="109"/>
      <c r="C93" s="109"/>
      <c r="D93" s="109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5">
        <f t="shared" si="32"/>
        <v>0</v>
      </c>
    </row>
    <row r="94" spans="1:17" x14ac:dyDescent="0.35">
      <c r="A94" s="109" t="s">
        <v>212</v>
      </c>
      <c r="B94" s="109">
        <v>5105</v>
      </c>
      <c r="C94" s="109" t="s">
        <v>168</v>
      </c>
      <c r="D94" s="109"/>
      <c r="E94" s="110"/>
      <c r="F94" s="110"/>
      <c r="G94" s="110"/>
      <c r="H94" s="110"/>
      <c r="I94" s="110"/>
      <c r="J94" s="110">
        <f>'Presupuesto economico'!E78</f>
        <v>3752721.8280028328</v>
      </c>
      <c r="K94" s="110"/>
      <c r="L94" s="110"/>
      <c r="M94" s="110"/>
      <c r="N94" s="110"/>
      <c r="O94" s="110"/>
      <c r="P94" s="110"/>
      <c r="Q94" s="115">
        <f t="shared" si="32"/>
        <v>3752721.8280028328</v>
      </c>
    </row>
    <row r="95" spans="1:17" x14ac:dyDescent="0.35">
      <c r="A95" s="109" t="s">
        <v>212</v>
      </c>
      <c r="B95" s="111">
        <v>1110</v>
      </c>
      <c r="C95" s="109" t="s">
        <v>141</v>
      </c>
      <c r="D95" s="109" t="s">
        <v>190</v>
      </c>
      <c r="E95" s="110"/>
      <c r="F95" s="110"/>
      <c r="G95" s="110"/>
      <c r="H95" s="110"/>
      <c r="I95" s="110"/>
      <c r="J95" s="110">
        <f>-J94</f>
        <v>-3752721.8280028328</v>
      </c>
      <c r="K95" s="110"/>
      <c r="L95" s="110"/>
      <c r="M95" s="110"/>
      <c r="N95" s="110"/>
      <c r="O95" s="110"/>
      <c r="P95" s="110"/>
      <c r="Q95" s="115">
        <f t="shared" si="32"/>
        <v>-3752721.8280028328</v>
      </c>
    </row>
    <row r="96" spans="1:17" x14ac:dyDescent="0.35">
      <c r="A96" s="109"/>
      <c r="B96" s="109"/>
      <c r="C96" s="109"/>
      <c r="D96" s="109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5">
        <f t="shared" si="32"/>
        <v>0</v>
      </c>
    </row>
    <row r="97" spans="1:17" x14ac:dyDescent="0.35">
      <c r="A97" s="109" t="s">
        <v>245</v>
      </c>
      <c r="B97" s="109">
        <v>5105</v>
      </c>
      <c r="C97" s="109" t="s">
        <v>168</v>
      </c>
      <c r="D97" s="109"/>
      <c r="E97" s="110"/>
      <c r="F97" s="110">
        <f>'Presupuesto economico'!E77</f>
        <v>3752721.8280028328</v>
      </c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5">
        <f t="shared" ref="Q97:Q99" si="49">SUM(E97:P97)</f>
        <v>3752721.8280028328</v>
      </c>
    </row>
    <row r="98" spans="1:17" x14ac:dyDescent="0.35">
      <c r="A98" s="109" t="s">
        <v>245</v>
      </c>
      <c r="B98" s="111">
        <v>1110</v>
      </c>
      <c r="C98" s="109" t="s">
        <v>141</v>
      </c>
      <c r="D98" s="109" t="s">
        <v>190</v>
      </c>
      <c r="E98" s="110"/>
      <c r="F98" s="110">
        <f>-F97</f>
        <v>-3752721.8280028328</v>
      </c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5">
        <f t="shared" si="49"/>
        <v>-3752721.8280028328</v>
      </c>
    </row>
    <row r="99" spans="1:17" x14ac:dyDescent="0.35">
      <c r="A99" s="109"/>
      <c r="B99" s="109"/>
      <c r="C99" s="109"/>
      <c r="D99" s="109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5">
        <f t="shared" si="49"/>
        <v>0</v>
      </c>
    </row>
    <row r="100" spans="1:17" x14ac:dyDescent="0.35">
      <c r="A100" s="109" t="s">
        <v>213</v>
      </c>
      <c r="B100" s="109">
        <v>5105</v>
      </c>
      <c r="C100" s="109" t="s">
        <v>150</v>
      </c>
      <c r="D100" s="109" t="s">
        <v>214</v>
      </c>
      <c r="E100" s="110"/>
      <c r="F100" s="110"/>
      <c r="G100" s="110"/>
      <c r="H100" s="110"/>
      <c r="I100" s="110"/>
      <c r="J100" s="110"/>
      <c r="K100" s="110"/>
      <c r="L100" s="123">
        <f>'Presupuesto economico'!D43</f>
        <v>4000000</v>
      </c>
      <c r="M100" s="110"/>
      <c r="N100" s="110"/>
      <c r="O100" s="110"/>
      <c r="P100" s="110"/>
      <c r="Q100" s="115">
        <f t="shared" si="32"/>
        <v>4000000</v>
      </c>
    </row>
    <row r="101" spans="1:17" x14ac:dyDescent="0.35">
      <c r="A101" s="109" t="s">
        <v>213</v>
      </c>
      <c r="B101" s="111">
        <v>1110</v>
      </c>
      <c r="C101" s="109" t="s">
        <v>141</v>
      </c>
      <c r="D101" s="109" t="s">
        <v>190</v>
      </c>
      <c r="E101" s="110"/>
      <c r="F101" s="110"/>
      <c r="G101" s="110"/>
      <c r="H101" s="110"/>
      <c r="I101" s="110"/>
      <c r="J101" s="110"/>
      <c r="K101" s="110"/>
      <c r="L101" s="110">
        <f>-L100</f>
        <v>-4000000</v>
      </c>
      <c r="M101" s="110"/>
      <c r="N101" s="110"/>
      <c r="O101" s="110"/>
      <c r="P101" s="110"/>
      <c r="Q101" s="115">
        <f t="shared" si="32"/>
        <v>-4000000</v>
      </c>
    </row>
    <row r="102" spans="1:17" x14ac:dyDescent="0.35">
      <c r="A102" s="109"/>
      <c r="B102" s="109"/>
      <c r="C102" s="109"/>
      <c r="D102" s="109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5">
        <f t="shared" si="32"/>
        <v>0</v>
      </c>
    </row>
    <row r="103" spans="1:17" x14ac:dyDescent="0.35">
      <c r="A103" s="109" t="s">
        <v>191</v>
      </c>
      <c r="B103" s="109">
        <v>5305</v>
      </c>
      <c r="C103" s="109" t="s">
        <v>192</v>
      </c>
      <c r="D103" s="109" t="s">
        <v>193</v>
      </c>
      <c r="E103" s="110">
        <f>-E85*4/1000</f>
        <v>105006.19719867737</v>
      </c>
      <c r="F103" s="110">
        <f>-F85*4/1000</f>
        <v>108996.43269222713</v>
      </c>
      <c r="G103" s="110">
        <f t="shared" ref="G103:P103" si="50">-G85*4/1000</f>
        <v>145138.29713453178</v>
      </c>
      <c r="H103" s="110">
        <f t="shared" si="50"/>
        <v>117437.55242564398</v>
      </c>
      <c r="I103" s="110">
        <f t="shared" si="50"/>
        <v>121900.17941781845</v>
      </c>
      <c r="J103" s="110">
        <f t="shared" si="50"/>
        <v>126532.38623569555</v>
      </c>
      <c r="K103" s="110">
        <f t="shared" si="50"/>
        <v>131340.61691265198</v>
      </c>
      <c r="L103" s="110">
        <f t="shared" si="50"/>
        <v>136331.56035533277</v>
      </c>
      <c r="M103" s="110">
        <f t="shared" si="50"/>
        <v>141512.15964883543</v>
      </c>
      <c r="N103" s="110">
        <f t="shared" si="50"/>
        <v>178889.62171549117</v>
      </c>
      <c r="O103" s="110">
        <f t="shared" si="50"/>
        <v>152471.42734067986</v>
      </c>
      <c r="P103" s="110">
        <f t="shared" si="50"/>
        <v>158265.3415796257</v>
      </c>
      <c r="Q103" s="115"/>
    </row>
    <row r="104" spans="1:17" x14ac:dyDescent="0.35">
      <c r="A104" s="109" t="s">
        <v>191</v>
      </c>
      <c r="B104" s="111">
        <v>1110</v>
      </c>
      <c r="C104" s="109" t="s">
        <v>141</v>
      </c>
      <c r="D104" s="109" t="s">
        <v>190</v>
      </c>
      <c r="E104" s="110">
        <f>-E103</f>
        <v>-105006.19719867737</v>
      </c>
      <c r="F104" s="110">
        <f t="shared" ref="F104:P104" si="51">-F103</f>
        <v>-108996.43269222713</v>
      </c>
      <c r="G104" s="110">
        <f t="shared" si="51"/>
        <v>-145138.29713453178</v>
      </c>
      <c r="H104" s="110">
        <f t="shared" si="51"/>
        <v>-117437.55242564398</v>
      </c>
      <c r="I104" s="110">
        <f t="shared" si="51"/>
        <v>-121900.17941781845</v>
      </c>
      <c r="J104" s="110">
        <f t="shared" si="51"/>
        <v>-126532.38623569555</v>
      </c>
      <c r="K104" s="110">
        <f t="shared" si="51"/>
        <v>-131340.61691265198</v>
      </c>
      <c r="L104" s="110">
        <f t="shared" si="51"/>
        <v>-136331.56035533277</v>
      </c>
      <c r="M104" s="110">
        <f t="shared" si="51"/>
        <v>-141512.15964883543</v>
      </c>
      <c r="N104" s="110">
        <f t="shared" si="51"/>
        <v>-178889.62171549117</v>
      </c>
      <c r="O104" s="110">
        <f t="shared" si="51"/>
        <v>-152471.42734067986</v>
      </c>
      <c r="P104" s="110">
        <f t="shared" si="51"/>
        <v>-158265.3415796257</v>
      </c>
      <c r="Q104" s="115"/>
    </row>
    <row r="105" spans="1:17" x14ac:dyDescent="0.35">
      <c r="A105" s="109"/>
      <c r="B105" s="109"/>
      <c r="C105" s="109"/>
      <c r="D105" s="109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5">
        <f t="shared" si="32"/>
        <v>0</v>
      </c>
    </row>
    <row r="106" spans="1:17" x14ac:dyDescent="0.35">
      <c r="A106" s="120" t="s">
        <v>210</v>
      </c>
      <c r="B106" s="120">
        <v>5405</v>
      </c>
      <c r="C106" t="s">
        <v>168</v>
      </c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>
        <f>+'Estado de resultados'!F19</f>
        <v>11376298.760738065</v>
      </c>
      <c r="Q106" s="115">
        <f t="shared" si="32"/>
        <v>11376298.760738065</v>
      </c>
    </row>
    <row r="107" spans="1:17" x14ac:dyDescent="0.35">
      <c r="A107" s="120" t="s">
        <v>210</v>
      </c>
      <c r="B107" s="120">
        <v>13</v>
      </c>
      <c r="C107" t="s">
        <v>141</v>
      </c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>
        <f>-P106</f>
        <v>-11376298.760738065</v>
      </c>
      <c r="Q107" s="115">
        <f t="shared" si="32"/>
        <v>-11376298.760738065</v>
      </c>
    </row>
    <row r="110" spans="1:17" s="113" customFormat="1" x14ac:dyDescent="0.35">
      <c r="A110" s="112" t="s">
        <v>194</v>
      </c>
      <c r="E110" s="104">
        <f t="shared" ref="E110:P110" si="52">+E4+E8+E10+E27+E46+E53+E60+E63+E66+E69+E72+E79+E82+E84+E92+E93+E40+E104+E43+E95+E101</f>
        <v>-21025724.066058364</v>
      </c>
      <c r="F110" s="104">
        <f t="shared" si="52"/>
        <v>2869174.0352744525</v>
      </c>
      <c r="G110" s="104">
        <f t="shared" si="52"/>
        <v>1031417.2636568545</v>
      </c>
      <c r="H110" s="104">
        <f t="shared" si="52"/>
        <v>5059306.9613067927</v>
      </c>
      <c r="I110" s="104">
        <f t="shared" si="52"/>
        <v>-6255172.6934119612</v>
      </c>
      <c r="J110" s="104">
        <f t="shared" si="52"/>
        <v>3666330.7136599459</v>
      </c>
      <c r="K110" s="104">
        <f t="shared" si="52"/>
        <v>-3133950.7954360172</v>
      </c>
      <c r="L110" s="104">
        <f t="shared" si="52"/>
        <v>-4538453.7412561523</v>
      </c>
      <c r="M110" s="104">
        <f t="shared" si="52"/>
        <v>-1408723.8687932377</v>
      </c>
      <c r="N110" s="104">
        <f t="shared" si="52"/>
        <v>19953660.859250549</v>
      </c>
      <c r="O110" s="104">
        <f t="shared" si="52"/>
        <v>-1069888.4680435089</v>
      </c>
      <c r="P110" s="104">
        <f t="shared" si="52"/>
        <v>-29547681.764801107</v>
      </c>
      <c r="Q110" s="104">
        <f>SUBTOTAL(9,E110:P110)</f>
        <v>-34399705.56465175</v>
      </c>
    </row>
    <row r="111" spans="1:17" x14ac:dyDescent="0.35">
      <c r="Q111" s="128">
        <f>+Q110+'Flujo de caja año 1'!O36</f>
        <v>11932793.093355231</v>
      </c>
    </row>
    <row r="113" spans="1:18" x14ac:dyDescent="0.35">
      <c r="Q113" s="104"/>
    </row>
    <row r="114" spans="1:18" x14ac:dyDescent="0.35">
      <c r="A114" s="113" t="s">
        <v>47</v>
      </c>
      <c r="D114" t="s">
        <v>185</v>
      </c>
      <c r="E114" s="114">
        <f t="shared" ref="E114:P118" si="53">SUMIF($C:$C,$D114,E:E)</f>
        <v>-26251549.299669344</v>
      </c>
      <c r="F114" s="114">
        <f t="shared" si="53"/>
        <v>-27249108.173056781</v>
      </c>
      <c r="G114" s="114">
        <f t="shared" si="53"/>
        <v>-36284574.283632942</v>
      </c>
      <c r="H114" s="114">
        <f t="shared" si="53"/>
        <v>-29359388.106410995</v>
      </c>
      <c r="I114" s="114">
        <f t="shared" si="53"/>
        <v>-30475044.854454614</v>
      </c>
      <c r="J114" s="114">
        <f t="shared" si="53"/>
        <v>-31633096.558923889</v>
      </c>
      <c r="K114" s="114">
        <f t="shared" si="53"/>
        <v>-32835154.228162996</v>
      </c>
      <c r="L114" s="114">
        <f t="shared" si="53"/>
        <v>-34082890.088833191</v>
      </c>
      <c r="M114" s="114">
        <f t="shared" si="53"/>
        <v>-35378039.912208855</v>
      </c>
      <c r="N114" s="114">
        <f t="shared" si="53"/>
        <v>-44722405.428872794</v>
      </c>
      <c r="O114" s="114">
        <f t="shared" si="53"/>
        <v>-38117856.835169964</v>
      </c>
      <c r="P114" s="114">
        <f t="shared" si="53"/>
        <v>-39566335.394906424</v>
      </c>
      <c r="Q114" s="129">
        <f>SUM(E114:P114)</f>
        <v>-405955443.16430277</v>
      </c>
    </row>
    <row r="115" spans="1:18" x14ac:dyDescent="0.35">
      <c r="D115" t="s">
        <v>150</v>
      </c>
      <c r="E115" s="114">
        <f t="shared" si="53"/>
        <v>26520530.574999999</v>
      </c>
      <c r="F115" s="114">
        <f t="shared" si="53"/>
        <v>26520530.574999999</v>
      </c>
      <c r="G115" s="114">
        <f t="shared" si="53"/>
        <v>26520530.574999999</v>
      </c>
      <c r="H115" s="114">
        <f t="shared" si="53"/>
        <v>26520530.574999999</v>
      </c>
      <c r="I115" s="114">
        <f t="shared" si="53"/>
        <v>26520530.574999999</v>
      </c>
      <c r="J115" s="114">
        <f t="shared" si="53"/>
        <v>26520530.574999999</v>
      </c>
      <c r="K115" s="114">
        <f t="shared" si="53"/>
        <v>26520530.574999999</v>
      </c>
      <c r="L115" s="114">
        <f t="shared" si="53"/>
        <v>30520530.574999999</v>
      </c>
      <c r="M115" s="114">
        <f t="shared" si="53"/>
        <v>26520530.574999999</v>
      </c>
      <c r="N115" s="114">
        <f t="shared" si="53"/>
        <v>26520530.574999999</v>
      </c>
      <c r="O115" s="114">
        <f t="shared" si="53"/>
        <v>26520530.574999999</v>
      </c>
      <c r="P115" s="114">
        <f t="shared" si="53"/>
        <v>26520530.574999999</v>
      </c>
      <c r="Q115" s="129">
        <f t="shared" ref="Q115:Q118" si="54">SUM(E115:P115)</f>
        <v>322246366.89999992</v>
      </c>
    </row>
    <row r="116" spans="1:18" x14ac:dyDescent="0.35">
      <c r="D116" t="s">
        <v>168</v>
      </c>
      <c r="E116" s="114">
        <f t="shared" si="53"/>
        <v>6802500</v>
      </c>
      <c r="F116" s="114">
        <f t="shared" si="53"/>
        <v>5555221.8280028328</v>
      </c>
      <c r="G116" s="114">
        <f t="shared" si="53"/>
        <v>2852500</v>
      </c>
      <c r="H116" s="114">
        <f t="shared" si="53"/>
        <v>1802500</v>
      </c>
      <c r="I116" s="114">
        <f t="shared" si="53"/>
        <v>1802500</v>
      </c>
      <c r="J116" s="114">
        <f t="shared" si="53"/>
        <v>5555221.8280028328</v>
      </c>
      <c r="K116" s="114">
        <f t="shared" si="53"/>
        <v>1802500</v>
      </c>
      <c r="L116" s="114">
        <f t="shared" si="53"/>
        <v>12302500</v>
      </c>
      <c r="M116" s="114">
        <f t="shared" si="53"/>
        <v>1802500</v>
      </c>
      <c r="N116" s="114">
        <f t="shared" si="53"/>
        <v>2852500</v>
      </c>
      <c r="O116" s="114">
        <f t="shared" si="53"/>
        <v>1802500</v>
      </c>
      <c r="P116" s="114">
        <f t="shared" si="53"/>
        <v>13178798.760738065</v>
      </c>
      <c r="Q116" s="115">
        <f t="shared" si="54"/>
        <v>58111742.416743733</v>
      </c>
    </row>
    <row r="117" spans="1:18" x14ac:dyDescent="0.35">
      <c r="D117" t="s">
        <v>181</v>
      </c>
      <c r="E117" s="114">
        <f t="shared" si="53"/>
        <v>0</v>
      </c>
      <c r="F117" s="114">
        <f t="shared" si="53"/>
        <v>227272.72727272726</v>
      </c>
      <c r="G117" s="114">
        <f t="shared" si="53"/>
        <v>227272.72727272726</v>
      </c>
      <c r="H117" s="114">
        <f t="shared" si="53"/>
        <v>227272.72727272726</v>
      </c>
      <c r="I117" s="114">
        <f t="shared" si="53"/>
        <v>227272.72727272726</v>
      </c>
      <c r="J117" s="114">
        <f t="shared" si="53"/>
        <v>227272.72727272726</v>
      </c>
      <c r="K117" s="114">
        <f t="shared" si="53"/>
        <v>227272.72727272726</v>
      </c>
      <c r="L117" s="114">
        <f t="shared" si="53"/>
        <v>227272.72727272726</v>
      </c>
      <c r="M117" s="114">
        <f t="shared" si="53"/>
        <v>227272.72727272726</v>
      </c>
      <c r="N117" s="114">
        <f t="shared" si="53"/>
        <v>227272.72727272726</v>
      </c>
      <c r="O117" s="114">
        <f t="shared" si="53"/>
        <v>227272.72727272726</v>
      </c>
      <c r="P117" s="114">
        <f t="shared" si="53"/>
        <v>227272.72727272726</v>
      </c>
      <c r="Q117" s="129">
        <f t="shared" si="54"/>
        <v>2499999.9999999995</v>
      </c>
    </row>
    <row r="118" spans="1:18" x14ac:dyDescent="0.35">
      <c r="D118" t="s">
        <v>192</v>
      </c>
      <c r="E118" s="114">
        <f t="shared" si="53"/>
        <v>105006.19719867737</v>
      </c>
      <c r="F118" s="114">
        <f t="shared" si="53"/>
        <v>108996.43269222713</v>
      </c>
      <c r="G118" s="114">
        <f t="shared" si="53"/>
        <v>145138.29713453178</v>
      </c>
      <c r="H118" s="114">
        <f t="shared" si="53"/>
        <v>117437.55242564398</v>
      </c>
      <c r="I118" s="114">
        <f t="shared" si="53"/>
        <v>121900.17941781845</v>
      </c>
      <c r="J118" s="114">
        <f t="shared" si="53"/>
        <v>126532.38623569555</v>
      </c>
      <c r="K118" s="114">
        <f t="shared" si="53"/>
        <v>131340.61691265198</v>
      </c>
      <c r="L118" s="114">
        <f t="shared" si="53"/>
        <v>136331.56035533277</v>
      </c>
      <c r="M118" s="114">
        <f t="shared" si="53"/>
        <v>141512.15964883543</v>
      </c>
      <c r="N118" s="114">
        <f t="shared" si="53"/>
        <v>178889.62171549117</v>
      </c>
      <c r="O118" s="114">
        <f t="shared" si="53"/>
        <v>152471.42734067986</v>
      </c>
      <c r="P118" s="114">
        <f t="shared" si="53"/>
        <v>158265.3415796257</v>
      </c>
      <c r="Q118" s="115">
        <f t="shared" si="54"/>
        <v>1623821.7726572112</v>
      </c>
    </row>
    <row r="119" spans="1:18" x14ac:dyDescent="0.35">
      <c r="Q119" s="116">
        <f>SUM(Q114:Q118)</f>
        <v>-21473512.074901905</v>
      </c>
    </row>
    <row r="120" spans="1:18" x14ac:dyDescent="0.35">
      <c r="A120" s="113" t="s">
        <v>195</v>
      </c>
    </row>
    <row r="121" spans="1:18" x14ac:dyDescent="0.35">
      <c r="D121" t="s">
        <v>43</v>
      </c>
      <c r="E121" s="114">
        <f t="shared" ref="E121:P125" si="55">SUMIF($C:$C,$D121,E:E)</f>
        <v>0</v>
      </c>
      <c r="F121" s="114">
        <f t="shared" si="55"/>
        <v>0</v>
      </c>
      <c r="G121" s="114">
        <f t="shared" si="55"/>
        <v>0</v>
      </c>
      <c r="H121" s="114">
        <f t="shared" si="55"/>
        <v>0</v>
      </c>
      <c r="I121" s="114">
        <f t="shared" si="55"/>
        <v>0</v>
      </c>
      <c r="J121" s="114">
        <f t="shared" si="55"/>
        <v>0</v>
      </c>
      <c r="K121" s="114">
        <f t="shared" si="55"/>
        <v>0</v>
      </c>
      <c r="L121" s="114">
        <f t="shared" si="55"/>
        <v>0</v>
      </c>
      <c r="M121" s="114">
        <f t="shared" si="55"/>
        <v>0</v>
      </c>
      <c r="N121" s="114">
        <f t="shared" si="55"/>
        <v>0</v>
      </c>
      <c r="O121" s="114">
        <f t="shared" si="55"/>
        <v>0</v>
      </c>
      <c r="P121" s="114">
        <f t="shared" si="55"/>
        <v>0</v>
      </c>
      <c r="Q121" s="115">
        <f>SUM(E121:P121)</f>
        <v>0</v>
      </c>
    </row>
    <row r="122" spans="1:18" x14ac:dyDescent="0.35">
      <c r="D122" t="s">
        <v>141</v>
      </c>
      <c r="E122" s="114">
        <f t="shared" si="55"/>
        <v>-9823794.5218193531</v>
      </c>
      <c r="F122" s="114">
        <f t="shared" si="55"/>
        <v>2488907.3469189862</v>
      </c>
      <c r="G122" s="114">
        <f t="shared" si="55"/>
        <v>5742567.0622471832</v>
      </c>
      <c r="H122" s="114">
        <f t="shared" si="55"/>
        <v>8744421.1758799199</v>
      </c>
      <c r="I122" s="114">
        <f t="shared" si="55"/>
        <v>-2404762.7750486913</v>
      </c>
      <c r="J122" s="114">
        <f t="shared" si="55"/>
        <v>7688317.5725573823</v>
      </c>
      <c r="K122" s="114">
        <f t="shared" si="55"/>
        <v>1066132.9277358872</v>
      </c>
      <c r="L122" s="114">
        <f t="shared" si="55"/>
        <v>-153505.47296735327</v>
      </c>
      <c r="M122" s="114">
        <f t="shared" si="55"/>
        <v>3168113.7973269001</v>
      </c>
      <c r="N122" s="114">
        <f t="shared" si="55"/>
        <v>25914959.720319618</v>
      </c>
      <c r="O122" s="114">
        <f t="shared" si="55"/>
        <v>3912880.4733825447</v>
      </c>
      <c r="P122" s="114">
        <f t="shared" si="55"/>
        <v>-35726605.000702575</v>
      </c>
      <c r="Q122" s="115">
        <f t="shared" ref="Q122:Q125" si="56">SUM(E122:P122)</f>
        <v>10617632.305830449</v>
      </c>
    </row>
    <row r="123" spans="1:18" x14ac:dyDescent="0.35">
      <c r="D123" t="s">
        <v>147</v>
      </c>
      <c r="E123" s="114">
        <f t="shared" si="55"/>
        <v>1292190.3910507923</v>
      </c>
      <c r="F123" s="114">
        <f t="shared" si="55"/>
        <v>1292190.3910507923</v>
      </c>
      <c r="G123" s="114">
        <f t="shared" si="55"/>
        <v>1292190.3910507923</v>
      </c>
      <c r="H123" s="114">
        <f t="shared" si="55"/>
        <v>1292190.3910507923</v>
      </c>
      <c r="I123" s="114">
        <f t="shared" si="55"/>
        <v>1292190.3910507923</v>
      </c>
      <c r="J123" s="114">
        <f t="shared" si="55"/>
        <v>1292190.3910507923</v>
      </c>
      <c r="K123" s="114">
        <f t="shared" si="55"/>
        <v>1292190.3910507923</v>
      </c>
      <c r="L123" s="114">
        <f t="shared" si="55"/>
        <v>1292190.3910507923</v>
      </c>
      <c r="M123" s="114">
        <f t="shared" si="55"/>
        <v>1292190.3910507923</v>
      </c>
      <c r="N123" s="114">
        <f t="shared" si="55"/>
        <v>1292190.3910507923</v>
      </c>
      <c r="O123" s="114">
        <f t="shared" si="55"/>
        <v>1292190.3910507923</v>
      </c>
      <c r="P123" s="114">
        <f t="shared" si="55"/>
        <v>1292190.3910507923</v>
      </c>
      <c r="Q123" s="115">
        <f t="shared" si="56"/>
        <v>15506284.692609511</v>
      </c>
    </row>
    <row r="124" spans="1:18" x14ac:dyDescent="0.35">
      <c r="D124" t="s">
        <v>162</v>
      </c>
      <c r="E124" s="114">
        <f t="shared" si="55"/>
        <v>-3766680.5749999993</v>
      </c>
      <c r="F124" s="114">
        <f t="shared" si="55"/>
        <v>-3766680.5749999993</v>
      </c>
      <c r="G124" s="114">
        <f t="shared" si="55"/>
        <v>-3766680.5749999993</v>
      </c>
      <c r="H124" s="114">
        <f t="shared" si="55"/>
        <v>-3766680.5749999993</v>
      </c>
      <c r="I124" s="114">
        <f t="shared" si="55"/>
        <v>-3766680.5749999993</v>
      </c>
      <c r="J124" s="114">
        <f t="shared" si="55"/>
        <v>-3766680.5749999993</v>
      </c>
      <c r="K124" s="114">
        <f t="shared" si="55"/>
        <v>-3766680.5749999993</v>
      </c>
      <c r="L124" s="114">
        <f t="shared" si="55"/>
        <v>-3766680.5749999993</v>
      </c>
      <c r="M124" s="114">
        <f t="shared" si="55"/>
        <v>-3766680.5749999993</v>
      </c>
      <c r="N124" s="114">
        <f t="shared" si="55"/>
        <v>-3766680.5749999993</v>
      </c>
      <c r="O124" s="114">
        <f t="shared" si="55"/>
        <v>-3766680.5749999993</v>
      </c>
      <c r="P124" s="114">
        <f t="shared" si="55"/>
        <v>41433486.325000003</v>
      </c>
      <c r="Q124" s="115">
        <f t="shared" si="56"/>
        <v>0</v>
      </c>
    </row>
    <row r="125" spans="1:18" x14ac:dyDescent="0.35">
      <c r="D125" t="s">
        <v>172</v>
      </c>
      <c r="E125" s="114">
        <f t="shared" si="55"/>
        <v>5121797.233239226</v>
      </c>
      <c r="F125" s="114">
        <f t="shared" si="55"/>
        <v>-5177330.5528807882</v>
      </c>
      <c r="G125" s="114">
        <f t="shared" si="55"/>
        <v>3271055.805927705</v>
      </c>
      <c r="H125" s="114">
        <f t="shared" si="55"/>
        <v>-5578283.740218089</v>
      </c>
      <c r="I125" s="114">
        <f t="shared" si="55"/>
        <v>6682094.331761972</v>
      </c>
      <c r="J125" s="114">
        <f t="shared" si="55"/>
        <v>-6010288.3461955385</v>
      </c>
      <c r="K125" s="114">
        <f t="shared" si="55"/>
        <v>5561867.5651909458</v>
      </c>
      <c r="L125" s="114">
        <f t="shared" si="55"/>
        <v>-6475749.1168783065</v>
      </c>
      <c r="M125" s="114">
        <f t="shared" si="55"/>
        <v>5992600.8369095922</v>
      </c>
      <c r="N125" s="114">
        <f t="shared" si="55"/>
        <v>-8497257.0314858314</v>
      </c>
      <c r="O125" s="114">
        <f t="shared" si="55"/>
        <v>7976691.8161232211</v>
      </c>
      <c r="P125" s="114">
        <f t="shared" si="55"/>
        <v>-7517603.7250322206</v>
      </c>
      <c r="Q125" s="115">
        <f t="shared" si="56"/>
        <v>-4650404.9235381121</v>
      </c>
    </row>
    <row r="126" spans="1:18" x14ac:dyDescent="0.35">
      <c r="Q126" s="116">
        <f>SUM(Q121:Q125)</f>
        <v>21473512.074901849</v>
      </c>
      <c r="R126" s="113" t="s">
        <v>196</v>
      </c>
    </row>
  </sheetData>
  <autoFilter ref="A2:Q107" xr:uid="{255C651E-D6D9-4BE2-BFFE-6D65BFC42A9E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4AE2-2C3E-4A24-86D2-EE912F0D7EFA}">
  <dimension ref="B1:O42"/>
  <sheetViews>
    <sheetView topLeftCell="B1" zoomScale="88" zoomScaleNormal="88" workbookViewId="0">
      <pane xSplit="1" ySplit="4" topLeftCell="C26" activePane="bottomRight" state="frozen"/>
      <selection activeCell="M113" sqref="M113"/>
      <selection pane="topRight" activeCell="M113" sqref="M113"/>
      <selection pane="bottomLeft" activeCell="M113" sqref="M113"/>
      <selection pane="bottomRight" activeCell="B1" sqref="B1:O38"/>
    </sheetView>
  </sheetViews>
  <sheetFormatPr baseColWidth="10" defaultRowHeight="15" x14ac:dyDescent="0.4"/>
  <cols>
    <col min="1" max="1" width="3.7265625" customWidth="1"/>
    <col min="2" max="2" width="27.453125" style="70" bestFit="1" customWidth="1"/>
    <col min="3" max="12" width="14" bestFit="1" customWidth="1"/>
    <col min="13" max="13" width="15.1796875" bestFit="1" customWidth="1"/>
    <col min="14" max="14" width="15.36328125" customWidth="1"/>
    <col min="15" max="15" width="15.54296875" bestFit="1" customWidth="1"/>
  </cols>
  <sheetData>
    <row r="1" spans="2:15" ht="37.5" thickBot="1" x14ac:dyDescent="0.95">
      <c r="B1" s="187" t="s">
        <v>102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15" ht="15.5" thickTop="1" x14ac:dyDescent="0.4"/>
    <row r="3" spans="2:15" ht="20.5" thickBot="1" x14ac:dyDescent="0.45">
      <c r="C3" s="71" t="s">
        <v>24</v>
      </c>
      <c r="D3" s="71" t="s">
        <v>25</v>
      </c>
      <c r="E3" s="71" t="s">
        <v>26</v>
      </c>
      <c r="F3" s="71" t="s">
        <v>27</v>
      </c>
      <c r="G3" s="71" t="s">
        <v>28</v>
      </c>
      <c r="H3" s="71" t="s">
        <v>29</v>
      </c>
      <c r="I3" s="71" t="s">
        <v>81</v>
      </c>
      <c r="J3" s="71" t="s">
        <v>82</v>
      </c>
      <c r="K3" s="71" t="s">
        <v>83</v>
      </c>
      <c r="L3" s="71" t="s">
        <v>84</v>
      </c>
      <c r="M3" s="71" t="s">
        <v>85</v>
      </c>
      <c r="N3" s="71" t="s">
        <v>86</v>
      </c>
      <c r="O3" s="71" t="s">
        <v>2</v>
      </c>
    </row>
    <row r="4" spans="2:15" ht="15.5" thickTop="1" x14ac:dyDescent="0.4"/>
    <row r="5" spans="2:15" ht="15.5" thickBot="1" x14ac:dyDescent="0.45">
      <c r="B5" s="72" t="s">
        <v>87</v>
      </c>
      <c r="C5" s="73">
        <f>+'Flujo de caja año 1'!O36</f>
        <v>46332498.658006981</v>
      </c>
      <c r="D5" s="73">
        <f>C38</f>
        <v>25411780.789147303</v>
      </c>
      <c r="E5" s="73">
        <f>D38</f>
        <v>24637229.429111153</v>
      </c>
      <c r="F5" s="73">
        <f>E38</f>
        <v>25813784.989902541</v>
      </c>
      <c r="G5" s="73">
        <f t="shared" ref="G5:M5" si="0">F38</f>
        <v>30990529.503634982</v>
      </c>
      <c r="H5" s="73">
        <f t="shared" si="0"/>
        <v>24857256.989640839</v>
      </c>
      <c r="I5" s="73">
        <f t="shared" si="0"/>
        <v>28650120.089536481</v>
      </c>
      <c r="J5" s="73">
        <f t="shared" si="0"/>
        <v>25647509.911013119</v>
      </c>
      <c r="K5" s="73">
        <f t="shared" si="0"/>
        <v>21245387.730112299</v>
      </c>
      <c r="L5" s="73">
        <f t="shared" si="0"/>
        <v>19978176.020967901</v>
      </c>
      <c r="M5" s="73">
        <f t="shared" si="0"/>
        <v>40110726.50193394</v>
      </c>
      <c r="N5" s="73">
        <f>M38</f>
        <v>39193309.461231112</v>
      </c>
      <c r="O5" s="101">
        <f>C5</f>
        <v>46332498.658006981</v>
      </c>
    </row>
    <row r="7" spans="2:15" x14ac:dyDescent="0.4">
      <c r="B7" s="74" t="s">
        <v>88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</row>
    <row r="8" spans="2:15" ht="27" x14ac:dyDescent="0.35">
      <c r="B8" s="118" t="s">
        <v>219</v>
      </c>
      <c r="C8" s="1">
        <f>+'Contabilización Año 2'!E84</f>
        <v>27349914.122367509</v>
      </c>
      <c r="D8" s="1">
        <f>+'Contabilización Año 2'!F84</f>
        <v>28389210.859017473</v>
      </c>
      <c r="E8" s="1">
        <f>+'Contabilización Año 2'!G84</f>
        <v>37802720.871660143</v>
      </c>
      <c r="F8" s="1">
        <f>+'Contabilización Año 2'!H84</f>
        <v>30587784.90478323</v>
      </c>
      <c r="G8" s="1">
        <f>+'Contabilización Año 2'!I84</f>
        <v>31750120.731164999</v>
      </c>
      <c r="H8" s="1">
        <f>+'Contabilización Año 2'!J84</f>
        <v>32956625.318949267</v>
      </c>
      <c r="I8" s="1">
        <f>+'Contabilización Año 2'!K84</f>
        <v>34208977.081069343</v>
      </c>
      <c r="J8" s="1">
        <f>+'Contabilización Año 2'!L84</f>
        <v>35508918.210149974</v>
      </c>
      <c r="K8" s="1">
        <f>+'Contabilización Año 2'!M84</f>
        <v>36858257.102135666</v>
      </c>
      <c r="L8" s="1">
        <f>+'Contabilización Año 2'!N84</f>
        <v>46593590.872016832</v>
      </c>
      <c r="M8" s="1">
        <f>+'Contabilización Año 2'!O84</f>
        <v>39712707.965153478</v>
      </c>
      <c r="N8" s="1">
        <f>+'Contabilización Año 2'!P84</f>
        <v>41221790.867829308</v>
      </c>
      <c r="O8" s="1">
        <f>SUM(Ingresos8[[#This Row],[Columna1]:[Columna12]])</f>
        <v>422940618.90629727</v>
      </c>
    </row>
    <row r="9" spans="2:15" s="1" customFormat="1" ht="15.5" thickBot="1" x14ac:dyDescent="0.45">
      <c r="B9" s="77" t="s">
        <v>89</v>
      </c>
      <c r="C9" s="81">
        <f>SUBTOTAL(109,Ingresos8[Columna1])</f>
        <v>27349914.122367509</v>
      </c>
      <c r="D9" s="81">
        <f>SUBTOTAL(109,Ingresos8[Columna2])</f>
        <v>28389210.859017473</v>
      </c>
      <c r="E9" s="81">
        <f>SUBTOTAL(109,Ingresos8[Columna3])</f>
        <v>37802720.871660143</v>
      </c>
      <c r="F9" s="81">
        <f>SUBTOTAL(109,Ingresos8[Columna4])</f>
        <v>30587784.90478323</v>
      </c>
      <c r="G9" s="81">
        <f>SUBTOTAL(109,Ingresos8[Columna5])</f>
        <v>31750120.731164999</v>
      </c>
      <c r="H9" s="81">
        <f>SUBTOTAL(109,Ingresos8[Columna6])</f>
        <v>32956625.318949267</v>
      </c>
      <c r="I9" s="81">
        <f>SUBTOTAL(109,Ingresos8[Columna7])</f>
        <v>34208977.081069343</v>
      </c>
      <c r="J9" s="81">
        <f>SUBTOTAL(109,Ingresos8[Columna8])</f>
        <v>35508918.210149974</v>
      </c>
      <c r="K9" s="81">
        <f>SUBTOTAL(109,Ingresos8[Columna9])</f>
        <v>36858257.102135666</v>
      </c>
      <c r="L9" s="81">
        <f>SUBTOTAL(109,Ingresos8[Columna10])</f>
        <v>46593590.872016832</v>
      </c>
      <c r="M9" s="81">
        <f>SUBTOTAL(109,Ingresos8[Columna11])</f>
        <v>39712707.965153478</v>
      </c>
      <c r="N9" s="81">
        <f>SUBTOTAL(109,Ingresos8[Columna12])</f>
        <v>41221790.867829308</v>
      </c>
      <c r="O9" s="73">
        <f>SUM(Ingresos8[#Totals])</f>
        <v>422940618.90629727</v>
      </c>
    </row>
    <row r="11" spans="2:15" x14ac:dyDescent="0.4">
      <c r="B11" s="74" t="s">
        <v>90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2:15" ht="14.5" x14ac:dyDescent="0.35">
      <c r="B12" s="76" t="s">
        <v>91</v>
      </c>
      <c r="C12" s="1">
        <f>-'Contabilización Año 2'!E27-'Contabilización Año 2'!E40-'Contabilización Año 2'!E43</f>
        <v>22753850</v>
      </c>
      <c r="D12" s="1">
        <f>-'Contabilización Año 2'!F27-'Contabilización Año 2'!F40-'Contabilización Año 2'!F43</f>
        <v>22753850</v>
      </c>
      <c r="E12" s="1">
        <f>-'Contabilización Año 2'!G27-'Contabilización Año 2'!G40-'Contabilización Año 2'!G43</f>
        <v>22753850</v>
      </c>
      <c r="F12" s="1">
        <f>-'Contabilización Año 2'!H27-'Contabilización Año 2'!H40-'Contabilización Año 2'!H43</f>
        <v>22753850</v>
      </c>
      <c r="G12" s="1">
        <f>-'Contabilización Año 2'!I27-'Contabilización Año 2'!I40-'Contabilización Año 2'!I43</f>
        <v>22753850</v>
      </c>
      <c r="H12" s="1">
        <f>-'Contabilización Año 2'!J27-'Contabilización Año 2'!J40-'Contabilización Año 2'!J43</f>
        <v>22753850</v>
      </c>
      <c r="I12" s="1">
        <f>-'Contabilización Año 2'!K27-'Contabilización Año 2'!K40-'Contabilización Año 2'!K43</f>
        <v>22753850</v>
      </c>
      <c r="J12" s="1">
        <f>-'Contabilización Año 2'!L27-'Contabilización Año 2'!L40-'Contabilización Año 2'!L43</f>
        <v>22753850</v>
      </c>
      <c r="K12" s="1">
        <f>-'Contabilización Año 2'!M27-'Contabilización Año 2'!M40-'Contabilización Año 2'!M43</f>
        <v>22753850</v>
      </c>
      <c r="L12" s="1">
        <f>-'Contabilización Año 2'!N27-'Contabilización Año 2'!N40-'Contabilización Año 2'!N43</f>
        <v>22753850</v>
      </c>
      <c r="M12" s="1">
        <f>-'Contabilización Año 2'!O27-'Contabilización Año 2'!O40-'Contabilización Año 2'!O43</f>
        <v>22753850</v>
      </c>
      <c r="N12" s="1">
        <f>-'Contabilización Año 2'!P27-'Contabilización Año 2'!P40-'Contabilización Año 2'!P43</f>
        <v>67954016.900000006</v>
      </c>
      <c r="O12" s="1">
        <f>SUM(Egresos10[[#This Row],[Columna1]:[Columna12]])</f>
        <v>318246366.89999998</v>
      </c>
    </row>
    <row r="13" spans="2:15" ht="14.5" x14ac:dyDescent="0.35">
      <c r="B13" s="76" t="s">
        <v>100</v>
      </c>
      <c r="C13" s="1">
        <f>-'Contabilización Año 2'!E79</f>
        <v>0</v>
      </c>
      <c r="D13" s="1">
        <f>-'Contabilización Año 2'!F79</f>
        <v>0</v>
      </c>
      <c r="E13" s="1">
        <f>-'Contabilización Año 2'!G79</f>
        <v>0</v>
      </c>
      <c r="F13" s="1">
        <f>-'Contabilización Año 2'!H79</f>
        <v>0</v>
      </c>
      <c r="G13" s="1">
        <f>-'Contabilización Año 2'!I79</f>
        <v>0</v>
      </c>
      <c r="H13" s="1">
        <f>-'Contabilización Año 2'!J79</f>
        <v>0</v>
      </c>
      <c r="I13" s="1">
        <f>-'Contabilización Año 2'!K79</f>
        <v>0</v>
      </c>
      <c r="J13" s="1">
        <f>-'Contabilización Año 2'!L79</f>
        <v>10500000</v>
      </c>
      <c r="K13" s="1">
        <f>-'Contabilización Año 2'!M79</f>
        <v>0</v>
      </c>
      <c r="L13" s="1">
        <f>-'Contabilización Año 2'!N79</f>
        <v>0</v>
      </c>
      <c r="M13" s="1">
        <f>-'Contabilización Año 2'!O79</f>
        <v>0</v>
      </c>
      <c r="N13" s="1">
        <f>-'Contabilización Año 2'!P79</f>
        <v>0</v>
      </c>
      <c r="O13" s="1">
        <f>SUM(Egresos10[[#This Row],[Columna1]:[Columna12]])</f>
        <v>10500000</v>
      </c>
    </row>
    <row r="14" spans="2:15" ht="14.5" x14ac:dyDescent="0.35">
      <c r="B14" s="76" t="s">
        <v>92</v>
      </c>
      <c r="C14" s="1">
        <f>-'Contabilización Año 2'!E66</f>
        <v>1050000</v>
      </c>
      <c r="D14" s="1">
        <f>-'Contabilización Año 2'!F66</f>
        <v>1050000</v>
      </c>
      <c r="E14" s="1">
        <f>-'Contabilización Año 2'!G66</f>
        <v>1050000</v>
      </c>
      <c r="F14" s="1">
        <f>-'Contabilización Año 2'!H66</f>
        <v>1050000</v>
      </c>
      <c r="G14" s="1">
        <f>-'Contabilización Año 2'!I66</f>
        <v>1050000</v>
      </c>
      <c r="H14" s="1">
        <f>-'Contabilización Año 2'!J66</f>
        <v>1050000</v>
      </c>
      <c r="I14" s="1">
        <f>-'Contabilización Año 2'!K66</f>
        <v>1050000</v>
      </c>
      <c r="J14" s="1">
        <f>-'Contabilización Año 2'!L66</f>
        <v>1050000</v>
      </c>
      <c r="K14" s="1">
        <f>-'Contabilización Año 2'!M66</f>
        <v>1050000</v>
      </c>
      <c r="L14" s="1">
        <f>-'Contabilización Año 2'!N66</f>
        <v>1050000</v>
      </c>
      <c r="M14" s="1">
        <f>-'Contabilización Año 2'!O66</f>
        <v>1050000</v>
      </c>
      <c r="N14" s="1">
        <f>-'Contabilización Año 2'!P66</f>
        <v>1050000</v>
      </c>
      <c r="O14" s="1">
        <f>SUM(Egresos10[[#This Row],[Columna1]:[Columna12]])</f>
        <v>12600000</v>
      </c>
    </row>
    <row r="15" spans="2:15" ht="14.5" x14ac:dyDescent="0.35">
      <c r="B15" s="76" t="s">
        <v>198</v>
      </c>
      <c r="C15" s="1">
        <f>-'Contabilización Año 2'!E82</f>
        <v>0</v>
      </c>
      <c r="D15" s="1">
        <f>-'Contabilización Año 2'!F82</f>
        <v>0</v>
      </c>
      <c r="E15" s="1">
        <f>-'Contabilización Año 2'!G82</f>
        <v>1050000</v>
      </c>
      <c r="F15" s="1">
        <f>-'Contabilización Año 2'!H82</f>
        <v>0</v>
      </c>
      <c r="G15" s="1">
        <f>-'Contabilización Año 2'!I82</f>
        <v>0</v>
      </c>
      <c r="H15" s="1">
        <f>-'Contabilización Año 2'!J82</f>
        <v>0</v>
      </c>
      <c r="I15" s="1">
        <f>-'Contabilización Año 2'!K82</f>
        <v>0</v>
      </c>
      <c r="J15" s="1">
        <f>-'Contabilización Año 2'!L82</f>
        <v>0</v>
      </c>
      <c r="K15" s="1">
        <f>-'Contabilización Año 2'!M82</f>
        <v>0</v>
      </c>
      <c r="L15" s="1">
        <f>-'Contabilización Año 2'!N82</f>
        <v>1050000</v>
      </c>
      <c r="M15" s="1">
        <f>-'Contabilización Año 2'!O82</f>
        <v>0</v>
      </c>
      <c r="N15" s="1">
        <f>-'Contabilización Año 2'!P82</f>
        <v>0</v>
      </c>
      <c r="O15" s="1">
        <f>SUM(Egresos10[[#This Row],[Columna1]:[Columna12]])</f>
        <v>2100000</v>
      </c>
    </row>
    <row r="16" spans="2:15" ht="14.5" x14ac:dyDescent="0.35">
      <c r="B16" s="76" t="s">
        <v>1</v>
      </c>
      <c r="C16" s="1">
        <f>-'Contabilización Año 2'!E69</f>
        <v>315000</v>
      </c>
      <c r="D16" s="1">
        <f>-'Contabilización Año 2'!F69</f>
        <v>315000</v>
      </c>
      <c r="E16" s="1">
        <f>-'Contabilización Año 2'!G69</f>
        <v>315000</v>
      </c>
      <c r="F16" s="1">
        <f>-'Contabilización Año 2'!H69</f>
        <v>315000</v>
      </c>
      <c r="G16" s="1">
        <f>-'Contabilización Año 2'!I69</f>
        <v>315000</v>
      </c>
      <c r="H16" s="1">
        <f>-'Contabilización Año 2'!J69</f>
        <v>315000</v>
      </c>
      <c r="I16" s="1">
        <f>-'Contabilización Año 2'!K69</f>
        <v>315000</v>
      </c>
      <c r="J16" s="1">
        <f>-'Contabilización Año 2'!L69</f>
        <v>315000</v>
      </c>
      <c r="K16" s="1">
        <f>-'Contabilización Año 2'!M69</f>
        <v>315000</v>
      </c>
      <c r="L16" s="1">
        <f>-'Contabilización Año 2'!N69</f>
        <v>315000</v>
      </c>
      <c r="M16" s="1">
        <f>-'Contabilización Año 2'!O69</f>
        <v>315000</v>
      </c>
      <c r="N16" s="1">
        <f>-'Contabilización Año 2'!P69</f>
        <v>315000</v>
      </c>
      <c r="O16" s="1">
        <f>SUM(Egresos10[[#This Row],[Columna1]:[Columna12]])</f>
        <v>3780000</v>
      </c>
    </row>
    <row r="17" spans="2:15" ht="14.5" x14ac:dyDescent="0.35">
      <c r="B17" s="76" t="s">
        <v>93</v>
      </c>
      <c r="C17" s="1">
        <f>-'Contabilización Año 2'!E60</f>
        <v>5925110.625</v>
      </c>
      <c r="D17" s="1">
        <f>-'Contabilización Año 2'!F60</f>
        <v>0</v>
      </c>
      <c r="E17" s="1">
        <f>-'Contabilización Año 2'!G60</f>
        <v>0</v>
      </c>
      <c r="F17" s="1">
        <f>-'Contabilización Año 2'!H60</f>
        <v>0</v>
      </c>
      <c r="G17" s="1">
        <f>-'Contabilización Año 2'!I60</f>
        <v>0</v>
      </c>
      <c r="H17" s="1">
        <f>-'Contabilización Año 2'!J60</f>
        <v>0</v>
      </c>
      <c r="I17" s="1">
        <f>-'Contabilización Año 2'!K60</f>
        <v>0</v>
      </c>
      <c r="J17" s="1">
        <f>-'Contabilización Año 2'!L60</f>
        <v>0</v>
      </c>
      <c r="K17" s="1">
        <f>-'Contabilización Año 2'!M60</f>
        <v>0</v>
      </c>
      <c r="L17" s="1">
        <f>-'Contabilización Año 2'!N60</f>
        <v>0</v>
      </c>
      <c r="M17" s="1">
        <f>-'Contabilización Año 2'!O60</f>
        <v>0</v>
      </c>
      <c r="N17" s="1">
        <f>-'Contabilización Año 2'!P60</f>
        <v>0</v>
      </c>
      <c r="O17" s="1">
        <f>-'Contabilización Año 2'!Q60</f>
        <v>5925110.625</v>
      </c>
    </row>
    <row r="18" spans="2:15" ht="14.5" x14ac:dyDescent="0.35">
      <c r="B18" s="76" t="s">
        <v>199</v>
      </c>
      <c r="C18" s="1">
        <f>-'Contabilización Año 2'!E92</f>
        <v>9434480.9751764014</v>
      </c>
      <c r="D18" s="1">
        <f>-'Contabilización Año 2'!F92</f>
        <v>0</v>
      </c>
      <c r="E18" s="1">
        <f>-'Contabilización Año 2'!G92</f>
        <v>10165124.919817964</v>
      </c>
      <c r="F18" s="1">
        <f>-'Contabilización Año 2'!H92</f>
        <v>0</v>
      </c>
      <c r="G18" s="1">
        <f>-'Contabilización Año 2'!I92</f>
        <v>12472352.854108348</v>
      </c>
      <c r="H18" s="1">
        <f>-'Contabilización Año 2'!J92</f>
        <v>0</v>
      </c>
      <c r="I18" s="1">
        <f>-'Contabilización Año 2'!K92</f>
        <v>11800546.868541915</v>
      </c>
      <c r="J18" s="1">
        <f>-'Contabilización Año 2'!L92</f>
        <v>0</v>
      </c>
      <c r="K18" s="1">
        <f>-'Contabilización Año 2'!M92</f>
        <v>12714428.420229275</v>
      </c>
      <c r="L18" s="1">
        <f>-'Contabilización Año 2'!N92</f>
        <v>0</v>
      </c>
      <c r="M18" s="1">
        <f>-'Contabilización Año 2'!O92</f>
        <v>15219084.614805514</v>
      </c>
      <c r="N18" s="1">
        <f>-'Contabilización Año 2'!P92</f>
        <v>0</v>
      </c>
      <c r="O18" s="1">
        <f>SUM(Egresos10[[#This Row],[Columna1]:[Columna12]])</f>
        <v>71806018.652679414</v>
      </c>
    </row>
    <row r="19" spans="2:15" ht="14.5" hidden="1" x14ac:dyDescent="0.35">
      <c r="B19" s="7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ht="14.5" x14ac:dyDescent="0.35">
      <c r="B20" s="76" t="s">
        <v>215</v>
      </c>
      <c r="C20" s="1">
        <f>-'Contabilización Año 2'!E95</f>
        <v>0</v>
      </c>
      <c r="D20" s="1">
        <f>-'Contabilización Año 2'!F95</f>
        <v>0</v>
      </c>
      <c r="E20" s="1">
        <f>-'Contabilización Año 2'!G95</f>
        <v>0</v>
      </c>
      <c r="F20" s="1">
        <f>-'Contabilización Año 2'!H95</f>
        <v>0</v>
      </c>
      <c r="G20" s="1">
        <f>-'Contabilización Año 2'!I95</f>
        <v>0</v>
      </c>
      <c r="H20" s="1">
        <f>-'Contabilización Año 2'!J95</f>
        <v>3752721.8280028328</v>
      </c>
      <c r="I20" s="1">
        <f>-'Contabilización Año 2'!K95</f>
        <v>0</v>
      </c>
      <c r="J20" s="1">
        <f>-'Contabilización Año 2'!L95</f>
        <v>0</v>
      </c>
      <c r="K20" s="1">
        <f>-'Contabilización Año 2'!M95</f>
        <v>0</v>
      </c>
      <c r="L20" s="1">
        <f>-'Contabilización Año 2'!N95</f>
        <v>0</v>
      </c>
      <c r="M20" s="1">
        <f>-'Contabilización Año 2'!O95</f>
        <v>0</v>
      </c>
      <c r="N20" s="1">
        <f>-'Contabilización Año 2'!P95</f>
        <v>0</v>
      </c>
      <c r="O20" s="1">
        <f>SUM(Egresos10[[#This Row],[Columna1]:[Columna12]])</f>
        <v>3752721.8280028328</v>
      </c>
    </row>
    <row r="21" spans="2:15" ht="14.5" x14ac:dyDescent="0.35">
      <c r="B21" s="76" t="s">
        <v>245</v>
      </c>
      <c r="C21" s="1">
        <f>'Contabilización Año 2'!E97</f>
        <v>0</v>
      </c>
      <c r="D21" s="1">
        <f>'Contabilización Año 2'!F97</f>
        <v>3752721.8280028328</v>
      </c>
      <c r="E21" s="1">
        <f>'Contabilización Año 2'!G97</f>
        <v>0</v>
      </c>
      <c r="F21" s="1">
        <f>'Contabilización Año 2'!H97</f>
        <v>0</v>
      </c>
      <c r="G21" s="1">
        <f>'Contabilización Año 2'!I97</f>
        <v>0</v>
      </c>
      <c r="H21" s="1">
        <f>'Contabilización Año 2'!J97</f>
        <v>0</v>
      </c>
      <c r="I21" s="1">
        <f>'Contabilización Año 2'!K97</f>
        <v>0</v>
      </c>
      <c r="J21" s="1">
        <f>'Contabilización Año 2'!L97</f>
        <v>0</v>
      </c>
      <c r="K21" s="1">
        <f>'Contabilización Año 2'!M97</f>
        <v>0</v>
      </c>
      <c r="L21" s="1">
        <f>'Contabilización Año 2'!N97</f>
        <v>0</v>
      </c>
      <c r="M21" s="1">
        <f>'Contabilización Año 2'!O97</f>
        <v>0</v>
      </c>
      <c r="N21" s="1">
        <f>'Contabilización Año 2'!P97</f>
        <v>0</v>
      </c>
      <c r="O21" s="1">
        <f>SUM(Egresos10[[#This Row],[Columna1]:[Columna12]])</f>
        <v>3752721.8280028328</v>
      </c>
    </row>
    <row r="22" spans="2:15" ht="14.5" x14ac:dyDescent="0.35">
      <c r="B22" s="76" t="s">
        <v>216</v>
      </c>
      <c r="C22" s="1">
        <f>-'Contabilización Año 2'!E101</f>
        <v>0</v>
      </c>
      <c r="D22" s="1">
        <f>-'Contabilización Año 2'!F101</f>
        <v>0</v>
      </c>
      <c r="E22" s="1">
        <f>-'Contabilización Año 2'!G101</f>
        <v>0</v>
      </c>
      <c r="F22" s="1">
        <f>-'Contabilización Año 2'!H101</f>
        <v>0</v>
      </c>
      <c r="G22" s="1">
        <f>-'Contabilización Año 2'!I101</f>
        <v>0</v>
      </c>
      <c r="H22" s="1">
        <f>-'Contabilización Año 2'!J101</f>
        <v>0</v>
      </c>
      <c r="I22" s="1">
        <f>-'Contabilización Año 2'!K101</f>
        <v>0</v>
      </c>
      <c r="J22" s="1">
        <f>-'Contabilización Año 2'!L101</f>
        <v>4000000</v>
      </c>
      <c r="K22" s="1">
        <f>-'Contabilización Año 2'!M101</f>
        <v>0</v>
      </c>
      <c r="L22" s="1">
        <f>-'Contabilización Año 2'!N101</f>
        <v>0</v>
      </c>
      <c r="M22" s="1">
        <f>-'Contabilización Año 2'!O101</f>
        <v>0</v>
      </c>
      <c r="N22" s="1">
        <f>-'Contabilización Año 2'!P101</f>
        <v>0</v>
      </c>
      <c r="O22" s="1">
        <f>SUM(Egresos10[[#This Row],[Columna1]:[Columna12]])</f>
        <v>4000000</v>
      </c>
    </row>
    <row r="23" spans="2:15" ht="14.5" hidden="1" x14ac:dyDescent="0.35">
      <c r="B23" s="76" t="s">
        <v>200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f>SUM(Egresos10[[#This Row],[Columna1]:[Columna12]])</f>
        <v>0</v>
      </c>
    </row>
    <row r="24" spans="2:15" ht="14.5" x14ac:dyDescent="0.35">
      <c r="B24" s="76" t="s">
        <v>201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f>SUM(Egresos10[[#This Row],[Columna1]:[Columna12]])</f>
        <v>0</v>
      </c>
    </row>
    <row r="25" spans="2:15" ht="14.5" x14ac:dyDescent="0.35">
      <c r="B25" s="76" t="s">
        <v>202</v>
      </c>
      <c r="C25" s="1">
        <f>-'Contabilización Año 2'!E63</f>
        <v>5000000</v>
      </c>
      <c r="D25" s="1">
        <f>-'Contabilización Año 2'!F63/2</f>
        <v>0</v>
      </c>
      <c r="E25" s="1">
        <f>-'Contabilización Año 2'!G63/2</f>
        <v>0</v>
      </c>
      <c r="F25" s="1">
        <f>-'Contabilización Año 2'!H63/2</f>
        <v>0</v>
      </c>
      <c r="G25" s="1">
        <f>-'Contabilización Año 2'!I63/2</f>
        <v>0</v>
      </c>
      <c r="H25" s="1">
        <f>-'Contabilización Año 2'!J63/2</f>
        <v>0</v>
      </c>
      <c r="I25" s="1">
        <f>-'Contabilización Año 2'!K63/2</f>
        <v>0</v>
      </c>
      <c r="J25" s="1">
        <f>-'Contabilización Año 2'!L63/2</f>
        <v>0</v>
      </c>
      <c r="K25" s="1">
        <f>-'Contabilización Año 2'!M63/2</f>
        <v>0</v>
      </c>
      <c r="L25" s="1">
        <f>-'Contabilización Año 2'!N63/2</f>
        <v>0</v>
      </c>
      <c r="M25" s="1">
        <f>-'Contabilización Año 2'!O63/2</f>
        <v>0</v>
      </c>
      <c r="N25" s="1">
        <f>-'Contabilización Año 2'!P63/2</f>
        <v>0</v>
      </c>
      <c r="O25" s="1">
        <f>SUM(Egresos10[[#This Row],[Columna1]:[Columna12]])</f>
        <v>5000000</v>
      </c>
    </row>
    <row r="26" spans="2:15" ht="15.5" thickBot="1" x14ac:dyDescent="0.45">
      <c r="B26" s="72" t="s">
        <v>94</v>
      </c>
      <c r="C26" s="81">
        <f>SUM(Egresos10[Columna1])</f>
        <v>44478441.600176401</v>
      </c>
      <c r="D26" s="81">
        <f>SUM(Egresos10[Columna2])</f>
        <v>27871571.828002833</v>
      </c>
      <c r="E26" s="81">
        <f>SUM(Egresos10[Columna3])</f>
        <v>35333974.919817962</v>
      </c>
      <c r="F26" s="81">
        <f>SUM(Egresos10[Columna4])</f>
        <v>24118850</v>
      </c>
      <c r="G26" s="81">
        <f>SUM(Egresos10[Columna5])</f>
        <v>36591202.854108348</v>
      </c>
      <c r="H26" s="81">
        <f>SUM(Egresos10[Columna6])</f>
        <v>27871571.828002833</v>
      </c>
      <c r="I26" s="81">
        <f>SUM(Egresos10[Columna7])</f>
        <v>35919396.868541911</v>
      </c>
      <c r="J26" s="81">
        <f>SUM(Egresos10[Columna8])</f>
        <v>38618850</v>
      </c>
      <c r="K26" s="81">
        <f>SUM(Egresos10[Columna9])</f>
        <v>36833278.420229271</v>
      </c>
      <c r="L26" s="81">
        <f>SUM(Egresos10[Columna10])</f>
        <v>25168850</v>
      </c>
      <c r="M26" s="81">
        <f>SUM(Egresos10[Columna11])</f>
        <v>39337934.614805512</v>
      </c>
      <c r="N26" s="81">
        <f>SUM(Egresos10[Columna12])</f>
        <v>69319016.900000006</v>
      </c>
      <c r="O26" s="73">
        <f>SUM(O12:O25)</f>
        <v>441462939.83368504</v>
      </c>
    </row>
    <row r="27" spans="2:15" ht="14.5" x14ac:dyDescent="0.35">
      <c r="B27" s="7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5" ht="15.5" thickBot="1" x14ac:dyDescent="0.45">
      <c r="B28" s="79" t="s">
        <v>95</v>
      </c>
      <c r="C28" s="80">
        <f>C5+Ingresos8[[#Totals],[Columna1]]-Egresos10[[#Totals],[Columna1]]</f>
        <v>29203971.180198096</v>
      </c>
      <c r="D28" s="80">
        <f>D5+Ingresos8[[#Totals],[Columna2]]-Egresos10[[#Totals],[Columna2]]</f>
        <v>25929419.820161946</v>
      </c>
      <c r="E28" s="80">
        <f>E5+Ingresos8[[#Totals],[Columna3]]-Egresos10[[#Totals],[Columna3]]</f>
        <v>27105975.380953334</v>
      </c>
      <c r="F28" s="80">
        <f>F5+Ingresos8[[#Totals],[Columna4]]-Egresos10[[#Totals],[Columna4]]</f>
        <v>32282719.894685775</v>
      </c>
      <c r="G28" s="80">
        <f>G5+Ingresos8[[#Totals],[Columna5]]-Egresos10[[#Totals],[Columna5]]</f>
        <v>26149447.380691633</v>
      </c>
      <c r="H28" s="80">
        <f>H5+Ingresos8[[#Totals],[Columna6]]-Egresos10[[#Totals],[Columna6]]</f>
        <v>29942310.480587274</v>
      </c>
      <c r="I28" s="80">
        <f>I5+Ingresos8[[#Totals],[Columna7]]-Egresos10[[#Totals],[Columna7]]</f>
        <v>26939700.302063912</v>
      </c>
      <c r="J28" s="80">
        <f>J5+Ingresos8[[#Totals],[Columna8]]-Egresos10[[#Totals],[Columna8]]</f>
        <v>22537578.121163093</v>
      </c>
      <c r="K28" s="80">
        <f>K5+Ingresos8[[#Totals],[Columna9]]-Egresos10[[#Totals],[Columna9]]</f>
        <v>21270366.412018694</v>
      </c>
      <c r="L28" s="80">
        <f>L5+Ingresos8[[#Totals],[Columna10]]-Egresos10[[#Totals],[Columna10]]</f>
        <v>41402916.892984733</v>
      </c>
      <c r="M28" s="80">
        <f>M5+Ingresos8[[#Totals],[Columna11]]-Egresos10[[#Totals],[Columna11]]</f>
        <v>40485499.852281906</v>
      </c>
      <c r="N28" s="80">
        <f>N5+Ingresos8[[#Totals],[Columna12]]-Egresos10[[#Totals],[Columna12]]</f>
        <v>11096083.429060414</v>
      </c>
      <c r="O28" s="80">
        <f>O5+O9-O26</f>
        <v>27810177.730619192</v>
      </c>
    </row>
    <row r="30" spans="2:15" x14ac:dyDescent="0.4">
      <c r="B30" s="74" t="s">
        <v>96</v>
      </c>
      <c r="C30" s="117">
        <v>0</v>
      </c>
      <c r="D30" s="117">
        <f>'Contabilización Año 1'!F10</f>
        <v>0</v>
      </c>
      <c r="E30" s="117">
        <f>'Contabilización Año 1'!G10</f>
        <v>0</v>
      </c>
      <c r="F30" s="117">
        <f>'Contabilización Año 1'!H10</f>
        <v>0</v>
      </c>
      <c r="G30" s="117">
        <f>'Contabilización Año 1'!I10</f>
        <v>0</v>
      </c>
      <c r="H30" s="117">
        <f>'Contabilización Año 1'!J10</f>
        <v>0</v>
      </c>
      <c r="I30" s="117">
        <f>'Contabilización Año 1'!K10</f>
        <v>0</v>
      </c>
      <c r="J30" s="117">
        <f>'Contabilización Año 1'!L10</f>
        <v>0</v>
      </c>
      <c r="K30" s="117">
        <f>'Contabilización Año 1'!M10</f>
        <v>0</v>
      </c>
      <c r="L30" s="117">
        <f>'Contabilización Año 1'!N10</f>
        <v>0</v>
      </c>
      <c r="M30" s="117">
        <f>'Contabilización Año 1'!O10</f>
        <v>0</v>
      </c>
      <c r="N30" s="117">
        <f>'Contabilización Año 1'!P10</f>
        <v>0</v>
      </c>
      <c r="O30" s="1">
        <f>SUM(C30:N30)</f>
        <v>0</v>
      </c>
    </row>
    <row r="31" spans="2:15" ht="14.5" x14ac:dyDescent="0.35">
      <c r="B31" s="76" t="s">
        <v>97</v>
      </c>
      <c r="C31" s="1">
        <f>-'Contabilización Año 2'!E72</f>
        <v>1292190.3910507923</v>
      </c>
      <c r="D31" s="1">
        <f>-'Contabilización Año 2'!F72</f>
        <v>1292190.3910507923</v>
      </c>
      <c r="E31" s="1">
        <f>-'Contabilización Año 2'!G72</f>
        <v>1292190.3910507923</v>
      </c>
      <c r="F31" s="1">
        <f>-'Contabilización Año 2'!H72</f>
        <v>1292190.3910507923</v>
      </c>
      <c r="G31" s="1">
        <f>-'Contabilización Año 2'!I72</f>
        <v>1292190.3910507923</v>
      </c>
      <c r="H31" s="1">
        <f>-'Contabilización Año 2'!J72</f>
        <v>1292190.3910507923</v>
      </c>
      <c r="I31" s="1">
        <f>-'Contabilización Año 2'!K72</f>
        <v>1292190.3910507923</v>
      </c>
      <c r="J31" s="1">
        <f>-'Contabilización Año 2'!L72</f>
        <v>1292190.3910507923</v>
      </c>
      <c r="K31" s="1">
        <f>-'Contabilización Año 2'!M72</f>
        <v>1292190.3910507923</v>
      </c>
      <c r="L31" s="1">
        <f>-'Contabilización Año 2'!N72</f>
        <v>1292190.3910507923</v>
      </c>
      <c r="M31" s="1">
        <f>-'Contabilización Año 2'!O72</f>
        <v>1292190.3910507923</v>
      </c>
      <c r="N31" s="1">
        <f>-'Contabilización Año 2'!P72</f>
        <v>1292190.3910507923</v>
      </c>
      <c r="O31" s="1">
        <f>SUM(Financiamiento11[[#This Row],[Columna1]:[Columna12]])</f>
        <v>15506284.692609511</v>
      </c>
    </row>
    <row r="32" spans="2:15" ht="15.5" thickBot="1" x14ac:dyDescent="0.45">
      <c r="B32" s="72" t="s">
        <v>98</v>
      </c>
      <c r="C32" s="81" cm="1">
        <f t="array" ref="C32">C30-Financiamiento11[Columna1]</f>
        <v>-1292190.3910507923</v>
      </c>
      <c r="D32" s="81">
        <f>SUM(Financiamiento11[Columna2])</f>
        <v>1292190.3910507923</v>
      </c>
      <c r="E32" s="81">
        <f>SUM(Financiamiento11[Columna3])</f>
        <v>1292190.3910507923</v>
      </c>
      <c r="F32" s="81">
        <f>SUM(Financiamiento11[Columna4])</f>
        <v>1292190.3910507923</v>
      </c>
      <c r="G32" s="81">
        <f>SUM(Financiamiento11[Columna5])</f>
        <v>1292190.3910507923</v>
      </c>
      <c r="H32" s="81">
        <f>SUM(Financiamiento11[Columna6])</f>
        <v>1292190.3910507923</v>
      </c>
      <c r="I32" s="81">
        <f>SUM(Financiamiento11[Columna7])</f>
        <v>1292190.3910507923</v>
      </c>
      <c r="J32" s="81">
        <f>SUM(Financiamiento11[Columna8])</f>
        <v>1292190.3910507923</v>
      </c>
      <c r="K32" s="81">
        <f>SUM(Financiamiento11[Columna9])</f>
        <v>1292190.3910507923</v>
      </c>
      <c r="L32" s="81">
        <f>SUM(Financiamiento11[Columna10])</f>
        <v>1292190.3910507923</v>
      </c>
      <c r="M32" s="81">
        <f>SUM(Financiamiento11[Columna11])</f>
        <v>1292190.3910507923</v>
      </c>
      <c r="N32" s="81">
        <f>SUM(Financiamiento11[Columna12])</f>
        <v>1292190.3910507923</v>
      </c>
      <c r="O32" s="73">
        <f>SUM(Financiamiento11[#Totals])</f>
        <v>12921903.910507925</v>
      </c>
    </row>
    <row r="34" spans="2:15" x14ac:dyDescent="0.4">
      <c r="B34" s="74" t="s">
        <v>122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</row>
    <row r="35" spans="2:15" ht="14.5" x14ac:dyDescent="0.35">
      <c r="B35" s="76" t="s">
        <v>197</v>
      </c>
      <c r="C35" s="1">
        <f>-'Contabilización Año 2'!E8</f>
        <v>2500000</v>
      </c>
      <c r="D35" s="1">
        <f>-'Contabilización Año 2'!F8</f>
        <v>0</v>
      </c>
      <c r="E35" s="1">
        <f>-'Contabilización Año 2'!G8</f>
        <v>0</v>
      </c>
      <c r="F35" s="1">
        <f>-'Contabilización Año 2'!H8</f>
        <v>0</v>
      </c>
      <c r="G35" s="1">
        <f>-'Contabilización Año 2'!I8</f>
        <v>0</v>
      </c>
      <c r="H35" s="1">
        <f>-'Contabilización Año 2'!J8</f>
        <v>0</v>
      </c>
      <c r="I35" s="1">
        <f>-'Contabilización Año 2'!K8</f>
        <v>0</v>
      </c>
      <c r="J35" s="1">
        <f>-'Contabilización Año 2'!L8</f>
        <v>0</v>
      </c>
      <c r="K35" s="1">
        <f>-'Contabilización Año 2'!M8</f>
        <v>0</v>
      </c>
      <c r="L35" s="1">
        <f>-'Contabilización Año 2'!N8</f>
        <v>0</v>
      </c>
      <c r="M35" s="1">
        <f>-'Contabilización Año 2'!O8</f>
        <v>0</v>
      </c>
      <c r="N35" s="1">
        <f>-'Contabilización Año 2'!P8</f>
        <v>0</v>
      </c>
      <c r="O35" s="1">
        <f>SUM(Financiamiento912[[#This Row],[Columna1]:[Columna12]])</f>
        <v>2500000</v>
      </c>
    </row>
    <row r="36" spans="2:15" ht="15.5" thickBot="1" x14ac:dyDescent="0.45">
      <c r="B36" s="72" t="s">
        <v>123</v>
      </c>
      <c r="C36" s="81">
        <f>SUM(Financiamiento912[Columna1])</f>
        <v>2500000</v>
      </c>
      <c r="D36" s="81">
        <f>SUM(Financiamiento912[Columna2])</f>
        <v>0</v>
      </c>
      <c r="E36" s="81">
        <f>SUM(Financiamiento912[Columna3])</f>
        <v>0</v>
      </c>
      <c r="F36" s="81">
        <f>SUM(Financiamiento912[Columna4])</f>
        <v>0</v>
      </c>
      <c r="G36" s="81">
        <f>SUM(Financiamiento912[Columna5])</f>
        <v>0</v>
      </c>
      <c r="H36" s="81">
        <f>SUM(Financiamiento912[Columna6])</f>
        <v>0</v>
      </c>
      <c r="I36" s="81">
        <f>SUM(Financiamiento912[Columna7])</f>
        <v>0</v>
      </c>
      <c r="J36" s="81">
        <f>SUM(Financiamiento912[Columna8])</f>
        <v>0</v>
      </c>
      <c r="K36" s="81">
        <f>SUM(Financiamiento912[Columna9])</f>
        <v>0</v>
      </c>
      <c r="L36" s="81">
        <f>SUM(Financiamiento912[Columna10])</f>
        <v>0</v>
      </c>
      <c r="M36" s="81">
        <f>SUM(Financiamiento912[Columna11])</f>
        <v>0</v>
      </c>
      <c r="N36" s="81">
        <f>SUM(Financiamiento912[Columna12])</f>
        <v>0</v>
      </c>
      <c r="O36" s="73">
        <f>SUM(Financiamiento912[#Totals])</f>
        <v>2500000</v>
      </c>
    </row>
    <row r="38" spans="2:15" ht="15.5" thickBot="1" x14ac:dyDescent="0.45">
      <c r="B38" s="79" t="s">
        <v>99</v>
      </c>
      <c r="C38" s="80">
        <f t="shared" ref="C38:O38" si="1">C5+C9-C26+C30-C31-C36</f>
        <v>25411780.789147303</v>
      </c>
      <c r="D38" s="80">
        <f t="shared" si="1"/>
        <v>24637229.429111153</v>
      </c>
      <c r="E38" s="80">
        <f t="shared" si="1"/>
        <v>25813784.989902541</v>
      </c>
      <c r="F38" s="80">
        <f t="shared" si="1"/>
        <v>30990529.503634982</v>
      </c>
      <c r="G38" s="80">
        <f t="shared" si="1"/>
        <v>24857256.989640839</v>
      </c>
      <c r="H38" s="80">
        <f t="shared" si="1"/>
        <v>28650120.089536481</v>
      </c>
      <c r="I38" s="80">
        <f t="shared" si="1"/>
        <v>25647509.911013119</v>
      </c>
      <c r="J38" s="80">
        <f t="shared" si="1"/>
        <v>21245387.730112299</v>
      </c>
      <c r="K38" s="80">
        <f t="shared" si="1"/>
        <v>19978176.020967901</v>
      </c>
      <c r="L38" s="80">
        <f t="shared" si="1"/>
        <v>40110726.50193394</v>
      </c>
      <c r="M38" s="80">
        <f t="shared" si="1"/>
        <v>39193309.461231112</v>
      </c>
      <c r="N38" s="80">
        <f t="shared" si="1"/>
        <v>9803893.0380096212</v>
      </c>
      <c r="O38" s="80">
        <f t="shared" si="1"/>
        <v>9803893.0380096808</v>
      </c>
    </row>
    <row r="40" spans="2:15" x14ac:dyDescent="0.4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2" spans="2:15" x14ac:dyDescent="0.4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</row>
  </sheetData>
  <mergeCells count="1">
    <mergeCell ref="B1:O1"/>
  </mergeCells>
  <pageMargins left="0.7" right="0.7" top="0.75" bottom="0.75" header="0.3" footer="0.3"/>
  <tableParts count="4">
    <tablePart r:id="rId1"/>
    <tablePart r:id="rId2"/>
    <tablePart r:id="rId3"/>
    <tablePart r:id="rId4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DFD6BCA-C000-40E2-9025-0EC74DED85A9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'Flujo de caja año 2'!C38:N38</xm:f>
              <xm:sqref>P38</xm:sqref>
            </x14:sparkline>
          </x14:sparklines>
        </x14:sparklineGroup>
        <x14:sparklineGroup displayEmptyCellsAs="gap" xr2:uid="{9DEF54A5-F0EE-485D-A2B3-D9B7EFC06568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2'!C36:N36</xm:f>
              <xm:sqref>P36</xm:sqref>
            </x14:sparkline>
          </x14:sparklines>
        </x14:sparklineGroup>
        <x14:sparklineGroup displayEmptyCellsAs="gap" xr2:uid="{6DDB40E4-82B8-41E2-B490-216C5552E99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'Flujo de caja año 2'!C8:N8</xm:f>
              <xm:sqref>P8</xm:sqref>
            </x14:sparkline>
          </x14:sparklines>
        </x14:sparklineGroup>
        <x14:sparklineGroup displayEmptyCellsAs="gap" xr2:uid="{1A423D81-2F29-4706-BEC9-BB9E67E6B79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'Flujo de caja año 2'!C9:N9</xm:f>
              <xm:sqref>P9</xm:sqref>
            </x14:sparkline>
          </x14:sparklines>
        </x14:sparklineGroup>
        <x14:sparklineGroup displayEmptyCellsAs="gap" xr2:uid="{01347C8F-1A9E-401C-AC66-2BFA8AD0AC05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2'!C12:N12</xm:f>
              <xm:sqref>P12</xm:sqref>
            </x14:sparkline>
          </x14:sparklines>
        </x14:sparklineGroup>
        <x14:sparklineGroup displayEmptyCellsAs="gap" xr2:uid="{2E1C6E22-32F8-4FDC-A00E-E091C380C258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2'!C13:N13</xm:f>
              <xm:sqref>P13</xm:sqref>
            </x14:sparkline>
          </x14:sparklines>
        </x14:sparklineGroup>
        <x14:sparklineGroup displayEmptyCellsAs="gap" xr2:uid="{F24F079E-EFC8-45B7-96BA-77C876FCA4D5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2'!C14:N14</xm:f>
              <xm:sqref>P14</xm:sqref>
            </x14:sparkline>
            <x14:sparkline>
              <xm:f>'Flujo de caja año 2'!C15:N15</xm:f>
              <xm:sqref>P15</xm:sqref>
            </x14:sparkline>
            <x14:sparkline>
              <xm:f>'Flujo de caja año 2'!C16:N16</xm:f>
              <xm:sqref>P16</xm:sqref>
            </x14:sparkline>
          </x14:sparklines>
        </x14:sparklineGroup>
        <x14:sparklineGroup displayEmptyCellsAs="gap" xr2:uid="{71C2E9BC-3DA9-4543-B518-D9294C8FD060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2'!C17:N17</xm:f>
              <xm:sqref>P17</xm:sqref>
            </x14:sparkline>
            <x14:sparkline>
              <xm:f>'Flujo de caja año 2'!C18:N18</xm:f>
              <xm:sqref>P18</xm:sqref>
            </x14:sparkline>
            <x14:sparkline>
              <xm:f>'Flujo de caja año 2'!C19:N19</xm:f>
              <xm:sqref>P19</xm:sqref>
            </x14:sparkline>
            <x14:sparkline>
              <xm:f>'Flujo de caja año 2'!C20:N20</xm:f>
              <xm:sqref>P20</xm:sqref>
            </x14:sparkline>
            <x14:sparkline>
              <xm:f>'Flujo de caja año 2'!C21:N21</xm:f>
              <xm:sqref>P21</xm:sqref>
            </x14:sparkline>
            <x14:sparkline>
              <xm:f>'Flujo de caja año 2'!C22:N22</xm:f>
              <xm:sqref>P22</xm:sqref>
            </x14:sparkline>
            <x14:sparkline>
              <xm:f>'Flujo de caja año 2'!C23:N23</xm:f>
              <xm:sqref>P23</xm:sqref>
            </x14:sparkline>
            <x14:sparkline>
              <xm:f>'Flujo de caja año 2'!C24:N24</xm:f>
              <xm:sqref>P24</xm:sqref>
            </x14:sparkline>
            <x14:sparkline>
              <xm:f>'Flujo de caja año 2'!C25:N25</xm:f>
              <xm:sqref>P25</xm:sqref>
            </x14:sparkline>
          </x14:sparklines>
        </x14:sparklineGroup>
        <x14:sparklineGroup displayEmptyCellsAs="gap" xr2:uid="{C6E77331-9D40-4183-B499-17650FED09A4}">
          <x14:colorSeries theme="5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'Flujo de caja año 2'!C26:N26</xm:f>
              <xm:sqref>P26</xm:sqref>
            </x14:sparkline>
          </x14:sparklines>
        </x14:sparklineGroup>
        <x14:sparklineGroup displayEmptyCellsAs="gap" xr2:uid="{2380CFAD-9248-4448-A073-0D07F0109A1A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'Flujo de caja año 2'!C28:N28</xm:f>
              <xm:sqref>P28</xm:sqref>
            </x14:sparkline>
          </x14:sparklines>
        </x14:sparklineGroup>
        <x14:sparklineGroup displayEmptyCellsAs="gap" xr2:uid="{FABE9F2E-22D9-49E8-A292-C5D5A2C8997B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2'!C32:N32</xm:f>
              <xm:sqref>P32</xm:sqref>
            </x14:sparkline>
          </x14:sparklines>
        </x14:sparklineGroup>
        <x14:sparklineGroup displayEmptyCellsAs="gap" xr2:uid="{64C545B8-E156-4D79-B332-F51720B5C321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2'!C35:N35</xm:f>
              <xm:sqref>P35</xm:sqref>
            </x14:sparkline>
          </x14:sparklines>
        </x14:sparklineGroup>
        <x14:sparklineGroup displayEmptyCellsAs="gap" xr2:uid="{27AF23EA-2548-429A-87C8-A8F921A9FD07}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'Flujo de caja año 2'!C31:N31</xm:f>
              <xm:sqref>P31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5966-1105-41A3-9E4F-4D5174CBFEF6}">
  <dimension ref="A1:K27"/>
  <sheetViews>
    <sheetView workbookViewId="0">
      <selection activeCell="F9" sqref="F9"/>
    </sheetView>
  </sheetViews>
  <sheetFormatPr baseColWidth="10" defaultColWidth="10.81640625" defaultRowHeight="14" x14ac:dyDescent="0.3"/>
  <cols>
    <col min="1" max="1" width="10.81640625" style="4"/>
    <col min="2" max="2" width="16.81640625" style="2" bestFit="1" customWidth="1"/>
    <col min="3" max="3" width="15.1796875" style="3" customWidth="1"/>
    <col min="4" max="4" width="10.81640625" style="2"/>
    <col min="5" max="5" width="16.453125" style="2" customWidth="1"/>
    <col min="6" max="6" width="17" style="130" customWidth="1"/>
    <col min="7" max="7" width="10.81640625" style="2" customWidth="1"/>
    <col min="8" max="8" width="10.81640625" style="44" customWidth="1"/>
    <col min="9" max="9" width="15.54296875" style="44" customWidth="1"/>
    <col min="10" max="10" width="15.54296875" style="2" customWidth="1"/>
    <col min="11" max="11" width="10.81640625" style="43"/>
    <col min="12" max="16384" width="10.81640625" style="2"/>
  </cols>
  <sheetData>
    <row r="1" spans="1:11" x14ac:dyDescent="0.3">
      <c r="B1" s="192" t="s">
        <v>30</v>
      </c>
      <c r="C1" s="192"/>
      <c r="D1" s="192"/>
      <c r="E1" s="192"/>
      <c r="F1" s="192"/>
    </row>
    <row r="2" spans="1:11" x14ac:dyDescent="0.3">
      <c r="B2" s="193" t="s">
        <v>47</v>
      </c>
      <c r="C2" s="193"/>
      <c r="D2" s="193"/>
      <c r="E2" s="193"/>
      <c r="F2" s="193"/>
    </row>
    <row r="3" spans="1:11" x14ac:dyDescent="0.3">
      <c r="B3" s="188"/>
      <c r="C3" s="189"/>
      <c r="D3" s="189"/>
      <c r="E3" s="189"/>
    </row>
    <row r="4" spans="1:11" x14ac:dyDescent="0.3">
      <c r="B4" s="189" t="s">
        <v>31</v>
      </c>
      <c r="C4" s="189"/>
      <c r="D4" s="189"/>
      <c r="E4" s="189"/>
      <c r="F4" s="189"/>
    </row>
    <row r="5" spans="1:11" x14ac:dyDescent="0.3">
      <c r="F5" s="2"/>
    </row>
    <row r="6" spans="1:11" ht="26" x14ac:dyDescent="0.3">
      <c r="B6" s="46"/>
      <c r="C6" s="47"/>
      <c r="D6" s="46"/>
      <c r="E6" s="131" t="s">
        <v>57</v>
      </c>
      <c r="F6" s="46" t="s">
        <v>56</v>
      </c>
      <c r="G6" s="46"/>
      <c r="I6" s="48" t="s">
        <v>69</v>
      </c>
      <c r="J6" s="48" t="s">
        <v>68</v>
      </c>
      <c r="K6" s="53" t="s">
        <v>70</v>
      </c>
    </row>
    <row r="7" spans="1:11" s="4" customFormat="1" ht="23.15" customHeight="1" x14ac:dyDescent="0.35">
      <c r="A7" s="4">
        <v>4105</v>
      </c>
      <c r="B7" s="190" t="s">
        <v>48</v>
      </c>
      <c r="C7" s="190"/>
      <c r="D7" s="190"/>
      <c r="E7" s="10">
        <f>'Contabilización Año 1'!Q88*-1</f>
        <v>265256644.72814053</v>
      </c>
      <c r="F7" s="132">
        <f>-'Contabilización Año 2'!Q114</f>
        <v>405955443.16430277</v>
      </c>
      <c r="I7" s="45">
        <f>F7/$F$7</f>
        <v>1</v>
      </c>
      <c r="J7" s="45">
        <f>E7/$E$7</f>
        <v>1</v>
      </c>
      <c r="K7" s="45">
        <f t="shared" ref="K7:K14" si="0">F7/E7-1</f>
        <v>0.53042516081119606</v>
      </c>
    </row>
    <row r="8" spans="1:11" s="4" customFormat="1" ht="29.5" customHeight="1" x14ac:dyDescent="0.35">
      <c r="A8" s="4">
        <v>6</v>
      </c>
      <c r="B8" s="191" t="s">
        <v>207</v>
      </c>
      <c r="C8" s="191"/>
      <c r="D8" s="191"/>
      <c r="E8" s="5">
        <f>'Contabilización Año 1'!Q56+'Contabilización Año 1'!Q84</f>
        <v>7000000</v>
      </c>
      <c r="F8" s="133">
        <f>'Contabilización Año 2'!Q56+'Contabilización Año 2'!Q81</f>
        <v>7350000</v>
      </c>
      <c r="G8" s="49"/>
      <c r="I8" s="50">
        <f>F8/$F$7</f>
        <v>1.8105435273164269E-2</v>
      </c>
      <c r="J8" s="50">
        <f t="shared" ref="J8:J20" si="1">E8/$E$7</f>
        <v>2.6389536847132501E-2</v>
      </c>
      <c r="K8" s="50">
        <f t="shared" si="0"/>
        <v>5.0000000000000044E-2</v>
      </c>
    </row>
    <row r="9" spans="1:11" s="4" customFormat="1" ht="23.15" customHeight="1" x14ac:dyDescent="0.35">
      <c r="B9" s="195" t="s">
        <v>49</v>
      </c>
      <c r="C9" s="195"/>
      <c r="D9" s="195"/>
      <c r="E9" s="6">
        <f>E7-E8</f>
        <v>258256644.72814053</v>
      </c>
      <c r="F9" s="134">
        <f>F7-F8</f>
        <v>398605443.16430277</v>
      </c>
      <c r="I9" s="45">
        <f t="shared" ref="I9:I20" si="2">F9/$F$7</f>
        <v>0.98189456472683578</v>
      </c>
      <c r="J9" s="45">
        <f t="shared" si="1"/>
        <v>0.97361046315286748</v>
      </c>
      <c r="K9" s="45">
        <f t="shared" si="0"/>
        <v>0.54344699856185086</v>
      </c>
    </row>
    <row r="10" spans="1:11" s="4" customFormat="1" ht="109.5" customHeight="1" x14ac:dyDescent="0.35">
      <c r="A10" s="4">
        <v>5295</v>
      </c>
      <c r="B10" s="196" t="s">
        <v>247</v>
      </c>
      <c r="C10" s="197"/>
      <c r="D10" s="197"/>
      <c r="E10" s="7">
        <f>'Contabilización Año 1'!Q45+'Contabilización Año 1'!Q49+'Contabilización Año 1'!Q62+'Contabilización Año 1'!Q65+'Contabilización Año 1'!Q68+'Contabilización Año 1'!Q78+'Flujo de caja año 1'!O20</f>
        <v>33635000</v>
      </c>
      <c r="F10" s="135">
        <f>'Contabilización Año 2'!Q45+'Contabilización Año 2'!Q49+'Contabilización Año 2'!Q62+'Contabilización Año 2'!Q65+'Contabilización Año 2'!Q68+'Contabilización Año 2'!Q78++'Contabilización Año 2'!Q94+'Contabilización Año 2'!Q100+'Contabilización Año 2'!Q103</f>
        <v>39632721.828002833</v>
      </c>
      <c r="I10" s="45">
        <f>F10/$F$7</f>
        <v>9.7628255749146936E-2</v>
      </c>
      <c r="J10" s="45">
        <f t="shared" si="1"/>
        <v>0.12680172455047167</v>
      </c>
      <c r="K10" s="45">
        <f t="shared" si="0"/>
        <v>0.17831787804378862</v>
      </c>
    </row>
    <row r="11" spans="1:11" s="4" customFormat="1" ht="24" customHeight="1" x14ac:dyDescent="0.35">
      <c r="A11" s="4">
        <v>5205</v>
      </c>
      <c r="B11" s="196" t="s">
        <v>208</v>
      </c>
      <c r="C11" s="197"/>
      <c r="D11" s="197"/>
      <c r="E11" s="7">
        <f>'Flujo de caja año 1'!O12</f>
        <v>193499594.95199999</v>
      </c>
      <c r="F11" s="135">
        <f>'Flujo de caja año 2'!O12</f>
        <v>318246366.89999998</v>
      </c>
      <c r="I11" s="45">
        <f>F11/$F$7</f>
        <v>0.78394408120103909</v>
      </c>
      <c r="J11" s="45">
        <f t="shared" ref="J11:J14" si="3">E11/$E$7</f>
        <v>0.72948067012728834</v>
      </c>
      <c r="K11" s="45">
        <f t="shared" si="0"/>
        <v>0.64468750944385689</v>
      </c>
    </row>
    <row r="12" spans="1:11" s="4" customFormat="1" ht="24" customHeight="1" x14ac:dyDescent="0.35">
      <c r="B12" s="196" t="s">
        <v>223</v>
      </c>
      <c r="C12" s="197"/>
      <c r="D12" s="197"/>
      <c r="E12" s="164">
        <f>'Contabilización Año 1'!Q81</f>
        <v>0</v>
      </c>
      <c r="F12" s="135">
        <f>'Flujo de caja año 2'!O21</f>
        <v>3752721.8280028328</v>
      </c>
      <c r="I12" s="139">
        <f>F12/$F$7</f>
        <v>9.244171721781767E-3</v>
      </c>
      <c r="J12" s="139">
        <f>E12/$E$7</f>
        <v>0</v>
      </c>
      <c r="K12" s="45" t="e">
        <f t="shared" si="0"/>
        <v>#DIV/0!</v>
      </c>
    </row>
    <row r="13" spans="1:11" s="4" customFormat="1" ht="23.15" customHeight="1" x14ac:dyDescent="0.35">
      <c r="A13" s="4">
        <v>5260</v>
      </c>
      <c r="B13" s="195" t="s">
        <v>50</v>
      </c>
      <c r="C13" s="195"/>
      <c r="D13" s="195"/>
      <c r="E13" s="7">
        <f>'Contabilización Año 1'!Q74</f>
        <v>3116663</v>
      </c>
      <c r="F13" s="135">
        <f>'Contabilización Año 2'!Q74</f>
        <v>2499999.9999999995</v>
      </c>
      <c r="I13" s="45">
        <f>F13/$F$7</f>
        <v>6.1583113174028111E-3</v>
      </c>
      <c r="J13" s="45">
        <f t="shared" si="3"/>
        <v>1.1749613296942076E-2</v>
      </c>
      <c r="K13" s="45">
        <f t="shared" si="0"/>
        <v>-0.19786001887274962</v>
      </c>
    </row>
    <row r="14" spans="1:11" s="4" customFormat="1" ht="23.15" customHeight="1" x14ac:dyDescent="0.35">
      <c r="B14" s="195" t="s">
        <v>51</v>
      </c>
      <c r="C14" s="195"/>
      <c r="D14" s="195"/>
      <c r="E14" s="6">
        <f>E9-SUM(E10:E13)</f>
        <v>28005386.776140541</v>
      </c>
      <c r="F14" s="134">
        <f>F9-SUM(F10:F13)</f>
        <v>34473632.608297169</v>
      </c>
      <c r="I14" s="45">
        <f>F14/$F$7</f>
        <v>8.4919744737465247E-2</v>
      </c>
      <c r="J14" s="45">
        <f t="shared" si="3"/>
        <v>0.10557845517816544</v>
      </c>
      <c r="K14" s="45">
        <f t="shared" si="0"/>
        <v>0.23096434567607238</v>
      </c>
    </row>
    <row r="15" spans="1:11" s="4" customFormat="1" ht="23.15" customHeight="1" x14ac:dyDescent="0.35">
      <c r="B15" s="198" t="s">
        <v>52</v>
      </c>
      <c r="C15" s="198"/>
      <c r="D15" s="198"/>
      <c r="E15" s="5">
        <v>0</v>
      </c>
      <c r="F15" s="133">
        <v>0</v>
      </c>
      <c r="G15" s="49"/>
      <c r="I15" s="50">
        <f t="shared" si="2"/>
        <v>0</v>
      </c>
      <c r="J15" s="50">
        <f t="shared" si="1"/>
        <v>0</v>
      </c>
      <c r="K15" s="50"/>
    </row>
    <row r="16" spans="1:11" s="4" customFormat="1" ht="23.15" customHeight="1" x14ac:dyDescent="0.35">
      <c r="B16" s="190" t="s">
        <v>209</v>
      </c>
      <c r="C16" s="190"/>
      <c r="D16" s="190"/>
      <c r="E16" s="10">
        <f>E14</f>
        <v>28005386.776140541</v>
      </c>
      <c r="F16" s="132">
        <f>F14</f>
        <v>34473632.608297169</v>
      </c>
      <c r="I16" s="45">
        <f t="shared" ref="I16" si="4">F16/$F$7</f>
        <v>8.4919744737465247E-2</v>
      </c>
      <c r="J16" s="45">
        <f t="shared" ref="J16" si="5">E16/$E$7</f>
        <v>0.10557845517816544</v>
      </c>
      <c r="K16" s="45">
        <f>F16/E16-1</f>
        <v>0.23096434567607238</v>
      </c>
    </row>
    <row r="17" spans="2:11" s="4" customFormat="1" ht="23.15" customHeight="1" x14ac:dyDescent="0.35">
      <c r="B17" s="198" t="s">
        <v>53</v>
      </c>
      <c r="C17" s="198"/>
      <c r="D17" s="198"/>
      <c r="E17" s="5">
        <v>0</v>
      </c>
      <c r="F17" s="133">
        <v>0</v>
      </c>
      <c r="G17" s="49"/>
      <c r="I17" s="50">
        <f t="shared" si="2"/>
        <v>0</v>
      </c>
      <c r="J17" s="50">
        <f t="shared" si="1"/>
        <v>0</v>
      </c>
      <c r="K17" s="50"/>
    </row>
    <row r="18" spans="2:11" s="4" customFormat="1" ht="23.15" customHeight="1" x14ac:dyDescent="0.35">
      <c r="B18" s="195" t="s">
        <v>54</v>
      </c>
      <c r="C18" s="195"/>
      <c r="D18" s="195"/>
      <c r="E18" s="6">
        <f>E16-E17</f>
        <v>28005386.776140541</v>
      </c>
      <c r="F18" s="134">
        <f>F16-F17</f>
        <v>34473632.608297169</v>
      </c>
      <c r="I18" s="45">
        <f t="shared" si="2"/>
        <v>8.4919744737465247E-2</v>
      </c>
      <c r="J18" s="45">
        <f t="shared" si="1"/>
        <v>0.10557845517816544</v>
      </c>
      <c r="K18" s="45">
        <f>F18/E18-1</f>
        <v>0.23096434567607238</v>
      </c>
    </row>
    <row r="19" spans="2:11" s="4" customFormat="1" ht="23.15" customHeight="1" x14ac:dyDescent="0.35">
      <c r="B19" s="198" t="s">
        <v>3</v>
      </c>
      <c r="C19" s="198"/>
      <c r="D19" s="198"/>
      <c r="E19" s="5">
        <f>E18*0.33</f>
        <v>9241777.6361263786</v>
      </c>
      <c r="F19" s="133">
        <f>F18*0.33</f>
        <v>11376298.760738065</v>
      </c>
      <c r="G19" s="49"/>
      <c r="I19" s="50">
        <f t="shared" si="2"/>
        <v>2.8023515763363527E-2</v>
      </c>
      <c r="J19" s="50">
        <f t="shared" si="1"/>
        <v>3.4840890208794599E-2</v>
      </c>
      <c r="K19" s="50">
        <f>F19/E19-1</f>
        <v>0.23096434567607216</v>
      </c>
    </row>
    <row r="20" spans="2:11" s="4" customFormat="1" ht="23.15" customHeight="1" x14ac:dyDescent="0.35">
      <c r="B20" s="199" t="s">
        <v>55</v>
      </c>
      <c r="C20" s="199"/>
      <c r="D20" s="199"/>
      <c r="E20" s="8">
        <f>E18-E19</f>
        <v>18763609.140014164</v>
      </c>
      <c r="F20" s="136">
        <f>F18-F19</f>
        <v>23097333.847559102</v>
      </c>
      <c r="G20" s="51"/>
      <c r="I20" s="52">
        <f t="shared" si="2"/>
        <v>5.6896228974101709E-2</v>
      </c>
      <c r="J20" s="52">
        <f t="shared" si="1"/>
        <v>7.073756496937085E-2</v>
      </c>
      <c r="K20" s="52">
        <f>(F20/E20-1)*1</f>
        <v>0.23096434567607216</v>
      </c>
    </row>
    <row r="21" spans="2:11" x14ac:dyDescent="0.3">
      <c r="B21" s="194"/>
      <c r="C21" s="194"/>
      <c r="D21" s="194"/>
      <c r="E21" s="3"/>
    </row>
    <row r="27" spans="2:11" x14ac:dyDescent="0.3">
      <c r="B27" s="11"/>
    </row>
  </sheetData>
  <mergeCells count="19">
    <mergeCell ref="B21:D21"/>
    <mergeCell ref="B9:D9"/>
    <mergeCell ref="B10:D10"/>
    <mergeCell ref="B13:D13"/>
    <mergeCell ref="B14:D14"/>
    <mergeCell ref="B15:D15"/>
    <mergeCell ref="B16:D16"/>
    <mergeCell ref="B17:D17"/>
    <mergeCell ref="B18:D18"/>
    <mergeCell ref="B19:D19"/>
    <mergeCell ref="B20:D20"/>
    <mergeCell ref="B11:D11"/>
    <mergeCell ref="B12:D12"/>
    <mergeCell ref="B3:E3"/>
    <mergeCell ref="B7:D7"/>
    <mergeCell ref="B8:D8"/>
    <mergeCell ref="B1:F1"/>
    <mergeCell ref="B2:F2"/>
    <mergeCell ref="B4:F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8A53-AB45-4736-B9C6-19D9876121B6}">
  <dimension ref="A1:P287"/>
  <sheetViews>
    <sheetView topLeftCell="E72" zoomScale="115" zoomScaleNormal="115" workbookViewId="0">
      <selection activeCell="M59" sqref="M59"/>
    </sheetView>
  </sheetViews>
  <sheetFormatPr baseColWidth="10" defaultColWidth="10.81640625" defaultRowHeight="14" x14ac:dyDescent="0.3"/>
  <cols>
    <col min="1" max="1" width="17.26953125" style="2" bestFit="1" customWidth="1"/>
    <col min="2" max="2" width="35.81640625" style="2" bestFit="1" customWidth="1"/>
    <col min="3" max="3" width="12.54296875" style="2" customWidth="1"/>
    <col min="4" max="4" width="13.7265625" style="2" hidden="1" customWidth="1"/>
    <col min="5" max="5" width="13.81640625" style="2" customWidth="1"/>
    <col min="6" max="7" width="15.453125" style="2" customWidth="1"/>
    <col min="8" max="8" width="15.7265625" style="2" customWidth="1"/>
    <col min="9" max="11" width="10.81640625" style="2"/>
    <col min="12" max="12" width="14.81640625" style="2" bestFit="1" customWidth="1"/>
    <col min="13" max="14" width="16.453125" style="2" bestFit="1" customWidth="1"/>
    <col min="15" max="16384" width="10.81640625" style="2"/>
  </cols>
  <sheetData>
    <row r="1" spans="1:14" ht="18" x14ac:dyDescent="0.4">
      <c r="A1" s="206" t="s">
        <v>30</v>
      </c>
      <c r="B1" s="206"/>
      <c r="C1" s="206"/>
      <c r="D1" s="206"/>
    </row>
    <row r="2" spans="1:14" ht="18" x14ac:dyDescent="0.4">
      <c r="A2" s="207" t="s">
        <v>121</v>
      </c>
      <c r="B2" s="207"/>
      <c r="C2" s="207"/>
      <c r="D2" s="207"/>
    </row>
    <row r="3" spans="1:14" x14ac:dyDescent="0.3">
      <c r="A3" s="210"/>
      <c r="B3" s="208"/>
      <c r="C3" s="208"/>
      <c r="D3" s="208"/>
    </row>
    <row r="4" spans="1:14" x14ac:dyDescent="0.3">
      <c r="A4" s="208" t="s">
        <v>31</v>
      </c>
      <c r="B4" s="208"/>
      <c r="C4" s="208"/>
      <c r="D4" s="208"/>
    </row>
    <row r="5" spans="1:14" x14ac:dyDescent="0.3">
      <c r="A5" s="55"/>
      <c r="B5" s="56"/>
      <c r="C5" s="56"/>
      <c r="D5" s="57"/>
    </row>
    <row r="6" spans="1:14" ht="26" x14ac:dyDescent="0.3">
      <c r="A6" s="58"/>
      <c r="B6" s="58"/>
      <c r="C6" s="14" t="s">
        <v>57</v>
      </c>
      <c r="D6" s="14" t="s">
        <v>56</v>
      </c>
      <c r="E6" s="14" t="s">
        <v>56</v>
      </c>
      <c r="F6" s="14" t="s">
        <v>58</v>
      </c>
      <c r="G6" s="14" t="s">
        <v>59</v>
      </c>
      <c r="H6" s="14" t="s">
        <v>70</v>
      </c>
      <c r="K6" s="143" t="s">
        <v>71</v>
      </c>
    </row>
    <row r="7" spans="1:14" x14ac:dyDescent="0.3">
      <c r="A7" s="33" t="s">
        <v>32</v>
      </c>
      <c r="B7" s="34"/>
      <c r="C7" s="16"/>
      <c r="D7" s="16"/>
      <c r="E7" s="35"/>
      <c r="F7" s="35"/>
      <c r="G7" s="35"/>
      <c r="H7" s="46"/>
    </row>
    <row r="8" spans="1:14" x14ac:dyDescent="0.3">
      <c r="A8" s="12"/>
      <c r="B8" s="12" t="s">
        <v>33</v>
      </c>
      <c r="C8" s="17">
        <f>'Flujo de caja año 1'!N36</f>
        <v>46332498.658007011</v>
      </c>
      <c r="D8" s="17">
        <f>+'Flujo de caja año 2'!O38-C8</f>
        <v>-36528605.61999733</v>
      </c>
      <c r="E8" s="137">
        <f>+C8+D8</f>
        <v>9803893.0380096808</v>
      </c>
      <c r="F8" s="18">
        <f>C8/$C$21</f>
        <v>0.48630545370626188</v>
      </c>
      <c r="G8" s="18">
        <f>E8/$E$21</f>
        <v>9.118549011347421E-2</v>
      </c>
      <c r="H8" s="43">
        <f>E8/C8-1</f>
        <v>-0.78840137437061342</v>
      </c>
    </row>
    <row r="9" spans="1:14" x14ac:dyDescent="0.3">
      <c r="A9" s="12"/>
      <c r="B9" s="12" t="s">
        <v>34</v>
      </c>
      <c r="C9" s="17">
        <v>0</v>
      </c>
      <c r="D9" s="17">
        <v>0</v>
      </c>
      <c r="E9" s="137">
        <f t="shared" ref="E9:E12" si="0">+C9+D9</f>
        <v>0</v>
      </c>
      <c r="F9" s="18"/>
      <c r="G9" s="18"/>
    </row>
    <row r="10" spans="1:14" x14ac:dyDescent="0.3">
      <c r="A10" s="12"/>
      <c r="B10" s="12" t="s">
        <v>35</v>
      </c>
      <c r="C10" s="17">
        <v>0</v>
      </c>
      <c r="D10" s="17">
        <v>0</v>
      </c>
      <c r="E10" s="137">
        <f t="shared" si="0"/>
        <v>0</v>
      </c>
      <c r="F10" s="18"/>
      <c r="G10" s="18"/>
      <c r="K10" s="200" t="s">
        <v>72</v>
      </c>
      <c r="L10" s="201"/>
      <c r="M10" s="54" t="s">
        <v>57</v>
      </c>
      <c r="N10" s="54" t="s">
        <v>56</v>
      </c>
    </row>
    <row r="11" spans="1:14" x14ac:dyDescent="0.3">
      <c r="A11" s="12">
        <v>1705</v>
      </c>
      <c r="B11" s="12" t="s">
        <v>36</v>
      </c>
      <c r="C11" s="121">
        <f>'Contabilización Año 1'!Q55</f>
        <v>1.0477378964424133E-9</v>
      </c>
      <c r="D11" s="17">
        <v>0</v>
      </c>
      <c r="E11" s="137">
        <f t="shared" si="0"/>
        <v>1.0477378964424133E-9</v>
      </c>
      <c r="F11" s="18"/>
      <c r="G11" s="18"/>
      <c r="K11" s="59" t="str">
        <f>B13</f>
        <v>Total, activos corrientes</v>
      </c>
      <c r="L11" s="59"/>
      <c r="M11" s="60">
        <f>C13</f>
        <v>76391145.504801929</v>
      </c>
      <c r="N11" s="60">
        <f>E13</f>
        <v>88632599.583289653</v>
      </c>
    </row>
    <row r="12" spans="1:14" x14ac:dyDescent="0.3">
      <c r="A12" s="12">
        <v>13</v>
      </c>
      <c r="B12" s="12" t="s">
        <v>204</v>
      </c>
      <c r="C12" s="17">
        <f>'Contabilización Año 1'!Q90+'Contabilización Año 1'!Q91+'Contabilización Año 1'!Q92+'Contabilización Año 1'!Q101</f>
        <v>30058646.846794926</v>
      </c>
      <c r="D12" s="17">
        <f>SUMIF('Contabilización Año 2'!B:B,'Balance general'!A12,'Contabilización Año 2'!Q:Q)</f>
        <v>48770059.698485039</v>
      </c>
      <c r="E12" s="137">
        <f t="shared" si="0"/>
        <v>78828706.545279965</v>
      </c>
      <c r="F12" s="18"/>
      <c r="G12" s="18"/>
      <c r="K12" s="59" t="str">
        <f>B28</f>
        <v>Total, pasivos corrientes</v>
      </c>
      <c r="L12" s="59"/>
      <c r="M12" s="60">
        <f>C28</f>
        <v>52910873.364787765</v>
      </c>
      <c r="N12" s="60">
        <f>E28</f>
        <v>42054993.595716387</v>
      </c>
    </row>
    <row r="13" spans="1:14" x14ac:dyDescent="0.3">
      <c r="A13" s="12"/>
      <c r="B13" s="13" t="s">
        <v>60</v>
      </c>
      <c r="C13" s="19">
        <f>SUM(C8:C12)</f>
        <v>76391145.504801929</v>
      </c>
      <c r="D13" s="19">
        <f>SUM(D8:D12)</f>
        <v>12241454.078487709</v>
      </c>
      <c r="E13" s="19">
        <f>SUM(E8:E12)</f>
        <v>88632599.583289653</v>
      </c>
      <c r="F13" s="18">
        <f>C13/$C$21</f>
        <v>0.80180071763588645</v>
      </c>
      <c r="G13" s="18">
        <f>E13/$E$21</f>
        <v>0.82436711637914095</v>
      </c>
      <c r="H13" s="43">
        <f>E13/C13-1</f>
        <v>0.16024702859990803</v>
      </c>
      <c r="K13" s="59" t="s">
        <v>72</v>
      </c>
      <c r="L13" s="59"/>
      <c r="M13" s="61">
        <f>M11/M12</f>
        <v>1.4437702620807675</v>
      </c>
      <c r="N13" s="61">
        <f>N11/N12</f>
        <v>2.1075404370604289</v>
      </c>
    </row>
    <row r="14" spans="1:14" x14ac:dyDescent="0.3">
      <c r="A14" s="12"/>
      <c r="B14" s="13"/>
      <c r="C14" s="20"/>
      <c r="D14" s="20"/>
      <c r="E14" s="15"/>
      <c r="F14" s="21"/>
      <c r="G14" s="21"/>
    </row>
    <row r="15" spans="1:14" x14ac:dyDescent="0.3">
      <c r="A15" s="12"/>
      <c r="B15" s="12" t="s">
        <v>37</v>
      </c>
      <c r="C15" s="17">
        <v>0</v>
      </c>
      <c r="D15" s="17">
        <v>0</v>
      </c>
      <c r="E15" s="137">
        <f t="shared" ref="E15:E18" si="1">+C15+D15</f>
        <v>0</v>
      </c>
      <c r="F15" s="18"/>
      <c r="G15" s="18"/>
    </row>
    <row r="16" spans="1:14" x14ac:dyDescent="0.3">
      <c r="A16" s="12">
        <v>1524</v>
      </c>
      <c r="B16" s="12" t="s">
        <v>38</v>
      </c>
      <c r="C16" s="17">
        <f>'Contabilización Año 1'!Q6</f>
        <v>10000000</v>
      </c>
      <c r="D16" s="17">
        <f>SUMIF('Contabilización Año 2'!B:B,'Balance general'!A16,'Contabilización Año 2'!Q:Q)</f>
        <v>1000000</v>
      </c>
      <c r="E16" s="137">
        <f t="shared" si="1"/>
        <v>11000000</v>
      </c>
      <c r="F16" s="18">
        <f>C16/$C$21</f>
        <v>0.10495990239935406</v>
      </c>
      <c r="G16" s="18">
        <f>E16/$E$21</f>
        <v>0.10231041764321887</v>
      </c>
      <c r="H16" s="62">
        <f>E16/C16-1</f>
        <v>0.10000000000000009</v>
      </c>
    </row>
    <row r="17" spans="1:16" x14ac:dyDescent="0.3">
      <c r="A17" s="12">
        <v>1528</v>
      </c>
      <c r="B17" s="12" t="s">
        <v>61</v>
      </c>
      <c r="C17" s="17">
        <f>'Contabilización Año 1'!Q7</f>
        <v>12000000</v>
      </c>
      <c r="D17" s="17">
        <f>SUMIF('Contabilización Año 2'!B:B,'Balance general'!A17,'Contabilización Año 2'!Q:Q)</f>
        <v>1500000</v>
      </c>
      <c r="E17" s="137">
        <f t="shared" si="1"/>
        <v>13500000</v>
      </c>
      <c r="F17" s="18"/>
      <c r="G17" s="18"/>
      <c r="H17" s="43"/>
      <c r="K17" s="143" t="s">
        <v>73</v>
      </c>
    </row>
    <row r="18" spans="1:16" x14ac:dyDescent="0.3">
      <c r="A18" s="12">
        <v>1592</v>
      </c>
      <c r="B18" s="12" t="s">
        <v>203</v>
      </c>
      <c r="C18" s="17">
        <f>('Contabilización Año 1'!Q75+'Contabilización Año 1'!Q76)</f>
        <v>-3116666.666666667</v>
      </c>
      <c r="D18" s="17">
        <f>SUMIF('Contabilización Año 2'!B:B,'Balance general'!A18,'Contabilización Año 2'!Q:Q)</f>
        <v>-2500000</v>
      </c>
      <c r="E18" s="137">
        <f t="shared" si="1"/>
        <v>-5616666.666666667</v>
      </c>
      <c r="F18" s="18"/>
      <c r="G18" s="18"/>
      <c r="H18" s="43"/>
    </row>
    <row r="19" spans="1:16" x14ac:dyDescent="0.3">
      <c r="A19" s="12"/>
      <c r="B19" s="13" t="s">
        <v>62</v>
      </c>
      <c r="C19" s="22">
        <f>SUM(C15:C18)</f>
        <v>18883333.333333332</v>
      </c>
      <c r="D19" s="22">
        <f>SUM(D15:D18)</f>
        <v>0</v>
      </c>
      <c r="E19" s="22">
        <f>SUM(E15:E18)</f>
        <v>18883333.333333332</v>
      </c>
      <c r="F19" s="18">
        <f>C19/$C$21</f>
        <v>0.19819928236411355</v>
      </c>
      <c r="G19" s="18">
        <f>E19/$E$21</f>
        <v>0.17563288362085905</v>
      </c>
      <c r="H19" s="43">
        <f>E19/C19-1</f>
        <v>0</v>
      </c>
    </row>
    <row r="20" spans="1:16" x14ac:dyDescent="0.3">
      <c r="A20" s="12"/>
      <c r="B20" s="13"/>
      <c r="C20" s="23"/>
      <c r="D20" s="23"/>
      <c r="E20" s="15"/>
      <c r="F20" s="18"/>
      <c r="G20" s="18"/>
      <c r="H20" s="43"/>
    </row>
    <row r="21" spans="1:16" ht="14.5" thickBot="1" x14ac:dyDescent="0.35">
      <c r="A21" s="209" t="s">
        <v>63</v>
      </c>
      <c r="B21" s="209"/>
      <c r="C21" s="24">
        <f>C19+C13</f>
        <v>95274478.838135257</v>
      </c>
      <c r="D21" s="24">
        <f>D19+D13</f>
        <v>12241454.078487709</v>
      </c>
      <c r="E21" s="24">
        <f>E19+E13</f>
        <v>107515932.91662298</v>
      </c>
      <c r="F21" s="18">
        <f>C21/$C$21</f>
        <v>1</v>
      </c>
      <c r="G21" s="18">
        <f>E21/$E$21</f>
        <v>1</v>
      </c>
      <c r="H21" s="43">
        <f>E21/C21-1</f>
        <v>0.12848618253042465</v>
      </c>
    </row>
    <row r="22" spans="1:16" ht="14.5" thickTop="1" x14ac:dyDescent="0.3">
      <c r="A22" s="36"/>
      <c r="B22" s="34"/>
      <c r="C22" s="37"/>
      <c r="D22" s="37"/>
      <c r="E22" s="35"/>
      <c r="F22" s="38"/>
      <c r="G22" s="35"/>
      <c r="H22" s="46"/>
      <c r="K22" s="200" t="s">
        <v>74</v>
      </c>
      <c r="L22" s="201"/>
      <c r="M22" s="54" t="s">
        <v>57</v>
      </c>
      <c r="N22" s="54" t="s">
        <v>56</v>
      </c>
    </row>
    <row r="23" spans="1:16" x14ac:dyDescent="0.3">
      <c r="A23" s="39" t="s">
        <v>39</v>
      </c>
      <c r="B23" s="40"/>
      <c r="C23" s="25"/>
      <c r="D23" s="25"/>
      <c r="E23" s="41"/>
      <c r="F23" s="26"/>
      <c r="G23" s="41"/>
      <c r="H23" s="9"/>
      <c r="K23" s="200" t="str">
        <f>A30</f>
        <v>TOTAL, PASIVOS</v>
      </c>
      <c r="L23" s="201"/>
      <c r="M23" s="60">
        <f>C30</f>
        <v>52910873.364787765</v>
      </c>
      <c r="N23" s="60">
        <f>E30</f>
        <v>42054993.595716387</v>
      </c>
    </row>
    <row r="24" spans="1:16" x14ac:dyDescent="0.3">
      <c r="A24" s="12"/>
      <c r="B24" s="13" t="s">
        <v>40</v>
      </c>
      <c r="C24" s="23"/>
      <c r="D24" s="23"/>
      <c r="E24" s="15"/>
      <c r="F24" s="27"/>
      <c r="G24" s="15"/>
      <c r="K24" s="200" t="str">
        <f>A37</f>
        <v>TOTAL, PATRIMONIO</v>
      </c>
      <c r="L24" s="201"/>
      <c r="M24" s="60">
        <f>C37</f>
        <v>42363609.140014164</v>
      </c>
      <c r="N24" s="60">
        <f>E37</f>
        <v>65460942.987573266</v>
      </c>
    </row>
    <row r="25" spans="1:16" x14ac:dyDescent="0.3">
      <c r="A25" s="12">
        <v>2105</v>
      </c>
      <c r="B25" s="12" t="s">
        <v>205</v>
      </c>
      <c r="C25" s="17">
        <f>'Contabilización Año 1'!Q11*-1-'Contabilización Año 1'!Q71</f>
        <v>25785905.698441282</v>
      </c>
      <c r="D25" s="17">
        <f>SUMIF('Contabilización Año 2'!B:B,'Balance general'!A25,'Contabilización Año 2'!Q:Q)</f>
        <v>15506284.692609511</v>
      </c>
      <c r="E25" s="137">
        <f>+C25-D25</f>
        <v>10279621.005831771</v>
      </c>
      <c r="F25" s="27">
        <f>C25/$C$21</f>
        <v>0.27064861453873446</v>
      </c>
      <c r="G25" s="18">
        <f>E25/$E$21</f>
        <v>9.5610210756423092E-2</v>
      </c>
      <c r="H25" s="43">
        <f>E25/C25-1</f>
        <v>-0.60134729700600908</v>
      </c>
      <c r="K25" s="200" t="s">
        <v>224</v>
      </c>
      <c r="L25" s="201"/>
      <c r="M25" s="61">
        <f>M23/M24</f>
        <v>1.2489699163712489</v>
      </c>
      <c r="N25" s="61">
        <f>N23/N24</f>
        <v>0.64244405406289162</v>
      </c>
    </row>
    <row r="26" spans="1:16" x14ac:dyDescent="0.3">
      <c r="A26" s="12" t="s">
        <v>206</v>
      </c>
      <c r="B26" s="12" t="s">
        <v>41</v>
      </c>
      <c r="C26" s="17">
        <f>-1*('Contabilización Año 1'!Q50+'Contabilización Año 1'!Q51+'Contabilización Año 1'!Q52+'Contabilización Año 1'!Q57+'Contabilización Año 1'!Q58+'Contabilización Año 1'!Q59+'Contabilización Año 1'!Q89+'Contabilización Año 1'!Q94)</f>
        <v>27124967.666346483</v>
      </c>
      <c r="D26" s="17">
        <f>'Contabilización Año 2'!Q86+'Contabilización Año 2'!Q91+'Contabilización Año 2'!Q57+'Contabilización Año 2'!Q58+'Contabilización Año 2'!Q59</f>
        <v>-4650404.9235381335</v>
      </c>
      <c r="E26" s="137">
        <f>+C26-D26</f>
        <v>31775372.589884616</v>
      </c>
      <c r="F26" s="27">
        <f t="shared" ref="F26" si="2">C26/$C$21</f>
        <v>0.28470339588453614</v>
      </c>
      <c r="G26" s="18">
        <f>E26/$E$21</f>
        <v>0.29554105822181675</v>
      </c>
      <c r="H26" s="43">
        <f>E26/C26-1</f>
        <v>0.17144370385030228</v>
      </c>
    </row>
    <row r="27" spans="1:16" x14ac:dyDescent="0.3">
      <c r="A27" s="12">
        <v>2610</v>
      </c>
      <c r="B27" s="12" t="s">
        <v>42</v>
      </c>
      <c r="C27" s="17">
        <f>'Contabilización Año 1'!Q34+'Contabilización Año 1'!Q35+'Contabilización Año 1'!Q36+'Contabilización Año 1'!Q37+'Contabilización Año 1'!Q42</f>
        <v>0</v>
      </c>
      <c r="D27" s="17">
        <v>0</v>
      </c>
      <c r="E27" s="137">
        <f t="shared" ref="E27" si="3">+C27+D27</f>
        <v>0</v>
      </c>
      <c r="F27" s="27"/>
      <c r="G27" s="15"/>
      <c r="K27" s="200" t="s">
        <v>228</v>
      </c>
      <c r="L27" s="201"/>
      <c r="M27" s="54" t="s">
        <v>57</v>
      </c>
      <c r="N27" s="54" t="s">
        <v>56</v>
      </c>
    </row>
    <row r="28" spans="1:16" x14ac:dyDescent="0.3">
      <c r="A28" s="12"/>
      <c r="B28" s="13" t="s">
        <v>64</v>
      </c>
      <c r="C28" s="22">
        <f>SUM(C25:C27)</f>
        <v>52910873.364787765</v>
      </c>
      <c r="D28" s="22">
        <f>SUM(D25:D27)</f>
        <v>10855879.769071378</v>
      </c>
      <c r="E28" s="22">
        <f>SUM(E25:E27)</f>
        <v>42054993.595716387</v>
      </c>
      <c r="F28" s="27">
        <f t="shared" ref="F28" si="4">C28/$C$21</f>
        <v>0.55535201042327054</v>
      </c>
      <c r="G28" s="18">
        <f>E28/$E$21</f>
        <v>0.39115126897823982</v>
      </c>
      <c r="H28" s="43">
        <f>E28/C28-1</f>
        <v>-0.20517294610177372</v>
      </c>
      <c r="K28" s="200" t="str">
        <f>A30</f>
        <v>TOTAL, PASIVOS</v>
      </c>
      <c r="L28" s="201"/>
      <c r="M28" s="60">
        <f>C30</f>
        <v>52910873.364787765</v>
      </c>
      <c r="N28" s="60">
        <f>E30</f>
        <v>42054993.595716387</v>
      </c>
    </row>
    <row r="29" spans="1:16" x14ac:dyDescent="0.3">
      <c r="A29" s="12"/>
      <c r="B29" s="13"/>
      <c r="C29" s="20"/>
      <c r="D29" s="20"/>
      <c r="E29" s="15"/>
      <c r="F29" s="28"/>
      <c r="G29" s="15"/>
      <c r="K29" s="200" t="str">
        <f>A21</f>
        <v>TOTAL, ACTIVOS</v>
      </c>
      <c r="L29" s="201"/>
      <c r="M29" s="60">
        <f>C21</f>
        <v>95274478.838135257</v>
      </c>
      <c r="N29" s="60">
        <f>E21</f>
        <v>107515932.91662298</v>
      </c>
    </row>
    <row r="30" spans="1:16" x14ac:dyDescent="0.3">
      <c r="A30" s="209" t="s">
        <v>65</v>
      </c>
      <c r="B30" s="209"/>
      <c r="C30" s="22">
        <f>C28</f>
        <v>52910873.364787765</v>
      </c>
      <c r="D30" s="22">
        <f>D28</f>
        <v>10855879.769071378</v>
      </c>
      <c r="E30" s="22">
        <f>E28</f>
        <v>42054993.595716387</v>
      </c>
      <c r="F30" s="27">
        <f t="shared" ref="F30" si="5">C30/$C$21</f>
        <v>0.55535201042327054</v>
      </c>
      <c r="G30" s="18">
        <f>E30/$E$21</f>
        <v>0.39115126897823982</v>
      </c>
      <c r="H30" s="43">
        <f>E30/C30-1</f>
        <v>-0.20517294610177372</v>
      </c>
      <c r="K30" s="200" t="s">
        <v>225</v>
      </c>
      <c r="L30" s="201"/>
      <c r="M30" s="141">
        <f>M28/M29</f>
        <v>0.55535201042327054</v>
      </c>
      <c r="N30" s="141">
        <f>N28/N29</f>
        <v>0.39115126897823982</v>
      </c>
      <c r="P30" s="142">
        <f>1-M30</f>
        <v>0.44464798957672946</v>
      </c>
    </row>
    <row r="31" spans="1:16" x14ac:dyDescent="0.3">
      <c r="A31" s="36"/>
      <c r="B31" s="34"/>
      <c r="C31" s="42"/>
      <c r="D31" s="42"/>
      <c r="E31" s="35"/>
      <c r="F31" s="38"/>
      <c r="G31" s="35"/>
      <c r="H31" s="46"/>
    </row>
    <row r="32" spans="1:16" x14ac:dyDescent="0.3">
      <c r="A32" s="39" t="s">
        <v>43</v>
      </c>
      <c r="B32" s="40"/>
      <c r="C32" s="29"/>
      <c r="D32" s="29"/>
      <c r="E32" s="41"/>
      <c r="F32" s="30"/>
      <c r="G32" s="41"/>
      <c r="H32" s="9"/>
      <c r="K32" s="202" t="s">
        <v>226</v>
      </c>
      <c r="L32" s="203"/>
      <c r="M32" s="54" t="s">
        <v>57</v>
      </c>
      <c r="N32" s="54" t="s">
        <v>56</v>
      </c>
    </row>
    <row r="33" spans="1:14" ht="26.15" customHeight="1" x14ac:dyDescent="0.3">
      <c r="A33" s="12"/>
      <c r="B33" s="13" t="s">
        <v>44</v>
      </c>
      <c r="C33" s="20"/>
      <c r="D33" s="20"/>
      <c r="E33" s="15"/>
      <c r="F33" s="28"/>
      <c r="G33" s="15"/>
      <c r="K33" s="200" t="s">
        <v>49</v>
      </c>
      <c r="L33" s="201"/>
      <c r="M33" s="60">
        <f>'Estado de resultados'!E9</f>
        <v>258256644.72814053</v>
      </c>
      <c r="N33" s="60">
        <f>+'Estado de resultados'!F9</f>
        <v>398605443.16430277</v>
      </c>
    </row>
    <row r="34" spans="1:14" x14ac:dyDescent="0.3">
      <c r="A34" s="12">
        <v>3105</v>
      </c>
      <c r="B34" s="12" t="s">
        <v>46</v>
      </c>
      <c r="C34" s="17">
        <f>'Contabilización Año 1'!Q3*-1</f>
        <v>23600000</v>
      </c>
      <c r="D34" s="17">
        <v>0</v>
      </c>
      <c r="E34" s="137">
        <f>+C34+D34</f>
        <v>23600000</v>
      </c>
      <c r="F34" s="27">
        <f t="shared" ref="F34" si="6">C34/$C$21</f>
        <v>0.24770536966247558</v>
      </c>
      <c r="G34" s="18">
        <f>E34/$E$21</f>
        <v>0.21950235057999684</v>
      </c>
      <c r="H34" s="43">
        <f>E34/C34-1</f>
        <v>0</v>
      </c>
      <c r="K34" s="200" t="s">
        <v>227</v>
      </c>
      <c r="L34" s="201"/>
      <c r="M34" s="60">
        <f>SUM('Estado de resultados'!E10:E13)</f>
        <v>230251257.95199999</v>
      </c>
      <c r="N34" s="60">
        <f>SUM('Estado de resultados'!F10:F13)</f>
        <v>364131810.5560056</v>
      </c>
    </row>
    <row r="35" spans="1:14" x14ac:dyDescent="0.3">
      <c r="A35" s="13"/>
      <c r="B35" s="12" t="s">
        <v>211</v>
      </c>
      <c r="C35" s="17">
        <f>+'Estado de resultados'!E20</f>
        <v>18763609.140014164</v>
      </c>
      <c r="D35" s="17">
        <f>+'Estado de resultados'!F20</f>
        <v>23097333.847559102</v>
      </c>
      <c r="E35" s="137">
        <f>+C35+D35</f>
        <v>41860942.987573266</v>
      </c>
      <c r="F35" s="27"/>
      <c r="G35" s="15"/>
      <c r="K35" s="202" t="s">
        <v>226</v>
      </c>
      <c r="L35" s="203"/>
      <c r="M35" s="61">
        <f>M33/M34</f>
        <v>1.1216296797908429</v>
      </c>
      <c r="N35" s="61">
        <f>N33/N34</f>
        <v>1.0946734990158047</v>
      </c>
    </row>
    <row r="36" spans="1:14" x14ac:dyDescent="0.3">
      <c r="A36" s="13"/>
      <c r="B36" s="12"/>
      <c r="C36" s="17"/>
      <c r="D36" s="17"/>
      <c r="E36" s="15"/>
      <c r="F36" s="27"/>
      <c r="G36" s="15"/>
    </row>
    <row r="37" spans="1:14" ht="14.5" thickBot="1" x14ac:dyDescent="0.35">
      <c r="A37" s="209" t="s">
        <v>66</v>
      </c>
      <c r="B37" s="209"/>
      <c r="C37" s="24">
        <f>SUM(C34:C36)</f>
        <v>42363609.140014164</v>
      </c>
      <c r="D37" s="24">
        <f>SUM(D34:D36)</f>
        <v>23097333.847559102</v>
      </c>
      <c r="E37" s="24">
        <f>SUM(E34:E36)</f>
        <v>65460942.987573266</v>
      </c>
      <c r="F37" s="27">
        <f t="shared" ref="F37" si="7">C37/$C$21</f>
        <v>0.44464802806202702</v>
      </c>
      <c r="G37" s="18">
        <f>E37/$E$21</f>
        <v>0.60884876512523278</v>
      </c>
      <c r="H37" s="43">
        <f>E37/C37-1</f>
        <v>0.54521638539391404</v>
      </c>
    </row>
    <row r="38" spans="1:14" ht="14.5" thickTop="1" x14ac:dyDescent="0.3">
      <c r="A38" s="13"/>
      <c r="B38" s="12"/>
      <c r="C38" s="31"/>
      <c r="D38" s="31"/>
      <c r="E38" s="15"/>
      <c r="F38" s="32"/>
      <c r="G38" s="15"/>
      <c r="K38" s="143" t="s">
        <v>229</v>
      </c>
    </row>
    <row r="39" spans="1:14" ht="30" customHeight="1" thickBot="1" x14ac:dyDescent="0.35">
      <c r="A39" s="209" t="s">
        <v>67</v>
      </c>
      <c r="B39" s="209"/>
      <c r="C39" s="24">
        <f>C37+C30</f>
        <v>95274482.504801929</v>
      </c>
      <c r="D39" s="24">
        <f>D37+D30</f>
        <v>33953213.61663048</v>
      </c>
      <c r="E39" s="24">
        <f>E37+E30</f>
        <v>107515936.58328965</v>
      </c>
      <c r="F39" s="27">
        <f t="shared" ref="F39" si="8">C39/$C$21</f>
        <v>1.0000000384852976</v>
      </c>
      <c r="G39" s="18">
        <f>E39/$E$21</f>
        <v>1.0000000341034725</v>
      </c>
      <c r="H39" s="43">
        <f>E39/C39-1</f>
        <v>0.12848617758559588</v>
      </c>
    </row>
    <row r="40" spans="1:14" ht="14.5" thickTop="1" x14ac:dyDescent="0.3">
      <c r="A40" s="63"/>
      <c r="B40" s="63"/>
      <c r="C40" s="63"/>
      <c r="D40" s="64"/>
    </row>
    <row r="41" spans="1:14" x14ac:dyDescent="0.3">
      <c r="A41" s="63"/>
      <c r="B41" s="63"/>
    </row>
    <row r="42" spans="1:14" x14ac:dyDescent="0.3">
      <c r="A42" s="63"/>
      <c r="B42" s="63"/>
      <c r="C42" s="63"/>
      <c r="D42" s="64"/>
      <c r="K42" s="200"/>
      <c r="L42" s="201"/>
      <c r="M42" s="54" t="s">
        <v>57</v>
      </c>
      <c r="N42" s="54" t="s">
        <v>56</v>
      </c>
    </row>
    <row r="43" spans="1:14" x14ac:dyDescent="0.3">
      <c r="A43" s="63"/>
      <c r="B43" s="63"/>
      <c r="C43" s="63"/>
      <c r="D43" s="64"/>
      <c r="K43" s="200" t="s">
        <v>55</v>
      </c>
      <c r="L43" s="201"/>
      <c r="M43" s="60"/>
      <c r="N43" s="60">
        <f>'Estado de resultados'!F20</f>
        <v>23097333.847559102</v>
      </c>
    </row>
    <row r="44" spans="1:14" x14ac:dyDescent="0.3">
      <c r="A44" s="63"/>
      <c r="B44" s="63"/>
      <c r="C44" s="63"/>
      <c r="D44" s="64"/>
      <c r="K44" s="200" t="s">
        <v>66</v>
      </c>
      <c r="L44" s="201"/>
      <c r="M44" s="60">
        <f>C37</f>
        <v>42363609.140014164</v>
      </c>
      <c r="N44" s="60"/>
    </row>
    <row r="45" spans="1:14" x14ac:dyDescent="0.3">
      <c r="A45" s="63"/>
      <c r="B45" s="138" t="s">
        <v>217</v>
      </c>
      <c r="C45" s="150">
        <f>+C21-C39</f>
        <v>-3.6666666716337204</v>
      </c>
      <c r="D45" s="122">
        <f>+D21-D39</f>
        <v>-21711759.538142771</v>
      </c>
      <c r="E45" s="150">
        <f>+E21-E39</f>
        <v>-3.6666666716337204</v>
      </c>
      <c r="K45" s="202" t="s">
        <v>230</v>
      </c>
      <c r="L45" s="203"/>
      <c r="M45" s="204">
        <f>N43/M44</f>
        <v>0.54521638539391404</v>
      </c>
      <c r="N45" s="205"/>
    </row>
    <row r="46" spans="1:14" x14ac:dyDescent="0.3">
      <c r="A46" s="63"/>
      <c r="B46" s="63"/>
      <c r="C46" s="63"/>
      <c r="D46" s="64"/>
    </row>
    <row r="47" spans="1:14" x14ac:dyDescent="0.3">
      <c r="A47" s="63"/>
      <c r="B47" s="63"/>
      <c r="C47" s="63"/>
      <c r="D47" s="64"/>
    </row>
    <row r="48" spans="1:14" x14ac:dyDescent="0.3">
      <c r="A48" s="63"/>
      <c r="B48" s="63"/>
      <c r="C48" s="63"/>
      <c r="D48" s="64"/>
    </row>
    <row r="49" spans="1:14" x14ac:dyDescent="0.3">
      <c r="A49" s="63"/>
      <c r="B49" s="63"/>
      <c r="C49" s="63"/>
      <c r="D49" s="64"/>
    </row>
    <row r="50" spans="1:14" x14ac:dyDescent="0.3">
      <c r="A50" s="63"/>
      <c r="B50" s="63"/>
      <c r="C50" s="63"/>
      <c r="D50" s="64"/>
      <c r="K50" s="200"/>
      <c r="L50" s="201"/>
      <c r="M50" s="54" t="s">
        <v>57</v>
      </c>
      <c r="N50" s="54" t="s">
        <v>56</v>
      </c>
    </row>
    <row r="51" spans="1:14" x14ac:dyDescent="0.3">
      <c r="A51" s="63"/>
      <c r="B51" s="63"/>
      <c r="C51" s="63"/>
      <c r="D51" s="64"/>
      <c r="K51" s="200" t="str">
        <f>'Estado de resultados'!B9</f>
        <v>Utilidad bruta</v>
      </c>
      <c r="L51" s="201"/>
      <c r="M51" s="60"/>
      <c r="N51" s="60">
        <f>'Estado de resultados'!F9</f>
        <v>398605443.16430277</v>
      </c>
    </row>
    <row r="52" spans="1:14" x14ac:dyDescent="0.3">
      <c r="A52" s="63"/>
      <c r="B52" s="63"/>
      <c r="C52" s="63"/>
      <c r="D52" s="64"/>
      <c r="K52" s="200" t="str">
        <f>A21</f>
        <v>TOTAL, ACTIVOS</v>
      </c>
      <c r="L52" s="201"/>
      <c r="M52" s="60">
        <f>C21</f>
        <v>95274478.838135257</v>
      </c>
      <c r="N52" s="60"/>
    </row>
    <row r="53" spans="1:14" ht="33" customHeight="1" x14ac:dyDescent="0.3">
      <c r="A53" s="63"/>
      <c r="B53" s="63"/>
      <c r="C53" s="63"/>
      <c r="D53" s="64"/>
      <c r="K53" s="202" t="s">
        <v>231</v>
      </c>
      <c r="L53" s="203"/>
      <c r="M53" s="204">
        <f>N51/M52</f>
        <v>4.1837588410376485</v>
      </c>
      <c r="N53" s="205"/>
    </row>
    <row r="54" spans="1:14" x14ac:dyDescent="0.3">
      <c r="A54" s="63"/>
      <c r="B54" s="63"/>
      <c r="C54" s="63"/>
      <c r="D54" s="64"/>
    </row>
    <row r="55" spans="1:14" x14ac:dyDescent="0.3">
      <c r="A55" s="63"/>
      <c r="B55" s="63"/>
      <c r="C55" s="63"/>
      <c r="D55" s="64"/>
    </row>
    <row r="56" spans="1:14" x14ac:dyDescent="0.3">
      <c r="A56" s="63"/>
      <c r="B56" s="63"/>
      <c r="C56" s="63"/>
      <c r="D56" s="64"/>
      <c r="K56" s="200"/>
      <c r="L56" s="201"/>
      <c r="M56" s="54" t="s">
        <v>57</v>
      </c>
      <c r="N56" s="54" t="s">
        <v>56</v>
      </c>
    </row>
    <row r="57" spans="1:14" x14ac:dyDescent="0.3">
      <c r="A57" s="63"/>
      <c r="B57" s="63"/>
      <c r="C57" s="63"/>
      <c r="D57" s="64"/>
      <c r="K57" s="200" t="s">
        <v>55</v>
      </c>
      <c r="L57" s="201"/>
      <c r="M57" s="60">
        <f>'Estado de resultados'!E20</f>
        <v>18763609.140014164</v>
      </c>
      <c r="N57" s="60">
        <f>'Estado de resultados'!F20</f>
        <v>23097333.847559102</v>
      </c>
    </row>
    <row r="58" spans="1:14" x14ac:dyDescent="0.3">
      <c r="A58" s="63"/>
      <c r="B58" s="63"/>
      <c r="C58" s="63"/>
      <c r="D58" s="64"/>
      <c r="K58" s="200" t="s">
        <v>48</v>
      </c>
      <c r="L58" s="201"/>
      <c r="M58" s="60">
        <f>C8</f>
        <v>46332498.658007011</v>
      </c>
      <c r="N58" s="60">
        <f>+'Estado de resultados'!F7</f>
        <v>405955443.16430277</v>
      </c>
    </row>
    <row r="59" spans="1:14" x14ac:dyDescent="0.3">
      <c r="A59" s="63"/>
      <c r="B59" s="63"/>
      <c r="C59" s="63"/>
      <c r="D59" s="64"/>
      <c r="K59" s="202" t="s">
        <v>75</v>
      </c>
      <c r="L59" s="203"/>
      <c r="M59" s="69">
        <f>M57/M58</f>
        <v>0.40497727693284047</v>
      </c>
      <c r="N59" s="69">
        <f>N57/N58</f>
        <v>5.6896228974101709E-2</v>
      </c>
    </row>
    <row r="60" spans="1:14" x14ac:dyDescent="0.3">
      <c r="A60" s="63"/>
      <c r="B60" s="63"/>
      <c r="C60" s="63"/>
      <c r="D60" s="64"/>
    </row>
    <row r="61" spans="1:14" x14ac:dyDescent="0.3">
      <c r="A61" s="63"/>
      <c r="B61" s="63"/>
      <c r="C61" s="63"/>
      <c r="D61" s="64"/>
    </row>
    <row r="62" spans="1:14" x14ac:dyDescent="0.3">
      <c r="A62" s="63"/>
      <c r="B62" s="63"/>
      <c r="C62" s="63"/>
      <c r="D62" s="64"/>
      <c r="K62" s="200"/>
      <c r="L62" s="201"/>
      <c r="M62" s="54" t="s">
        <v>57</v>
      </c>
      <c r="N62" s="54" t="s">
        <v>56</v>
      </c>
    </row>
    <row r="63" spans="1:14" x14ac:dyDescent="0.3">
      <c r="A63" s="63"/>
      <c r="B63" s="63"/>
      <c r="C63" s="63"/>
      <c r="D63" s="64"/>
      <c r="K63" s="200" t="str">
        <f>K51</f>
        <v>Utilidad bruta</v>
      </c>
      <c r="L63" s="201"/>
      <c r="M63" s="60">
        <f>+'Estado de resultados'!E9</f>
        <v>258256644.72814053</v>
      </c>
      <c r="N63" s="60">
        <f>+'Estado de resultados'!F9</f>
        <v>398605443.16430277</v>
      </c>
    </row>
    <row r="64" spans="1:14" x14ac:dyDescent="0.3">
      <c r="A64" s="63"/>
      <c r="B64" s="63"/>
      <c r="C64" s="63"/>
      <c r="D64" s="64"/>
      <c r="K64" s="200" t="s">
        <v>48</v>
      </c>
      <c r="L64" s="201"/>
      <c r="M64" s="60">
        <f>M58</f>
        <v>46332498.658007011</v>
      </c>
      <c r="N64" s="60">
        <f>N58</f>
        <v>405955443.16430277</v>
      </c>
    </row>
    <row r="65" spans="1:14" x14ac:dyDescent="0.3">
      <c r="A65" s="63"/>
      <c r="B65" s="63"/>
      <c r="C65" s="63"/>
      <c r="D65" s="64"/>
      <c r="K65" s="202" t="s">
        <v>76</v>
      </c>
      <c r="L65" s="203"/>
      <c r="M65" s="68">
        <f>M63/M64</f>
        <v>5.5739848315629219</v>
      </c>
      <c r="N65" s="68">
        <f>N63/N64</f>
        <v>0.98189456472683578</v>
      </c>
    </row>
    <row r="66" spans="1:14" x14ac:dyDescent="0.3">
      <c r="A66" s="63"/>
      <c r="B66" s="63"/>
      <c r="C66" s="63"/>
      <c r="D66" s="64"/>
    </row>
    <row r="67" spans="1:14" x14ac:dyDescent="0.3">
      <c r="A67" s="63"/>
      <c r="B67" s="63"/>
      <c r="C67" s="63"/>
      <c r="D67" s="64"/>
    </row>
    <row r="68" spans="1:14" x14ac:dyDescent="0.3">
      <c r="A68" s="63"/>
      <c r="B68" s="63"/>
      <c r="C68" s="63"/>
      <c r="D68" s="64"/>
      <c r="K68" s="200"/>
      <c r="L68" s="201"/>
      <c r="M68" s="54" t="s">
        <v>57</v>
      </c>
      <c r="N68" s="54" t="s">
        <v>56</v>
      </c>
    </row>
    <row r="69" spans="1:14" x14ac:dyDescent="0.3">
      <c r="A69" s="63"/>
      <c r="B69" s="63"/>
      <c r="C69" s="63"/>
      <c r="D69" s="64"/>
      <c r="K69" s="200" t="str">
        <f>'Estado de resultados'!B14</f>
        <v>Utilidad de la operación</v>
      </c>
      <c r="L69" s="201"/>
      <c r="M69" s="60"/>
      <c r="N69" s="60">
        <f>'Estado de resultados'!E14</f>
        <v>28005386.776140541</v>
      </c>
    </row>
    <row r="70" spans="1:14" x14ac:dyDescent="0.3">
      <c r="A70" s="63"/>
      <c r="B70" s="63"/>
      <c r="C70" s="63"/>
      <c r="D70" s="64"/>
      <c r="K70" s="200" t="str">
        <f>K52</f>
        <v>TOTAL, ACTIVOS</v>
      </c>
      <c r="L70" s="201"/>
      <c r="M70" s="60">
        <f>M52</f>
        <v>95274478.838135257</v>
      </c>
      <c r="N70" s="60"/>
    </row>
    <row r="71" spans="1:14" x14ac:dyDescent="0.3">
      <c r="A71" s="63"/>
      <c r="B71" s="63"/>
      <c r="C71" s="63"/>
      <c r="D71" s="64"/>
      <c r="K71" s="202" t="s">
        <v>77</v>
      </c>
      <c r="L71" s="203"/>
      <c r="M71" s="204">
        <f>N69/M70</f>
        <v>0.2939442662679872</v>
      </c>
      <c r="N71" s="205"/>
    </row>
    <row r="72" spans="1:14" x14ac:dyDescent="0.3">
      <c r="A72" s="63"/>
      <c r="B72" s="63"/>
      <c r="C72" s="63"/>
      <c r="D72" s="64"/>
    </row>
    <row r="73" spans="1:14" x14ac:dyDescent="0.3">
      <c r="A73" s="63"/>
      <c r="B73" s="63"/>
      <c r="C73" s="63"/>
      <c r="D73" s="64"/>
    </row>
    <row r="74" spans="1:14" x14ac:dyDescent="0.3">
      <c r="A74" s="63"/>
      <c r="B74" s="63"/>
      <c r="C74" s="63"/>
      <c r="D74" s="64"/>
      <c r="K74" s="2" t="s">
        <v>256</v>
      </c>
      <c r="M74" s="11">
        <f>-'Flujo de caja año 1'!C5</f>
        <v>-23600000</v>
      </c>
    </row>
    <row r="75" spans="1:14" x14ac:dyDescent="0.3">
      <c r="A75" s="63"/>
      <c r="B75" s="63"/>
      <c r="C75" s="63"/>
      <c r="D75" s="64"/>
      <c r="K75" s="2" t="s">
        <v>257</v>
      </c>
      <c r="M75" s="11">
        <f>'Flujo de caja año 1'!O36</f>
        <v>46332498.658006981</v>
      </c>
    </row>
    <row r="76" spans="1:14" x14ac:dyDescent="0.3">
      <c r="A76" s="63"/>
      <c r="B76" s="63"/>
      <c r="C76" s="63"/>
      <c r="D76" s="64"/>
      <c r="K76" s="2" t="s">
        <v>258</v>
      </c>
      <c r="M76" s="11">
        <f>'Flujo de caja año 2'!O38</f>
        <v>9803893.0380096808</v>
      </c>
    </row>
    <row r="77" spans="1:14" x14ac:dyDescent="0.3">
      <c r="A77" s="63"/>
      <c r="B77" s="63"/>
      <c r="C77" s="63"/>
      <c r="D77" s="64"/>
      <c r="K77" s="2" t="s">
        <v>260</v>
      </c>
      <c r="M77" s="166">
        <v>0.11</v>
      </c>
    </row>
    <row r="78" spans="1:14" x14ac:dyDescent="0.3">
      <c r="A78" s="63"/>
      <c r="B78" s="63"/>
      <c r="C78" s="63"/>
      <c r="D78" s="64"/>
    </row>
    <row r="79" spans="1:14" x14ac:dyDescent="0.3">
      <c r="A79" s="63"/>
      <c r="B79" s="63"/>
      <c r="C79" s="63"/>
      <c r="D79" s="64"/>
    </row>
    <row r="80" spans="1:14" x14ac:dyDescent="0.3">
      <c r="A80" s="63"/>
      <c r="B80" s="63"/>
      <c r="C80" s="63"/>
      <c r="D80" s="64"/>
      <c r="K80" s="2" t="s">
        <v>254</v>
      </c>
      <c r="L80" s="11">
        <f>M75/(1+M77)^1</f>
        <v>41740989.781988271</v>
      </c>
    </row>
    <row r="81" spans="1:13" x14ac:dyDescent="0.3">
      <c r="A81" s="63"/>
      <c r="B81" s="63"/>
      <c r="C81" s="63"/>
      <c r="D81" s="64"/>
      <c r="K81" s="2" t="s">
        <v>255</v>
      </c>
      <c r="L81" s="11">
        <f>M76/(1+M77)^2</f>
        <v>7957059.5227738656</v>
      </c>
    </row>
    <row r="82" spans="1:13" x14ac:dyDescent="0.3">
      <c r="A82" s="63"/>
      <c r="B82" s="63"/>
      <c r="C82" s="63"/>
      <c r="D82" s="64"/>
      <c r="K82" s="2" t="s">
        <v>253</v>
      </c>
      <c r="L82" s="11">
        <f>SUM(L80:L81)+M74</f>
        <v>26098049.30476214</v>
      </c>
      <c r="M82" s="98">
        <f>NPV(0.11,M75:M76)+M74</f>
        <v>26098049.304762132</v>
      </c>
    </row>
    <row r="83" spans="1:13" x14ac:dyDescent="0.3">
      <c r="A83" s="63"/>
      <c r="B83" s="63"/>
      <c r="C83" s="63"/>
      <c r="D83" s="64"/>
      <c r="L83" s="43"/>
    </row>
    <row r="84" spans="1:13" x14ac:dyDescent="0.3">
      <c r="A84" s="63"/>
      <c r="B84" s="63"/>
      <c r="C84" s="63"/>
      <c r="D84" s="64"/>
    </row>
    <row r="85" spans="1:13" x14ac:dyDescent="0.3">
      <c r="A85" s="63"/>
      <c r="B85" s="63"/>
      <c r="C85" s="63"/>
      <c r="D85" s="64"/>
      <c r="K85" s="2" t="s">
        <v>259</v>
      </c>
      <c r="L85" s="166">
        <f>IRR(M74:M76)</f>
        <v>1.1559283866834988</v>
      </c>
    </row>
    <row r="86" spans="1:13" x14ac:dyDescent="0.3">
      <c r="A86" s="63"/>
      <c r="B86" s="63"/>
      <c r="C86" s="63"/>
      <c r="D86" s="64"/>
    </row>
    <row r="87" spans="1:13" x14ac:dyDescent="0.3">
      <c r="A87" s="63"/>
      <c r="B87" s="63"/>
      <c r="C87" s="63"/>
      <c r="D87" s="64"/>
    </row>
    <row r="88" spans="1:13" x14ac:dyDescent="0.3">
      <c r="A88" s="63"/>
      <c r="B88" s="63"/>
      <c r="C88" s="63"/>
      <c r="D88" s="64"/>
    </row>
    <row r="89" spans="1:13" x14ac:dyDescent="0.3">
      <c r="A89" s="63"/>
      <c r="B89" s="63"/>
      <c r="C89" s="63"/>
      <c r="D89" s="64"/>
    </row>
    <row r="90" spans="1:13" x14ac:dyDescent="0.3">
      <c r="A90" s="63"/>
      <c r="B90" s="63"/>
      <c r="C90" s="63"/>
      <c r="D90" s="64"/>
    </row>
    <row r="91" spans="1:13" x14ac:dyDescent="0.3">
      <c r="A91" s="63"/>
      <c r="B91" s="63"/>
      <c r="C91" s="63"/>
      <c r="D91" s="64"/>
    </row>
    <row r="92" spans="1:13" x14ac:dyDescent="0.3">
      <c r="A92" s="63"/>
      <c r="B92" s="63"/>
      <c r="C92" s="63"/>
      <c r="D92" s="64"/>
    </row>
    <row r="93" spans="1:13" x14ac:dyDescent="0.3">
      <c r="A93" s="63"/>
      <c r="B93" s="63"/>
      <c r="C93" s="63"/>
      <c r="D93" s="64"/>
    </row>
    <row r="94" spans="1:13" x14ac:dyDescent="0.3">
      <c r="A94" s="63"/>
      <c r="B94" s="63"/>
      <c r="C94" s="63"/>
      <c r="D94" s="64"/>
    </row>
    <row r="95" spans="1:13" x14ac:dyDescent="0.3">
      <c r="A95" s="63"/>
      <c r="B95" s="63"/>
      <c r="C95" s="63"/>
      <c r="D95" s="64"/>
    </row>
    <row r="96" spans="1:13" x14ac:dyDescent="0.3">
      <c r="A96" s="63"/>
      <c r="B96" s="63"/>
      <c r="C96" s="63"/>
      <c r="D96" s="64"/>
    </row>
    <row r="97" spans="1:4" x14ac:dyDescent="0.3">
      <c r="A97" s="63"/>
      <c r="B97" s="63"/>
      <c r="C97" s="63"/>
      <c r="D97" s="64"/>
    </row>
    <row r="98" spans="1:4" x14ac:dyDescent="0.3">
      <c r="A98" s="63"/>
      <c r="B98" s="63"/>
      <c r="C98" s="63"/>
      <c r="D98" s="64"/>
    </row>
    <row r="99" spans="1:4" x14ac:dyDescent="0.3">
      <c r="A99" s="63"/>
      <c r="B99" s="63"/>
      <c r="C99" s="63"/>
      <c r="D99" s="64"/>
    </row>
    <row r="100" spans="1:4" x14ac:dyDescent="0.3">
      <c r="A100" s="63"/>
      <c r="B100" s="63"/>
      <c r="C100" s="63"/>
      <c r="D100" s="64"/>
    </row>
    <row r="101" spans="1:4" x14ac:dyDescent="0.3">
      <c r="A101" s="63"/>
      <c r="B101" s="63"/>
      <c r="C101" s="63"/>
      <c r="D101" s="64"/>
    </row>
    <row r="102" spans="1:4" x14ac:dyDescent="0.3">
      <c r="A102" s="63"/>
      <c r="B102" s="63"/>
      <c r="C102" s="63"/>
      <c r="D102" s="64"/>
    </row>
    <row r="103" spans="1:4" x14ac:dyDescent="0.3">
      <c r="A103" s="63"/>
      <c r="B103" s="63"/>
      <c r="C103" s="63"/>
      <c r="D103" s="64"/>
    </row>
    <row r="104" spans="1:4" x14ac:dyDescent="0.3">
      <c r="A104" s="63"/>
      <c r="B104" s="63"/>
      <c r="C104" s="63"/>
      <c r="D104" s="64"/>
    </row>
    <row r="105" spans="1:4" x14ac:dyDescent="0.3">
      <c r="A105" s="63"/>
      <c r="B105" s="63"/>
      <c r="C105" s="63"/>
      <c r="D105" s="64"/>
    </row>
    <row r="106" spans="1:4" x14ac:dyDescent="0.3">
      <c r="A106" s="63"/>
      <c r="B106" s="63"/>
      <c r="C106" s="63"/>
      <c r="D106" s="64"/>
    </row>
    <row r="107" spans="1:4" x14ac:dyDescent="0.3">
      <c r="A107" s="63"/>
      <c r="B107" s="63"/>
      <c r="C107" s="63"/>
      <c r="D107" s="64"/>
    </row>
    <row r="108" spans="1:4" x14ac:dyDescent="0.3">
      <c r="A108" s="63"/>
      <c r="B108" s="63"/>
      <c r="C108" s="63"/>
      <c r="D108" s="64"/>
    </row>
    <row r="109" spans="1:4" x14ac:dyDescent="0.3">
      <c r="A109" s="63"/>
      <c r="B109" s="63"/>
      <c r="C109" s="63"/>
      <c r="D109" s="64"/>
    </row>
    <row r="110" spans="1:4" x14ac:dyDescent="0.3">
      <c r="A110" s="63"/>
      <c r="B110" s="63"/>
      <c r="C110" s="63"/>
      <c r="D110" s="64"/>
    </row>
    <row r="111" spans="1:4" x14ac:dyDescent="0.3">
      <c r="A111" s="63"/>
      <c r="B111" s="63"/>
      <c r="C111" s="63"/>
      <c r="D111" s="64"/>
    </row>
    <row r="112" spans="1:4" x14ac:dyDescent="0.3">
      <c r="A112" s="63"/>
      <c r="B112" s="63"/>
      <c r="C112" s="63"/>
      <c r="D112" s="64"/>
    </row>
    <row r="113" spans="1:4" x14ac:dyDescent="0.3">
      <c r="A113" s="63"/>
      <c r="B113" s="63"/>
      <c r="C113" s="63"/>
      <c r="D113" s="64"/>
    </row>
    <row r="114" spans="1:4" x14ac:dyDescent="0.3">
      <c r="A114" s="63"/>
      <c r="B114" s="63"/>
      <c r="C114" s="63"/>
      <c r="D114" s="64"/>
    </row>
    <row r="115" spans="1:4" x14ac:dyDescent="0.3">
      <c r="A115" s="63"/>
      <c r="B115" s="63"/>
      <c r="C115" s="63"/>
      <c r="D115" s="64"/>
    </row>
    <row r="116" spans="1:4" x14ac:dyDescent="0.3">
      <c r="A116" s="63"/>
      <c r="B116" s="63"/>
      <c r="C116" s="63"/>
      <c r="D116" s="64"/>
    </row>
    <row r="117" spans="1:4" x14ac:dyDescent="0.3">
      <c r="A117" s="63"/>
      <c r="B117" s="63"/>
      <c r="C117" s="63"/>
      <c r="D117" s="64"/>
    </row>
    <row r="118" spans="1:4" x14ac:dyDescent="0.3">
      <c r="A118" s="63"/>
      <c r="B118" s="63"/>
      <c r="C118" s="63"/>
      <c r="D118" s="64"/>
    </row>
    <row r="119" spans="1:4" x14ac:dyDescent="0.3">
      <c r="A119" s="63"/>
      <c r="B119" s="63"/>
      <c r="C119" s="63"/>
      <c r="D119" s="64"/>
    </row>
    <row r="120" spans="1:4" x14ac:dyDescent="0.3">
      <c r="A120" s="63"/>
      <c r="B120" s="63"/>
      <c r="C120" s="63"/>
      <c r="D120" s="64"/>
    </row>
    <row r="121" spans="1:4" x14ac:dyDescent="0.3">
      <c r="A121" s="63"/>
      <c r="B121" s="63"/>
      <c r="C121" s="63"/>
      <c r="D121" s="64"/>
    </row>
    <row r="122" spans="1:4" x14ac:dyDescent="0.3">
      <c r="A122" s="63"/>
      <c r="B122" s="63"/>
      <c r="C122" s="63"/>
      <c r="D122" s="64"/>
    </row>
    <row r="123" spans="1:4" x14ac:dyDescent="0.3">
      <c r="A123" s="63"/>
      <c r="B123" s="63"/>
      <c r="C123" s="63"/>
      <c r="D123" s="64"/>
    </row>
    <row r="124" spans="1:4" x14ac:dyDescent="0.3">
      <c r="A124" s="63"/>
      <c r="B124" s="63"/>
      <c r="C124" s="63"/>
      <c r="D124" s="64"/>
    </row>
    <row r="125" spans="1:4" x14ac:dyDescent="0.3">
      <c r="A125" s="63"/>
      <c r="B125" s="63"/>
      <c r="C125" s="63"/>
      <c r="D125" s="64"/>
    </row>
    <row r="126" spans="1:4" x14ac:dyDescent="0.3">
      <c r="A126" s="63"/>
      <c r="B126" s="63"/>
      <c r="C126" s="63"/>
      <c r="D126" s="64"/>
    </row>
    <row r="127" spans="1:4" x14ac:dyDescent="0.3">
      <c r="A127" s="63"/>
      <c r="B127" s="63"/>
      <c r="C127" s="63"/>
      <c r="D127" s="64"/>
    </row>
    <row r="128" spans="1:4" x14ac:dyDescent="0.3">
      <c r="A128" s="63"/>
      <c r="B128" s="63"/>
      <c r="C128" s="63"/>
      <c r="D128" s="64"/>
    </row>
    <row r="129" spans="1:4" x14ac:dyDescent="0.3">
      <c r="A129" s="63"/>
      <c r="B129" s="63"/>
      <c r="C129" s="63"/>
      <c r="D129" s="64"/>
    </row>
    <row r="130" spans="1:4" x14ac:dyDescent="0.3">
      <c r="A130" s="63"/>
      <c r="B130" s="63"/>
      <c r="C130" s="63"/>
      <c r="D130" s="64"/>
    </row>
    <row r="131" spans="1:4" x14ac:dyDescent="0.3">
      <c r="A131" s="63"/>
      <c r="B131" s="63"/>
      <c r="C131" s="63"/>
      <c r="D131" s="64"/>
    </row>
    <row r="132" spans="1:4" x14ac:dyDescent="0.3">
      <c r="A132" s="63"/>
      <c r="B132" s="63"/>
      <c r="C132" s="63"/>
      <c r="D132" s="64"/>
    </row>
    <row r="133" spans="1:4" x14ac:dyDescent="0.3">
      <c r="A133" s="63"/>
      <c r="B133" s="63"/>
      <c r="C133" s="63"/>
      <c r="D133" s="64"/>
    </row>
    <row r="134" spans="1:4" x14ac:dyDescent="0.3">
      <c r="A134" s="63"/>
      <c r="B134" s="63"/>
      <c r="C134" s="63"/>
      <c r="D134" s="64"/>
    </row>
    <row r="135" spans="1:4" x14ac:dyDescent="0.3">
      <c r="A135" s="63"/>
      <c r="B135" s="63"/>
      <c r="C135" s="63"/>
      <c r="D135" s="64"/>
    </row>
    <row r="136" spans="1:4" x14ac:dyDescent="0.3">
      <c r="A136" s="63"/>
      <c r="B136" s="63"/>
      <c r="C136" s="63"/>
      <c r="D136" s="64"/>
    </row>
    <row r="137" spans="1:4" x14ac:dyDescent="0.3">
      <c r="A137" s="63"/>
      <c r="B137" s="63"/>
      <c r="C137" s="63"/>
      <c r="D137" s="64"/>
    </row>
    <row r="138" spans="1:4" x14ac:dyDescent="0.3">
      <c r="A138" s="63"/>
      <c r="B138" s="63"/>
      <c r="C138" s="63"/>
      <c r="D138" s="64"/>
    </row>
    <row r="139" spans="1:4" x14ac:dyDescent="0.3">
      <c r="A139" s="63"/>
      <c r="B139" s="63"/>
      <c r="C139" s="63"/>
      <c r="D139" s="64"/>
    </row>
    <row r="140" spans="1:4" x14ac:dyDescent="0.3">
      <c r="A140" s="63"/>
      <c r="B140" s="63"/>
      <c r="C140" s="63"/>
      <c r="D140" s="64"/>
    </row>
    <row r="141" spans="1:4" x14ac:dyDescent="0.3">
      <c r="A141" s="63"/>
      <c r="B141" s="63"/>
      <c r="C141" s="63"/>
      <c r="D141" s="64"/>
    </row>
    <row r="142" spans="1:4" x14ac:dyDescent="0.3">
      <c r="A142" s="63"/>
      <c r="B142" s="63"/>
      <c r="C142" s="63"/>
      <c r="D142" s="64"/>
    </row>
    <row r="143" spans="1:4" x14ac:dyDescent="0.3">
      <c r="A143" s="63"/>
      <c r="B143" s="63"/>
      <c r="C143" s="63"/>
      <c r="D143" s="64"/>
    </row>
    <row r="144" spans="1:4" x14ac:dyDescent="0.3">
      <c r="A144" s="63"/>
      <c r="B144" s="63"/>
      <c r="C144" s="63"/>
      <c r="D144" s="64"/>
    </row>
    <row r="145" spans="1:4" x14ac:dyDescent="0.3">
      <c r="A145" s="63"/>
      <c r="B145" s="63"/>
      <c r="C145" s="63"/>
      <c r="D145" s="64"/>
    </row>
    <row r="146" spans="1:4" x14ac:dyDescent="0.3">
      <c r="A146" s="63"/>
      <c r="B146" s="63"/>
      <c r="C146" s="63"/>
      <c r="D146" s="64"/>
    </row>
    <row r="147" spans="1:4" x14ac:dyDescent="0.3">
      <c r="A147" s="63"/>
      <c r="B147" s="63"/>
      <c r="C147" s="63"/>
      <c r="D147" s="64"/>
    </row>
    <row r="148" spans="1:4" x14ac:dyDescent="0.3">
      <c r="A148" s="63"/>
      <c r="B148" s="63"/>
      <c r="C148" s="63"/>
      <c r="D148" s="64"/>
    </row>
    <row r="149" spans="1:4" x14ac:dyDescent="0.3">
      <c r="A149" s="63"/>
      <c r="B149" s="63"/>
      <c r="C149" s="63"/>
      <c r="D149" s="64"/>
    </row>
    <row r="150" spans="1:4" x14ac:dyDescent="0.3">
      <c r="A150" s="63"/>
      <c r="B150" s="63"/>
      <c r="C150" s="63"/>
      <c r="D150" s="64"/>
    </row>
    <row r="151" spans="1:4" x14ac:dyDescent="0.3">
      <c r="A151" s="63"/>
      <c r="B151" s="63"/>
      <c r="C151" s="63"/>
      <c r="D151" s="64"/>
    </row>
    <row r="152" spans="1:4" x14ac:dyDescent="0.3">
      <c r="A152" s="63"/>
      <c r="B152" s="63"/>
      <c r="C152" s="63"/>
      <c r="D152" s="64"/>
    </row>
    <row r="153" spans="1:4" x14ac:dyDescent="0.3">
      <c r="A153" s="63"/>
      <c r="B153" s="63"/>
      <c r="C153" s="63"/>
      <c r="D153" s="64"/>
    </row>
    <row r="154" spans="1:4" x14ac:dyDescent="0.3">
      <c r="A154" s="63"/>
      <c r="B154" s="63"/>
      <c r="C154" s="63"/>
      <c r="D154" s="64"/>
    </row>
    <row r="155" spans="1:4" x14ac:dyDescent="0.3">
      <c r="A155" s="63"/>
      <c r="B155" s="63"/>
      <c r="C155" s="63"/>
      <c r="D155" s="64"/>
    </row>
    <row r="156" spans="1:4" x14ac:dyDescent="0.3">
      <c r="A156" s="63"/>
      <c r="B156" s="63"/>
      <c r="C156" s="63"/>
      <c r="D156" s="64"/>
    </row>
    <row r="157" spans="1:4" x14ac:dyDescent="0.3">
      <c r="A157" s="63"/>
      <c r="B157" s="63"/>
      <c r="C157" s="63"/>
      <c r="D157" s="64"/>
    </row>
    <row r="158" spans="1:4" x14ac:dyDescent="0.3">
      <c r="A158" s="63"/>
      <c r="B158" s="63"/>
      <c r="C158" s="63"/>
      <c r="D158" s="64"/>
    </row>
    <row r="159" spans="1:4" x14ac:dyDescent="0.3">
      <c r="A159" s="63"/>
      <c r="B159" s="63"/>
      <c r="C159" s="63"/>
      <c r="D159" s="64"/>
    </row>
    <row r="160" spans="1:4" x14ac:dyDescent="0.3">
      <c r="A160" s="63"/>
      <c r="B160" s="63"/>
      <c r="C160" s="63"/>
      <c r="D160" s="64"/>
    </row>
    <row r="161" spans="1:4" x14ac:dyDescent="0.3">
      <c r="A161" s="63"/>
      <c r="B161" s="63"/>
      <c r="C161" s="63"/>
      <c r="D161" s="64"/>
    </row>
    <row r="162" spans="1:4" x14ac:dyDescent="0.3">
      <c r="A162" s="63"/>
      <c r="B162" s="63"/>
      <c r="C162" s="63"/>
      <c r="D162" s="64"/>
    </row>
    <row r="163" spans="1:4" x14ac:dyDescent="0.3">
      <c r="A163" s="63"/>
      <c r="B163" s="63"/>
      <c r="C163" s="63"/>
      <c r="D163" s="64"/>
    </row>
    <row r="164" spans="1:4" x14ac:dyDescent="0.3">
      <c r="A164" s="63"/>
      <c r="B164" s="63"/>
      <c r="C164" s="63"/>
      <c r="D164" s="64"/>
    </row>
    <row r="165" spans="1:4" x14ac:dyDescent="0.3">
      <c r="A165" s="63"/>
      <c r="B165" s="63"/>
      <c r="C165" s="63"/>
      <c r="D165" s="64"/>
    </row>
    <row r="166" spans="1:4" x14ac:dyDescent="0.3">
      <c r="A166" s="63"/>
      <c r="B166" s="63"/>
      <c r="C166" s="63"/>
      <c r="D166" s="64"/>
    </row>
    <row r="167" spans="1:4" x14ac:dyDescent="0.3">
      <c r="A167" s="63"/>
      <c r="B167" s="63"/>
      <c r="C167" s="63"/>
      <c r="D167" s="64"/>
    </row>
    <row r="168" spans="1:4" x14ac:dyDescent="0.3">
      <c r="A168" s="63"/>
      <c r="B168" s="63"/>
      <c r="C168" s="63"/>
      <c r="D168" s="64"/>
    </row>
    <row r="169" spans="1:4" x14ac:dyDescent="0.3">
      <c r="A169" s="63"/>
      <c r="B169" s="63"/>
      <c r="C169" s="63"/>
      <c r="D169" s="64"/>
    </row>
    <row r="170" spans="1:4" x14ac:dyDescent="0.3">
      <c r="A170" s="63"/>
      <c r="B170" s="63"/>
      <c r="C170" s="63"/>
      <c r="D170" s="64"/>
    </row>
    <row r="171" spans="1:4" x14ac:dyDescent="0.3">
      <c r="A171" s="63"/>
      <c r="B171" s="63"/>
      <c r="C171" s="63"/>
      <c r="D171" s="64"/>
    </row>
    <row r="172" spans="1:4" x14ac:dyDescent="0.3">
      <c r="A172" s="63"/>
      <c r="B172" s="63"/>
      <c r="C172" s="63"/>
      <c r="D172" s="64"/>
    </row>
    <row r="173" spans="1:4" x14ac:dyDescent="0.3">
      <c r="A173" s="63"/>
      <c r="B173" s="63"/>
      <c r="C173" s="63"/>
      <c r="D173" s="64"/>
    </row>
    <row r="174" spans="1:4" x14ac:dyDescent="0.3">
      <c r="A174" s="63"/>
      <c r="B174" s="63"/>
      <c r="C174" s="63"/>
      <c r="D174" s="64"/>
    </row>
    <row r="175" spans="1:4" x14ac:dyDescent="0.3">
      <c r="A175" s="63"/>
      <c r="B175" s="63"/>
      <c r="C175" s="63"/>
      <c r="D175" s="64"/>
    </row>
    <row r="176" spans="1:4" x14ac:dyDescent="0.3">
      <c r="A176" s="63"/>
      <c r="B176" s="63"/>
      <c r="C176" s="63"/>
      <c r="D176" s="64"/>
    </row>
    <row r="177" spans="1:4" x14ac:dyDescent="0.3">
      <c r="A177" s="63"/>
      <c r="B177" s="63"/>
      <c r="C177" s="63"/>
      <c r="D177" s="64"/>
    </row>
    <row r="178" spans="1:4" x14ac:dyDescent="0.3">
      <c r="A178" s="63"/>
      <c r="B178" s="63"/>
      <c r="C178" s="63"/>
      <c r="D178" s="64"/>
    </row>
    <row r="179" spans="1:4" x14ac:dyDescent="0.3">
      <c r="A179" s="63"/>
      <c r="B179" s="63"/>
      <c r="C179" s="63"/>
      <c r="D179" s="64"/>
    </row>
    <row r="180" spans="1:4" x14ac:dyDescent="0.3">
      <c r="A180" s="63"/>
      <c r="B180" s="63"/>
      <c r="C180" s="63"/>
      <c r="D180" s="64"/>
    </row>
    <row r="181" spans="1:4" x14ac:dyDescent="0.3">
      <c r="A181" s="63"/>
      <c r="B181" s="63"/>
      <c r="C181" s="63"/>
      <c r="D181" s="64"/>
    </row>
    <row r="182" spans="1:4" x14ac:dyDescent="0.3">
      <c r="A182" s="63"/>
      <c r="B182" s="63"/>
      <c r="C182" s="63"/>
      <c r="D182" s="64"/>
    </row>
    <row r="183" spans="1:4" x14ac:dyDescent="0.3">
      <c r="A183" s="63"/>
      <c r="B183" s="63"/>
      <c r="C183" s="63"/>
      <c r="D183" s="64"/>
    </row>
    <row r="184" spans="1:4" x14ac:dyDescent="0.3">
      <c r="A184" s="63"/>
      <c r="B184" s="63"/>
      <c r="C184" s="63"/>
      <c r="D184" s="64"/>
    </row>
    <row r="185" spans="1:4" x14ac:dyDescent="0.3">
      <c r="A185" s="63"/>
      <c r="B185" s="63"/>
      <c r="C185" s="63"/>
      <c r="D185" s="64"/>
    </row>
    <row r="186" spans="1:4" x14ac:dyDescent="0.3">
      <c r="A186" s="63"/>
      <c r="B186" s="63"/>
      <c r="C186" s="63"/>
      <c r="D186" s="64"/>
    </row>
    <row r="187" spans="1:4" x14ac:dyDescent="0.3">
      <c r="A187" s="63"/>
      <c r="B187" s="63"/>
      <c r="C187" s="63"/>
      <c r="D187" s="64"/>
    </row>
    <row r="188" spans="1:4" x14ac:dyDescent="0.3">
      <c r="A188" s="63"/>
      <c r="B188" s="63"/>
      <c r="C188" s="63"/>
      <c r="D188" s="64"/>
    </row>
    <row r="189" spans="1:4" x14ac:dyDescent="0.3">
      <c r="A189" s="63"/>
      <c r="B189" s="63"/>
      <c r="C189" s="63"/>
      <c r="D189" s="64"/>
    </row>
    <row r="190" spans="1:4" x14ac:dyDescent="0.3">
      <c r="A190" s="63"/>
      <c r="B190" s="63"/>
      <c r="C190" s="63"/>
      <c r="D190" s="64"/>
    </row>
    <row r="191" spans="1:4" x14ac:dyDescent="0.3">
      <c r="A191" s="63"/>
      <c r="B191" s="63"/>
      <c r="C191" s="63"/>
      <c r="D191" s="64"/>
    </row>
    <row r="192" spans="1:4" x14ac:dyDescent="0.3">
      <c r="A192" s="63"/>
      <c r="B192" s="63"/>
      <c r="C192" s="63"/>
      <c r="D192" s="64"/>
    </row>
    <row r="193" spans="1:4" x14ac:dyDescent="0.3">
      <c r="A193" s="63"/>
      <c r="B193" s="63"/>
      <c r="C193" s="63"/>
      <c r="D193" s="64"/>
    </row>
    <row r="194" spans="1:4" x14ac:dyDescent="0.3">
      <c r="A194" s="63"/>
      <c r="B194" s="63"/>
      <c r="C194" s="63"/>
      <c r="D194" s="64"/>
    </row>
    <row r="195" spans="1:4" x14ac:dyDescent="0.3">
      <c r="A195" s="63"/>
      <c r="B195" s="63"/>
      <c r="C195" s="63"/>
      <c r="D195" s="64"/>
    </row>
    <row r="196" spans="1:4" x14ac:dyDescent="0.3">
      <c r="A196" s="63"/>
      <c r="B196" s="63"/>
      <c r="C196" s="63"/>
      <c r="D196" s="64"/>
    </row>
    <row r="197" spans="1:4" x14ac:dyDescent="0.3">
      <c r="A197" s="63"/>
      <c r="B197" s="63"/>
      <c r="C197" s="63"/>
      <c r="D197" s="64"/>
    </row>
    <row r="198" spans="1:4" x14ac:dyDescent="0.3">
      <c r="A198" s="63"/>
      <c r="B198" s="63"/>
      <c r="C198" s="63"/>
      <c r="D198" s="64"/>
    </row>
    <row r="199" spans="1:4" x14ac:dyDescent="0.3">
      <c r="A199" s="63"/>
      <c r="B199" s="63"/>
      <c r="C199" s="63"/>
      <c r="D199" s="64"/>
    </row>
    <row r="200" spans="1:4" x14ac:dyDescent="0.3">
      <c r="A200" s="63"/>
      <c r="B200" s="63"/>
      <c r="C200" s="63"/>
      <c r="D200" s="64"/>
    </row>
    <row r="201" spans="1:4" x14ac:dyDescent="0.3">
      <c r="A201" s="63"/>
      <c r="B201" s="63"/>
      <c r="C201" s="63"/>
      <c r="D201" s="64"/>
    </row>
    <row r="202" spans="1:4" x14ac:dyDescent="0.3">
      <c r="A202" s="63"/>
      <c r="B202" s="63"/>
      <c r="C202" s="63"/>
      <c r="D202" s="64"/>
    </row>
    <row r="203" spans="1:4" x14ac:dyDescent="0.3">
      <c r="A203" s="63"/>
      <c r="B203" s="63"/>
      <c r="C203" s="63"/>
      <c r="D203" s="64"/>
    </row>
    <row r="204" spans="1:4" x14ac:dyDescent="0.3">
      <c r="A204" s="63"/>
      <c r="B204" s="63"/>
      <c r="C204" s="63"/>
      <c r="D204" s="64"/>
    </row>
    <row r="205" spans="1:4" x14ac:dyDescent="0.3">
      <c r="A205" s="63"/>
      <c r="B205" s="63"/>
      <c r="C205" s="63"/>
      <c r="D205" s="64"/>
    </row>
    <row r="206" spans="1:4" x14ac:dyDescent="0.3">
      <c r="A206" s="63"/>
      <c r="B206" s="63"/>
      <c r="C206" s="63"/>
      <c r="D206" s="64"/>
    </row>
    <row r="207" spans="1:4" x14ac:dyDescent="0.3">
      <c r="A207" s="63"/>
      <c r="B207" s="63"/>
      <c r="C207" s="63"/>
      <c r="D207" s="64"/>
    </row>
    <row r="208" spans="1:4" x14ac:dyDescent="0.3">
      <c r="A208" s="63"/>
      <c r="B208" s="63"/>
      <c r="C208" s="63"/>
      <c r="D208" s="64"/>
    </row>
    <row r="209" spans="1:4" x14ac:dyDescent="0.3">
      <c r="A209" s="63"/>
      <c r="B209" s="63"/>
      <c r="C209" s="63"/>
      <c r="D209" s="64"/>
    </row>
    <row r="210" spans="1:4" x14ac:dyDescent="0.3">
      <c r="A210" s="63"/>
      <c r="B210" s="63"/>
      <c r="C210" s="63"/>
      <c r="D210" s="64"/>
    </row>
    <row r="211" spans="1:4" x14ac:dyDescent="0.3">
      <c r="A211" s="63"/>
      <c r="B211" s="63"/>
      <c r="C211" s="63"/>
      <c r="D211" s="64"/>
    </row>
    <row r="212" spans="1:4" x14ac:dyDescent="0.3">
      <c r="A212" s="63"/>
      <c r="B212" s="63"/>
      <c r="C212" s="63"/>
      <c r="D212" s="64"/>
    </row>
    <row r="213" spans="1:4" x14ac:dyDescent="0.3">
      <c r="A213" s="63"/>
      <c r="B213" s="63"/>
      <c r="C213" s="63"/>
      <c r="D213" s="64"/>
    </row>
    <row r="214" spans="1:4" x14ac:dyDescent="0.3">
      <c r="A214" s="63"/>
      <c r="B214" s="63"/>
      <c r="C214" s="63"/>
      <c r="D214" s="64"/>
    </row>
    <row r="215" spans="1:4" x14ac:dyDescent="0.3">
      <c r="A215" s="63"/>
      <c r="B215" s="63"/>
      <c r="C215" s="63"/>
      <c r="D215" s="64"/>
    </row>
    <row r="216" spans="1:4" x14ac:dyDescent="0.3">
      <c r="A216" s="63"/>
      <c r="B216" s="63"/>
      <c r="C216" s="63"/>
      <c r="D216" s="64"/>
    </row>
    <row r="217" spans="1:4" x14ac:dyDescent="0.3">
      <c r="A217" s="63"/>
      <c r="B217" s="63"/>
      <c r="C217" s="63"/>
      <c r="D217" s="64"/>
    </row>
    <row r="218" spans="1:4" x14ac:dyDescent="0.3">
      <c r="A218" s="63"/>
      <c r="B218" s="63"/>
      <c r="C218" s="63"/>
      <c r="D218" s="64"/>
    </row>
    <row r="219" spans="1:4" x14ac:dyDescent="0.3">
      <c r="A219" s="63"/>
      <c r="B219" s="63"/>
      <c r="C219" s="63"/>
      <c r="D219" s="64"/>
    </row>
    <row r="220" spans="1:4" x14ac:dyDescent="0.3">
      <c r="A220" s="63"/>
      <c r="B220" s="63"/>
      <c r="C220" s="63"/>
      <c r="D220" s="64"/>
    </row>
    <row r="221" spans="1:4" x14ac:dyDescent="0.3">
      <c r="A221" s="63"/>
      <c r="B221" s="63"/>
      <c r="C221" s="63"/>
      <c r="D221" s="64"/>
    </row>
    <row r="222" spans="1:4" x14ac:dyDescent="0.3">
      <c r="A222" s="63"/>
      <c r="B222" s="63"/>
      <c r="C222" s="63"/>
      <c r="D222" s="64"/>
    </row>
    <row r="223" spans="1:4" x14ac:dyDescent="0.3">
      <c r="A223" s="63"/>
      <c r="B223" s="63"/>
      <c r="C223" s="63"/>
      <c r="D223" s="64"/>
    </row>
    <row r="224" spans="1:4" x14ac:dyDescent="0.3">
      <c r="A224" s="63"/>
      <c r="B224" s="63"/>
      <c r="C224" s="63"/>
      <c r="D224" s="64"/>
    </row>
    <row r="225" spans="1:4" x14ac:dyDescent="0.3">
      <c r="A225" s="63"/>
      <c r="B225" s="63"/>
      <c r="C225" s="63"/>
      <c r="D225" s="64"/>
    </row>
    <row r="226" spans="1:4" x14ac:dyDescent="0.3">
      <c r="A226" s="63"/>
      <c r="B226" s="63"/>
      <c r="C226" s="63"/>
      <c r="D226" s="64"/>
    </row>
    <row r="227" spans="1:4" x14ac:dyDescent="0.3">
      <c r="A227" s="63"/>
      <c r="B227" s="63"/>
      <c r="C227" s="63"/>
      <c r="D227" s="64"/>
    </row>
    <row r="228" spans="1:4" x14ac:dyDescent="0.3">
      <c r="A228" s="63"/>
      <c r="B228" s="63"/>
      <c r="C228" s="63"/>
      <c r="D228" s="64"/>
    </row>
    <row r="229" spans="1:4" x14ac:dyDescent="0.3">
      <c r="A229" s="63"/>
      <c r="B229" s="63"/>
      <c r="C229" s="63"/>
      <c r="D229" s="64"/>
    </row>
    <row r="230" spans="1:4" x14ac:dyDescent="0.3">
      <c r="A230" s="63"/>
      <c r="B230" s="63"/>
      <c r="C230" s="63"/>
      <c r="D230" s="64"/>
    </row>
    <row r="231" spans="1:4" x14ac:dyDescent="0.3">
      <c r="A231" s="63"/>
      <c r="B231" s="63"/>
      <c r="C231" s="63"/>
      <c r="D231" s="64"/>
    </row>
    <row r="232" spans="1:4" x14ac:dyDescent="0.3">
      <c r="A232" s="63"/>
      <c r="B232" s="63"/>
      <c r="C232" s="63"/>
      <c r="D232" s="64"/>
    </row>
    <row r="233" spans="1:4" x14ac:dyDescent="0.3">
      <c r="A233" s="63"/>
      <c r="B233" s="63"/>
      <c r="C233" s="63"/>
      <c r="D233" s="64"/>
    </row>
    <row r="234" spans="1:4" x14ac:dyDescent="0.3">
      <c r="A234" s="63"/>
      <c r="B234" s="63"/>
      <c r="C234" s="63"/>
      <c r="D234" s="64"/>
    </row>
    <row r="235" spans="1:4" x14ac:dyDescent="0.3">
      <c r="A235" s="63"/>
      <c r="B235" s="63"/>
      <c r="C235" s="63"/>
      <c r="D235" s="64"/>
    </row>
    <row r="236" spans="1:4" x14ac:dyDescent="0.3">
      <c r="A236" s="63"/>
      <c r="B236" s="63"/>
      <c r="C236" s="63"/>
      <c r="D236" s="64"/>
    </row>
    <row r="237" spans="1:4" x14ac:dyDescent="0.3">
      <c r="A237" s="63"/>
      <c r="B237" s="63"/>
      <c r="C237" s="63"/>
      <c r="D237" s="64"/>
    </row>
    <row r="238" spans="1:4" x14ac:dyDescent="0.3">
      <c r="A238" s="63"/>
      <c r="B238" s="63"/>
      <c r="C238" s="63"/>
      <c r="D238" s="64"/>
    </row>
    <row r="239" spans="1:4" x14ac:dyDescent="0.3">
      <c r="A239" s="63"/>
      <c r="B239" s="63"/>
      <c r="C239" s="63"/>
      <c r="D239" s="64"/>
    </row>
    <row r="240" spans="1:4" x14ac:dyDescent="0.3">
      <c r="A240" s="63"/>
      <c r="B240" s="63"/>
      <c r="C240" s="63"/>
      <c r="D240" s="64"/>
    </row>
    <row r="241" spans="1:4" x14ac:dyDescent="0.3">
      <c r="A241" s="63"/>
      <c r="B241" s="63"/>
      <c r="C241" s="63"/>
      <c r="D241" s="64"/>
    </row>
    <row r="242" spans="1:4" x14ac:dyDescent="0.3">
      <c r="A242" s="63"/>
      <c r="B242" s="63"/>
      <c r="C242" s="63"/>
      <c r="D242" s="64"/>
    </row>
    <row r="243" spans="1:4" x14ac:dyDescent="0.3">
      <c r="A243" s="63"/>
      <c r="B243" s="63"/>
      <c r="C243" s="63"/>
      <c r="D243" s="64"/>
    </row>
    <row r="244" spans="1:4" x14ac:dyDescent="0.3">
      <c r="A244" s="63"/>
      <c r="B244" s="63"/>
      <c r="C244" s="63"/>
      <c r="D244" s="64"/>
    </row>
    <row r="245" spans="1:4" x14ac:dyDescent="0.3">
      <c r="A245" s="63"/>
      <c r="B245" s="63"/>
      <c r="C245" s="63"/>
      <c r="D245" s="64"/>
    </row>
    <row r="246" spans="1:4" x14ac:dyDescent="0.3">
      <c r="A246" s="63"/>
      <c r="B246" s="63"/>
      <c r="C246" s="63"/>
      <c r="D246" s="64"/>
    </row>
    <row r="247" spans="1:4" x14ac:dyDescent="0.3">
      <c r="A247" s="63"/>
      <c r="B247" s="63"/>
      <c r="C247" s="63"/>
      <c r="D247" s="64"/>
    </row>
    <row r="248" spans="1:4" x14ac:dyDescent="0.3">
      <c r="A248" s="63"/>
      <c r="B248" s="63"/>
      <c r="C248" s="63"/>
      <c r="D248" s="64"/>
    </row>
    <row r="249" spans="1:4" x14ac:dyDescent="0.3">
      <c r="A249" s="63"/>
      <c r="B249" s="63"/>
      <c r="C249" s="63"/>
      <c r="D249" s="64"/>
    </row>
    <row r="250" spans="1:4" x14ac:dyDescent="0.3">
      <c r="A250" s="63"/>
      <c r="B250" s="63"/>
      <c r="C250" s="63"/>
      <c r="D250" s="64"/>
    </row>
    <row r="251" spans="1:4" x14ac:dyDescent="0.3">
      <c r="A251" s="63"/>
      <c r="B251" s="63"/>
      <c r="C251" s="63"/>
      <c r="D251" s="64"/>
    </row>
    <row r="252" spans="1:4" x14ac:dyDescent="0.3">
      <c r="A252" s="63"/>
      <c r="B252" s="63"/>
      <c r="C252" s="63"/>
      <c r="D252" s="64"/>
    </row>
    <row r="253" spans="1:4" x14ac:dyDescent="0.3">
      <c r="A253" s="63"/>
      <c r="B253" s="63"/>
      <c r="C253" s="63"/>
      <c r="D253" s="64"/>
    </row>
    <row r="254" spans="1:4" x14ac:dyDescent="0.3">
      <c r="A254" s="63"/>
      <c r="B254" s="63"/>
      <c r="C254" s="63"/>
      <c r="D254" s="64"/>
    </row>
    <row r="255" spans="1:4" x14ac:dyDescent="0.3">
      <c r="A255" s="63"/>
      <c r="B255" s="63"/>
      <c r="C255" s="63"/>
      <c r="D255" s="64"/>
    </row>
    <row r="256" spans="1:4" x14ac:dyDescent="0.3">
      <c r="A256" s="63"/>
      <c r="B256" s="63"/>
      <c r="C256" s="63"/>
      <c r="D256" s="64"/>
    </row>
    <row r="257" spans="1:4" x14ac:dyDescent="0.3">
      <c r="A257" s="63"/>
      <c r="B257" s="63"/>
      <c r="C257" s="63"/>
      <c r="D257" s="64"/>
    </row>
    <row r="258" spans="1:4" x14ac:dyDescent="0.3">
      <c r="A258" s="63"/>
      <c r="B258" s="63"/>
      <c r="C258" s="63"/>
      <c r="D258" s="64"/>
    </row>
    <row r="259" spans="1:4" x14ac:dyDescent="0.3">
      <c r="A259" s="63"/>
      <c r="B259" s="63"/>
      <c r="C259" s="63"/>
      <c r="D259" s="64"/>
    </row>
    <row r="260" spans="1:4" x14ac:dyDescent="0.3">
      <c r="A260" s="63"/>
      <c r="B260" s="63"/>
      <c r="C260" s="63"/>
      <c r="D260" s="64"/>
    </row>
    <row r="261" spans="1:4" x14ac:dyDescent="0.3">
      <c r="A261" s="63"/>
      <c r="B261" s="63"/>
      <c r="C261" s="63"/>
      <c r="D261" s="64"/>
    </row>
    <row r="262" spans="1:4" x14ac:dyDescent="0.3">
      <c r="A262" s="63"/>
      <c r="B262" s="63"/>
      <c r="C262" s="63"/>
      <c r="D262" s="64"/>
    </row>
    <row r="263" spans="1:4" x14ac:dyDescent="0.3">
      <c r="A263" s="63"/>
      <c r="B263" s="63"/>
      <c r="C263" s="63"/>
      <c r="D263" s="64"/>
    </row>
    <row r="264" spans="1:4" x14ac:dyDescent="0.3">
      <c r="A264" s="63"/>
      <c r="B264" s="63"/>
      <c r="C264" s="63"/>
      <c r="D264" s="64"/>
    </row>
    <row r="265" spans="1:4" x14ac:dyDescent="0.3">
      <c r="A265" s="63"/>
      <c r="B265" s="63"/>
      <c r="C265" s="63"/>
      <c r="D265" s="64"/>
    </row>
    <row r="266" spans="1:4" x14ac:dyDescent="0.3">
      <c r="A266" s="63"/>
      <c r="B266" s="63"/>
      <c r="C266" s="63"/>
      <c r="D266" s="64"/>
    </row>
    <row r="267" spans="1:4" x14ac:dyDescent="0.3">
      <c r="A267" s="63"/>
      <c r="B267" s="63"/>
      <c r="C267" s="63"/>
      <c r="D267" s="64"/>
    </row>
    <row r="268" spans="1:4" x14ac:dyDescent="0.3">
      <c r="A268" s="63"/>
      <c r="B268" s="63"/>
      <c r="C268" s="63"/>
      <c r="D268" s="64"/>
    </row>
    <row r="269" spans="1:4" x14ac:dyDescent="0.3">
      <c r="A269" s="63"/>
      <c r="B269" s="63"/>
      <c r="C269" s="63"/>
      <c r="D269" s="64"/>
    </row>
    <row r="270" spans="1:4" x14ac:dyDescent="0.3">
      <c r="A270" s="63"/>
      <c r="B270" s="63"/>
      <c r="C270" s="63"/>
      <c r="D270" s="64"/>
    </row>
    <row r="271" spans="1:4" x14ac:dyDescent="0.3">
      <c r="A271" s="63"/>
      <c r="B271" s="63"/>
      <c r="C271" s="63"/>
      <c r="D271" s="64"/>
    </row>
    <row r="272" spans="1:4" x14ac:dyDescent="0.3">
      <c r="A272" s="63"/>
      <c r="B272" s="63"/>
      <c r="C272" s="63"/>
      <c r="D272" s="64"/>
    </row>
    <row r="273" spans="1:4" x14ac:dyDescent="0.3">
      <c r="A273" s="63"/>
      <c r="B273" s="63"/>
      <c r="C273" s="63"/>
      <c r="D273" s="64"/>
    </row>
    <row r="274" spans="1:4" x14ac:dyDescent="0.3">
      <c r="A274" s="63"/>
      <c r="B274" s="63"/>
      <c r="C274" s="63"/>
      <c r="D274" s="64"/>
    </row>
    <row r="275" spans="1:4" x14ac:dyDescent="0.3">
      <c r="A275" s="63"/>
      <c r="B275" s="63"/>
      <c r="C275" s="63"/>
      <c r="D275" s="64"/>
    </row>
    <row r="276" spans="1:4" x14ac:dyDescent="0.3">
      <c r="A276" s="63"/>
      <c r="B276" s="63"/>
      <c r="C276" s="63"/>
      <c r="D276" s="64"/>
    </row>
    <row r="277" spans="1:4" x14ac:dyDescent="0.3">
      <c r="A277" s="63"/>
      <c r="B277" s="63"/>
      <c r="C277" s="63"/>
      <c r="D277" s="64"/>
    </row>
    <row r="278" spans="1:4" x14ac:dyDescent="0.3">
      <c r="A278" s="63"/>
      <c r="B278" s="63"/>
      <c r="C278" s="63"/>
      <c r="D278" s="64"/>
    </row>
    <row r="279" spans="1:4" x14ac:dyDescent="0.3">
      <c r="A279" s="63"/>
      <c r="B279" s="63"/>
      <c r="C279" s="63"/>
      <c r="D279" s="64"/>
    </row>
    <row r="280" spans="1:4" x14ac:dyDescent="0.3">
      <c r="A280" s="63"/>
      <c r="B280" s="63"/>
      <c r="C280" s="63"/>
      <c r="D280" s="64"/>
    </row>
    <row r="281" spans="1:4" x14ac:dyDescent="0.3">
      <c r="A281" s="63"/>
      <c r="B281" s="63"/>
      <c r="C281" s="63"/>
      <c r="D281" s="64"/>
    </row>
    <row r="282" spans="1:4" x14ac:dyDescent="0.3">
      <c r="A282" s="63"/>
      <c r="B282" s="63"/>
      <c r="C282" s="63"/>
      <c r="D282" s="64"/>
    </row>
    <row r="283" spans="1:4" x14ac:dyDescent="0.3">
      <c r="A283" s="63"/>
      <c r="B283" s="63"/>
      <c r="C283" s="63"/>
      <c r="D283" s="64"/>
    </row>
    <row r="284" spans="1:4" x14ac:dyDescent="0.3">
      <c r="A284" s="63"/>
      <c r="B284" s="63"/>
      <c r="C284" s="63"/>
      <c r="D284" s="64"/>
    </row>
    <row r="285" spans="1:4" x14ac:dyDescent="0.3">
      <c r="A285" s="63"/>
      <c r="B285" s="63"/>
      <c r="C285" s="63"/>
      <c r="D285" s="64"/>
    </row>
    <row r="286" spans="1:4" x14ac:dyDescent="0.3">
      <c r="A286" s="63"/>
      <c r="B286" s="65"/>
      <c r="C286" s="66"/>
      <c r="D286" s="67"/>
    </row>
    <row r="287" spans="1:4" x14ac:dyDescent="0.3">
      <c r="A287" s="63"/>
      <c r="B287" s="63"/>
      <c r="C287" s="63"/>
      <c r="D287" s="64"/>
    </row>
  </sheetData>
  <mergeCells count="44">
    <mergeCell ref="M45:N45"/>
    <mergeCell ref="K29:L29"/>
    <mergeCell ref="K32:L32"/>
    <mergeCell ref="K33:L33"/>
    <mergeCell ref="A3:D3"/>
    <mergeCell ref="K22:L22"/>
    <mergeCell ref="K23:L23"/>
    <mergeCell ref="K24:L24"/>
    <mergeCell ref="K28:L28"/>
    <mergeCell ref="K25:L25"/>
    <mergeCell ref="K30:L30"/>
    <mergeCell ref="K27:L27"/>
    <mergeCell ref="K35:L35"/>
    <mergeCell ref="K51:L51"/>
    <mergeCell ref="K52:L52"/>
    <mergeCell ref="A1:D1"/>
    <mergeCell ref="A2:D2"/>
    <mergeCell ref="A4:D4"/>
    <mergeCell ref="A21:B21"/>
    <mergeCell ref="K10:L10"/>
    <mergeCell ref="K50:L50"/>
    <mergeCell ref="K42:L42"/>
    <mergeCell ref="K43:L43"/>
    <mergeCell ref="K44:L44"/>
    <mergeCell ref="K45:L45"/>
    <mergeCell ref="A30:B30"/>
    <mergeCell ref="A37:B37"/>
    <mergeCell ref="A39:B39"/>
    <mergeCell ref="K34:L34"/>
    <mergeCell ref="K70:L70"/>
    <mergeCell ref="K71:L71"/>
    <mergeCell ref="M71:N71"/>
    <mergeCell ref="K65:L65"/>
    <mergeCell ref="M53:N53"/>
    <mergeCell ref="K68:L68"/>
    <mergeCell ref="K69:L69"/>
    <mergeCell ref="K58:L58"/>
    <mergeCell ref="K59:L59"/>
    <mergeCell ref="K62:L62"/>
    <mergeCell ref="K63:L63"/>
    <mergeCell ref="K64:L64"/>
    <mergeCell ref="K53:L53"/>
    <mergeCell ref="K56:L56"/>
    <mergeCell ref="K57:L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Presupuesto economico</vt:lpstr>
      <vt:lpstr>Contabilización Año 1</vt:lpstr>
      <vt:lpstr>Flujo de caja año 1</vt:lpstr>
      <vt:lpstr>Contabilización Año 2</vt:lpstr>
      <vt:lpstr>Flujo de caja año 2</vt:lpstr>
      <vt:lpstr>Estado de resultados</vt:lpstr>
      <vt:lpstr>Balance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yate</dc:creator>
  <cp:lastModifiedBy>cesar yate</cp:lastModifiedBy>
  <dcterms:created xsi:type="dcterms:W3CDTF">2020-04-18T00:21:48Z</dcterms:created>
  <dcterms:modified xsi:type="dcterms:W3CDTF">2020-06-12T15:02:27Z</dcterms:modified>
</cp:coreProperties>
</file>