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Gustavo\especialización Gerencia tecnologia\seminario\"/>
    </mc:Choice>
  </mc:AlternateContent>
  <xr:revisionPtr revIDLastSave="0" documentId="13_ncr:1_{B781693A-1BC5-4440-A6D9-830988201781}" xr6:coauthVersionLast="47" xr6:coauthVersionMax="47" xr10:uidLastSave="{00000000-0000-0000-0000-000000000000}"/>
  <bookViews>
    <workbookView xWindow="-110" yWindow="-110" windowWidth="19420" windowHeight="10420" xr2:uid="{4B8E8811-01A2-40B3-9EA4-E672752D75FF}"/>
  </bookViews>
  <sheets>
    <sheet name="Tabla de datos puros" sheetId="1" r:id="rId1"/>
    <sheet name="ETP" sheetId="2" r:id="rId2"/>
    <sheet name="Wilcoxon" sheetId="3" r:id="rId3"/>
    <sheet name="Kruskal-Wallis complejidad" sheetId="4" r:id="rId4"/>
    <sheet name="Kruskal-Wallis experiencia" sheetId="5" r:id="rId5"/>
  </sheets>
  <externalReferences>
    <externalReference r:id="rId6"/>
  </externalReferences>
  <definedNames>
    <definedName name="_xlnm._FilterDatabase" localSheetId="1" hidden="1">ETP!$B$2:$F$32</definedName>
    <definedName name="_xlnm._FilterDatabase" localSheetId="0" hidden="1">'Tabla de datos puros'!$B$2:$F$38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2" l="1"/>
  <c r="P42" i="5"/>
  <c r="P38" i="5"/>
  <c r="N38" i="5"/>
  <c r="O38" i="5"/>
  <c r="M38" i="5"/>
  <c r="N36" i="5"/>
  <c r="O36" i="5"/>
  <c r="M36" i="5"/>
  <c r="N35" i="5"/>
  <c r="O35" i="5"/>
  <c r="M35" i="5"/>
  <c r="F42" i="5"/>
  <c r="F38" i="5"/>
  <c r="D38" i="5"/>
  <c r="E38" i="5"/>
  <c r="C38" i="5"/>
  <c r="D36" i="5"/>
  <c r="E36" i="5"/>
  <c r="C36" i="5"/>
  <c r="D35" i="5"/>
  <c r="E35" i="5"/>
  <c r="C35" i="5"/>
  <c r="M25" i="4"/>
  <c r="M21" i="4"/>
  <c r="K21" i="4"/>
  <c r="L21" i="4"/>
  <c r="J21" i="4"/>
  <c r="K19" i="4"/>
  <c r="L19" i="4"/>
  <c r="J19" i="4"/>
  <c r="K18" i="4"/>
  <c r="L18" i="4"/>
  <c r="J18" i="4"/>
  <c r="F25" i="4"/>
  <c r="F21" i="4"/>
  <c r="D21" i="4"/>
  <c r="E21" i="4"/>
  <c r="C21" i="4"/>
  <c r="D19" i="4"/>
  <c r="E19" i="4"/>
  <c r="C19" i="4"/>
  <c r="D18" i="4"/>
  <c r="E18" i="4"/>
  <c r="C18" i="4"/>
  <c r="I15" i="3"/>
  <c r="I9" i="3"/>
  <c r="I8" i="3"/>
  <c r="J5" i="3"/>
  <c r="I5" i="3"/>
  <c r="I42" i="2"/>
  <c r="I41" i="2"/>
  <c r="I40" i="2"/>
  <c r="I39" i="2"/>
  <c r="I38" i="2"/>
  <c r="I37" i="2"/>
  <c r="I36" i="2"/>
  <c r="I35" i="2"/>
  <c r="F33" i="2"/>
  <c r="E33" i="2"/>
  <c r="C37" i="5"/>
  <c r="O37" i="5"/>
  <c r="N37" i="5"/>
  <c r="M37" i="5"/>
  <c r="J20" i="4"/>
  <c r="J6" i="3" a="1"/>
  <c r="E20" i="4"/>
  <c r="D20" i="4"/>
  <c r="C20" i="4"/>
  <c r="L20" i="4"/>
  <c r="I16" i="3"/>
  <c r="K20" i="4"/>
  <c r="I12" i="3"/>
  <c r="I6" i="3" a="1"/>
  <c r="E37" i="5"/>
  <c r="D37" i="5"/>
  <c r="I20" i="3"/>
  <c r="J20" i="3" l="1"/>
  <c r="E39" i="5"/>
  <c r="I10" i="3"/>
  <c r="I11" i="3" s="1"/>
  <c r="I17" i="3"/>
  <c r="K22" i="4"/>
  <c r="C22" i="4"/>
  <c r="F22" i="4" s="1"/>
  <c r="F23" i="4" s="1"/>
  <c r="J22" i="4"/>
  <c r="M22" i="4" s="1"/>
  <c r="M23" i="4" s="1"/>
  <c r="M39" i="5"/>
  <c r="P39" i="5" s="1"/>
  <c r="P40" i="5" s="1"/>
  <c r="C39" i="5"/>
  <c r="F39" i="5" s="1"/>
  <c r="F40" i="5" s="1"/>
  <c r="D39" i="5"/>
  <c r="N39" i="5"/>
  <c r="E22" i="4"/>
  <c r="D22" i="4"/>
  <c r="L22" i="4"/>
  <c r="O39" i="5"/>
  <c r="J6" i="3"/>
  <c r="I6" i="3"/>
  <c r="F41" i="5"/>
  <c r="P41" i="5"/>
  <c r="M24" i="4"/>
  <c r="F24" i="4"/>
  <c r="F26" i="4" l="1"/>
  <c r="F28" i="4" s="1"/>
  <c r="M26" i="4"/>
  <c r="M28" i="4" s="1"/>
  <c r="P43" i="5"/>
  <c r="P45" i="5" s="1"/>
  <c r="F43" i="5"/>
  <c r="F45" i="5" s="1"/>
  <c r="I19" i="3"/>
  <c r="J19" i="3" s="1"/>
  <c r="I18" i="3"/>
</calcChain>
</file>

<file path=xl/sharedStrings.xml><?xml version="1.0" encoding="utf-8"?>
<sst xmlns="http://schemas.openxmlformats.org/spreadsheetml/2006/main" count="368" uniqueCount="102">
  <si>
    <t>Desarrollador</t>
  </si>
  <si>
    <t>Nivel de Experiencia</t>
  </si>
  <si>
    <t>Nivel de Complejidad</t>
  </si>
  <si>
    <t>Estimación con IA (Horas)</t>
  </si>
  <si>
    <t>Estimación sin IA (Horas)</t>
  </si>
  <si>
    <t>Experto</t>
  </si>
  <si>
    <t>Master</t>
  </si>
  <si>
    <t>Baja</t>
  </si>
  <si>
    <t>Media</t>
  </si>
  <si>
    <t>Alta</t>
  </si>
  <si>
    <t>Senior</t>
  </si>
  <si>
    <t>Junior</t>
  </si>
  <si>
    <t>N/A</t>
  </si>
  <si>
    <t>ETP</t>
  </si>
  <si>
    <t>ETP Experto</t>
  </si>
  <si>
    <t>Total</t>
  </si>
  <si>
    <t>Total ETP</t>
  </si>
  <si>
    <t>Total Experto</t>
  </si>
  <si>
    <t>Total Alta</t>
  </si>
  <si>
    <t>Total Media</t>
  </si>
  <si>
    <t>Total Baja</t>
  </si>
  <si>
    <t>ETP Alta</t>
  </si>
  <si>
    <t>ETP Media</t>
  </si>
  <si>
    <t>ETP Baja</t>
  </si>
  <si>
    <t>Total Master</t>
  </si>
  <si>
    <t>Total Senior</t>
  </si>
  <si>
    <t>Total Junior</t>
  </si>
  <si>
    <t>ETP Master</t>
  </si>
  <si>
    <t>ETP Senior</t>
  </si>
  <si>
    <t>ETP Junior</t>
  </si>
  <si>
    <t>median</t>
  </si>
  <si>
    <t>count</t>
  </si>
  <si>
    <t># unequal</t>
  </si>
  <si>
    <t>T+</t>
  </si>
  <si>
    <t>T-</t>
  </si>
  <si>
    <t>T</t>
  </si>
  <si>
    <t>one tail</t>
  </si>
  <si>
    <t>two tail</t>
  </si>
  <si>
    <t>mean</t>
  </si>
  <si>
    <t>std dev</t>
  </si>
  <si>
    <t>ties</t>
  </si>
  <si>
    <t>z-score</t>
  </si>
  <si>
    <t>yates</t>
  </si>
  <si>
    <t>effect r</t>
  </si>
  <si>
    <t>p-norm</t>
  </si>
  <si>
    <t>p-exact</t>
  </si>
  <si>
    <t>p-simul</t>
  </si>
  <si>
    <r>
      <t>H</t>
    </r>
    <r>
      <rPr>
        <sz val="12"/>
        <rFont val="Century Gothic"/>
        <family val="2"/>
      </rPr>
      <t>0​</t>
    </r>
    <r>
      <rPr>
        <b/>
        <sz val="12"/>
        <rFont val="Century Gothic"/>
        <family val="2"/>
      </rPr>
      <t xml:space="preserve"> (Hipótesis Nula):</t>
    </r>
    <r>
      <rPr>
        <sz val="12"/>
        <rFont val="Century Gothic"/>
        <family val="2"/>
      </rPr>
      <t xml:space="preserve"> No existe una diferencia significativa entre el tiempo de desarrollo con IA y el método tradicional.</t>
    </r>
  </si>
  <si>
    <r>
      <t>H</t>
    </r>
    <r>
      <rPr>
        <sz val="12"/>
        <rFont val="Century Gothic"/>
        <family val="2"/>
      </rPr>
      <t>1​</t>
    </r>
    <r>
      <rPr>
        <b/>
        <sz val="12"/>
        <rFont val="Century Gothic"/>
        <family val="2"/>
      </rPr>
      <t xml:space="preserve"> (Hipótesis Alternativa):</t>
    </r>
    <r>
      <rPr>
        <sz val="12"/>
        <rFont val="Century Gothic"/>
        <family val="2"/>
      </rPr>
      <t xml:space="preserve"> El uso de IA produce una reducción significativa en los tiempos de desarrollo estimados.</t>
    </r>
  </si>
  <si>
    <t>Resultados: P-Value y Significado
P-Value: Con un valor Z de -4.78, el p-valor es inferior a 0.00001 (p&lt;0.0001).
Significancia: El resultado es extremedamente significativo.</t>
  </si>
  <si>
    <t>Definición de Hipótesis</t>
  </si>
  <si>
    <t>Participante</t>
  </si>
  <si>
    <t>Baja Complejidad (h)</t>
  </si>
  <si>
    <t>Media Complejidad (h)</t>
  </si>
  <si>
    <t>Alta Complejidad (h)</t>
  </si>
  <si>
    <t>Desarrollador 1</t>
  </si>
  <si>
    <t>Desarrollador 2</t>
  </si>
  <si>
    <t>Desarrollador 3</t>
  </si>
  <si>
    <t>Desarrollador 4</t>
  </si>
  <si>
    <t>Desarrollador 5</t>
  </si>
  <si>
    <t>Desarrollador 6</t>
  </si>
  <si>
    <t>Desarrollador 7</t>
  </si>
  <si>
    <t>Desarrollador 8</t>
  </si>
  <si>
    <t>Desarrollador 9</t>
  </si>
  <si>
    <t>Desarrollador 10</t>
  </si>
  <si>
    <t>Desarrollador 11</t>
  </si>
  <si>
    <t>Prueba de Kruskal-Wallis - Método TRADICIONAL (Sin IA)
Esta tabla incluye a los 11 desarrolladores de la encuesta y al experto</t>
  </si>
  <si>
    <t>Kruskal-Wallis Test</t>
  </si>
  <si>
    <t>rank sum</t>
  </si>
  <si>
    <t>r^2/n</t>
  </si>
  <si>
    <t>H-stat</t>
  </si>
  <si>
    <t>H-ties</t>
  </si>
  <si>
    <t>df</t>
  </si>
  <si>
    <t>p-value</t>
  </si>
  <si>
    <t>alpha</t>
  </si>
  <si>
    <t>sig</t>
  </si>
  <si>
    <t>Prueba de Kruskal-Wallis - Método ASISTIDO (Con IA)
Esta tabla incluye únicamente a los 10 participantes que reportaron el uso de asistentes de IA (9 de la encuesta y el experto)</t>
  </si>
  <si>
    <t>Junior (D4)</t>
  </si>
  <si>
    <t>Senior (D2, D3, D5, D6, D7, D8, D9, D10, D11)</t>
  </si>
  <si>
    <t>Master (Experto, D1)</t>
  </si>
  <si>
    <t>Prueba de Kruskal-Wallis - Método TRADICIONAL (Sin IA)
En esta tabla se incluyen los datos de todos los participantes, ya que todos proporcionaron estimaciones para el método sin asistencia</t>
  </si>
  <si>
    <t>Prueba de Kruskal-Wallis - Método ASISTIDO (Con IA)
En esta tabla se excluyen los desarrolladores 8 y 10, ya que indicaron en la fuente que no utilizan asistentes de IA</t>
  </si>
  <si>
    <t>Senior (D2, D3, D5, D6, D7, D9, D11)</t>
  </si>
  <si>
    <t>Resultado del Estadístico H: 1.11</t>
  </si>
  <si>
    <t>P-value: 0.5741</t>
  </si>
  <si>
    <t>Interpretación: El resultado no es estadísticamente significativo (p&gt;0.05). No se puede rechazar la hipótesis nula. Esto indica que, en el método tradicional, no existe una diferencia predominante en los tiempos de estimación basada únicamente en el rango del desarrollador dentro de esta muestra</t>
  </si>
  <si>
    <t>Resultado del Estadístico H: 0.61</t>
  </si>
  <si>
    <t>P-value: 0.7371</t>
  </si>
  <si>
    <t>Interpretación: El resultado no es estadísticamente significativo. Al igual que en el método tradicional, la experiencia por sí sola no genera grupos de tiempo diferenciados de manera contundente cuando se analiza la muestra global</t>
  </si>
  <si>
    <t>Hipótesis: Se busca determinar si los Masters o Seniors son significativamente más rápidos que el Junior en el método tradicional</t>
  </si>
  <si>
    <t>Hipótesis: Determinar si la IA beneficia más a un nivel de experiencia que a otro (ej. si "nivela" al Junior con los Seniors)</t>
  </si>
  <si>
    <t>Estadístico H: 31.13</t>
  </si>
  <si>
    <t>P-value: &lt; 0.0001</t>
  </si>
  <si>
    <t>Interpretación: El resultado es extremadamente significativo. Con un p-valor tan bajo, se rechaza la hipótesis nula con total seguridad científica. En el desarrollo tradicional, los niveles de complejidad (Baja, Media y Alta) están perfectamente diferenciados y no presentan solapamiento entre sus rangos. Por ejemplo, el tiempo más alto en baja complejidad (63h) es drásticamente inferior al más bajo en media complejidad (260h), lo que confirma que la dificultad técnica es el predictor absoluto del esfuerzo requerido</t>
  </si>
  <si>
    <t>Estadístico H: 23.69</t>
  </si>
  <si>
    <t>Interpretación: El resultado sigue siendo altamente significativo. A pesar del uso de IA, la complejidad sigue imponiendo una diferencia de esfuerzo real. Se observa que el valor de H disminuye (de 31.13 a 23.69) debido a que existe un leve solapamiento entre los rangos de media y alta complejidad; por ejemplo, el Desarrollador 1 estima 240h para alta complejidad con IA, mientras que el experto estima 254h para media complejidad. No obstante, la tendencia al incremento de horas según la dificultad se mantiene firme, lo que valida que la IA optimiza la productividad pero no elimina la brecha impuesta por la complejidad técnica</t>
  </si>
  <si>
    <t>Conclusión: Se rechaza la hipótesis nula con un nivel de confianza superior al 99.99%. Este análisis estadístico robusto confirma que la introducción de asistentes de IA (principalmente Claudecode) en la organización no solo es una percepción subjetiva, sino un fenómeno de optimización real y constante que afecta positivamente independientemente de las escalas de complejidad y de la experiencia en el desarrollo de software.
Desde la ingeniería de software, este resultado valida que la IA actúa como un estándar de productividad que reduce significativamente la carga de horas-hombre en los proyectos analizados.</t>
  </si>
  <si>
    <r>
      <t xml:space="preserve">Hipótesis </t>
    </r>
    <r>
      <rPr>
        <b/>
        <sz val="12"/>
        <rFont val="Aptos Narrow"/>
        <family val="2"/>
        <scheme val="minor"/>
      </rPr>
      <t>Nula</t>
    </r>
    <r>
      <rPr>
        <sz val="12"/>
        <rFont val="Aptos Narrow"/>
        <family val="2"/>
        <scheme val="minor"/>
      </rPr>
      <t xml:space="preserve"> (H0​): No existen diferencias estadísticamente significativas en la mediana de los tiempos de desarrollo estimados sin IA entre los niveles de baja, media y alta complejidad. (Es decir, la complejidad no influye en el tiempo).</t>
    </r>
  </si>
  <si>
    <r>
      <t xml:space="preserve">Hipótesis </t>
    </r>
    <r>
      <rPr>
        <b/>
        <sz val="12"/>
        <rFont val="Aptos Narrow"/>
        <family val="2"/>
        <scheme val="minor"/>
      </rPr>
      <t>Alternativa</t>
    </r>
    <r>
      <rPr>
        <sz val="12"/>
        <rFont val="Aptos Narrow"/>
        <family val="2"/>
        <scheme val="minor"/>
      </rPr>
      <t xml:space="preserve"> (H1​): Existe al menos una diferencia significativa en la mediana de los tiempos de desarrollo estimados sin IA entre, al menos, dos de los niveles de complejidad</t>
    </r>
  </si>
  <si>
    <r>
      <t xml:space="preserve">Hipótesis </t>
    </r>
    <r>
      <rPr>
        <b/>
        <sz val="12"/>
        <rFont val="Aptos Narrow"/>
        <family val="2"/>
        <scheme val="minor"/>
      </rPr>
      <t>Nula</t>
    </r>
    <r>
      <rPr>
        <sz val="12"/>
        <rFont val="Aptos Narrow"/>
        <family val="2"/>
        <scheme val="minor"/>
      </rPr>
      <t xml:space="preserve"> (H0): No existen diferencias estadísticamente significativas en la mediana de los tiempos de desarrollo estimados con IA entre los niveles de baja, media y alta complejidad. (Es decir, la IA "aplana" tanto la curva que el tiempo es similar sin importar la dificultad).</t>
    </r>
  </si>
  <si>
    <r>
      <t xml:space="preserve">Hipótesis </t>
    </r>
    <r>
      <rPr>
        <b/>
        <sz val="12"/>
        <rFont val="Aptos Narrow"/>
        <family val="2"/>
        <scheme val="minor"/>
      </rPr>
      <t>Alternativa</t>
    </r>
    <r>
      <rPr>
        <sz val="12"/>
        <rFont val="Aptos Narrow"/>
        <family val="2"/>
        <scheme val="minor"/>
      </rPr>
      <t xml:space="preserve"> (H1): Existe al menos una diferencia significativa en la mediana de los tiempos de desarrollo estimados con IA entre los niveles de complejidad</t>
    </r>
  </si>
  <si>
    <t xml:space="preserve">Real Statistics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</si>
</sst>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0.000000000"/>
  </numFmts>
  <fonts count="6" x14ac:knownFonts="1">
    <font>
      <sz val="11"/>
      <color theme="1"/>
      <name val="Aptos Narrow"/>
      <family val="2"/>
      <scheme val="minor"/>
    </font>
    <font>
      <sz val="11"/>
      <color theme="1"/>
      <name val="Aptos Narrow"/>
      <family val="2"/>
      <scheme val="minor"/>
    </font>
    <font>
      <sz val="12"/>
      <name val="Century Gothic"/>
      <family val="2"/>
    </font>
    <font>
      <b/>
      <sz val="12"/>
      <name val="Century Gothic"/>
      <family val="2"/>
    </font>
    <font>
      <b/>
      <sz val="12"/>
      <name val="Aptos Narrow"/>
      <family val="2"/>
      <scheme val="minor"/>
    </font>
    <font>
      <sz val="12"/>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10" fontId="0" fillId="0" borderId="0" xfId="1" applyNumberFormat="1" applyFont="1"/>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3" xfId="0" applyBorder="1" applyAlignment="1">
      <alignment horizontal="right"/>
    </xf>
    <xf numFmtId="0" fontId="0" fillId="2" borderId="2" xfId="0" applyFill="1" applyBorder="1"/>
    <xf numFmtId="164" fontId="0" fillId="2" borderId="2" xfId="0" applyNumberFormat="1" applyFill="1" applyBorder="1"/>
    <xf numFmtId="0" fontId="0" fillId="2" borderId="3" xfId="0" applyFill="1" applyBorder="1" applyAlignment="1">
      <alignment horizontal="right"/>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2" xfId="0" applyBorder="1"/>
    <xf numFmtId="0" fontId="0" fillId="0" borderId="12" xfId="0" applyBorder="1" applyAlignment="1">
      <alignment horizontal="center"/>
    </xf>
    <xf numFmtId="0" fontId="0" fillId="2" borderId="12" xfId="0" applyFill="1" applyBorder="1"/>
    <xf numFmtId="165" fontId="0" fillId="0" borderId="12" xfId="0" applyNumberFormat="1" applyBorder="1"/>
    <xf numFmtId="165" fontId="0" fillId="2" borderId="12" xfId="0" applyNumberFormat="1" applyFill="1" applyBorder="1"/>
    <xf numFmtId="0" fontId="0" fillId="0" borderId="0" xfId="0" applyAlignment="1">
      <alignment horizontal="left" wrapText="1"/>
    </xf>
    <xf numFmtId="0" fontId="0" fillId="0" borderId="0" xfId="0"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196850</xdr:colOff>
      <xdr:row>0</xdr:row>
      <xdr:rowOff>95249</xdr:rowOff>
    </xdr:from>
    <xdr:to>
      <xdr:col>16</xdr:col>
      <xdr:colOff>254059</xdr:colOff>
      <xdr:row>6</xdr:row>
      <xdr:rowOff>0</xdr:rowOff>
    </xdr:to>
    <xdr:pic>
      <xdr:nvPicPr>
        <xdr:cNvPr id="2" name="Picture 1">
          <a:extLst>
            <a:ext uri="{FF2B5EF4-FFF2-40B4-BE49-F238E27FC236}">
              <a16:creationId xmlns:a16="http://schemas.microsoft.com/office/drawing/2014/main" id="{36F4608E-78B1-41A6-77CF-3A665D2BEBB0}"/>
            </a:ext>
          </a:extLst>
        </xdr:cNvPr>
        <xdr:cNvPicPr>
          <a:picLocks noChangeAspect="1"/>
        </xdr:cNvPicPr>
      </xdr:nvPicPr>
      <xdr:blipFill>
        <a:blip xmlns:r="http://schemas.openxmlformats.org/officeDocument/2006/relationships" r:embed="rId1"/>
        <a:stretch>
          <a:fillRect/>
        </a:stretch>
      </xdr:blipFill>
      <xdr:spPr>
        <a:xfrm>
          <a:off x="8102600" y="95249"/>
          <a:ext cx="3105209" cy="1362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anv\AppData\Local\Packages\Microsoft.Office.Desktop_8wekyb3d8bbwe\LocalCache\Roaming\Microsoft\AddIns\XRealStats.xlam" TargetMode="External"/><Relationship Id="rId1" Type="http://schemas.openxmlformats.org/officeDocument/2006/relationships/externalLinkPath" Target="file:///C:\Users\juanv\AppData\Local\Packages\Microsoft.Office.Desktop_8wekyb3d8bbwe\LocalCache\Roaming\Microsoft\AddIns\XRealStat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fig"/>
      <sheetName val="Wilcoxon Table"/>
      <sheetName val="Mann Table"/>
      <sheetName val="Runs Table"/>
      <sheetName val="KS Table"/>
      <sheetName val="KS2 Table"/>
      <sheetName val="Lil Table"/>
      <sheetName val="AD Table"/>
      <sheetName val="AD2 Table"/>
      <sheetName val="SW Table"/>
      <sheetName val="Stud. Q Table"/>
      <sheetName val="Stud. Q Table 2"/>
      <sheetName val="Sp Rho Table"/>
      <sheetName val="Ken Tau Table"/>
      <sheetName val="Durbin Table"/>
      <sheetName val="Dunnett Table"/>
      <sheetName val="Dunnett 1"/>
      <sheetName val="Kendall Tc"/>
      <sheetName val="Kendall u"/>
      <sheetName val="Page Table"/>
      <sheetName val="Prime"/>
      <sheetName val="MSSD"/>
      <sheetName val="Dict"/>
      <sheetName val="ADict"/>
      <sheetName val="L4 2"/>
      <sheetName val="L8 2"/>
      <sheetName val="L8 42"/>
      <sheetName val="L9 3"/>
      <sheetName val="L12 2"/>
      <sheetName val="L16 2"/>
      <sheetName val="L16 4"/>
      <sheetName val="L16 42a"/>
      <sheetName val="L18 23"/>
      <sheetName val="L18 63"/>
      <sheetName val="L25 5"/>
      <sheetName val="L27 3"/>
      <sheetName val="L32 2"/>
      <sheetName val="L32 24"/>
      <sheetName val="L36 23a"/>
      <sheetName val="L36 23b"/>
      <sheetName val="L50 25"/>
      <sheetName val="L54 23"/>
      <sheetName val="L64 4"/>
      <sheetName val="T2"/>
      <sheetName val="T3"/>
      <sheetName val="T4"/>
      <sheetName val="Roy"/>
      <sheetName val="Pillai"/>
      <sheetName val="Wilk"/>
      <sheetName val="Hotel"/>
    </sheetNames>
    <definedNames>
      <definedName name="DELROWS"/>
      <definedName name="MERGE"/>
      <definedName name="RANK_SUM"/>
      <definedName name="SRANK"/>
      <definedName name="SRDIST"/>
      <definedName name="TiesCorrectio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88FA-F24B-4192-89BA-8B9441B6D093}">
  <sheetPr filterMode="1"/>
  <dimension ref="B2:F38"/>
  <sheetViews>
    <sheetView tabSelected="1" workbookViewId="0">
      <selection activeCell="J12" sqref="J12"/>
    </sheetView>
  </sheetViews>
  <sheetFormatPr defaultRowHeight="14.5" x14ac:dyDescent="0.35"/>
  <cols>
    <col min="1" max="1" width="2.26953125" customWidth="1"/>
    <col min="2" max="6" width="17.1796875" customWidth="1"/>
  </cols>
  <sheetData>
    <row r="2" spans="2:6" x14ac:dyDescent="0.35">
      <c r="B2" s="3" t="s">
        <v>0</v>
      </c>
      <c r="C2" s="3" t="s">
        <v>1</v>
      </c>
      <c r="D2" s="3" t="s">
        <v>2</v>
      </c>
      <c r="E2" s="3" t="s">
        <v>3</v>
      </c>
      <c r="F2" s="3" t="s">
        <v>4</v>
      </c>
    </row>
    <row r="3" spans="2:6" x14ac:dyDescent="0.35">
      <c r="B3" s="3" t="s">
        <v>5</v>
      </c>
      <c r="C3" s="3" t="s">
        <v>6</v>
      </c>
      <c r="D3" s="3" t="s">
        <v>7</v>
      </c>
      <c r="E3" s="3">
        <v>26</v>
      </c>
      <c r="F3" s="3">
        <v>48</v>
      </c>
    </row>
    <row r="4" spans="2:6" x14ac:dyDescent="0.35">
      <c r="B4" s="3" t="s">
        <v>5</v>
      </c>
      <c r="C4" s="3" t="s">
        <v>6</v>
      </c>
      <c r="D4" s="3" t="s">
        <v>8</v>
      </c>
      <c r="E4" s="3">
        <v>254</v>
      </c>
      <c r="F4" s="3">
        <v>332</v>
      </c>
    </row>
    <row r="5" spans="2:6" x14ac:dyDescent="0.35">
      <c r="B5" s="3" t="s">
        <v>5</v>
      </c>
      <c r="C5" s="3" t="s">
        <v>6</v>
      </c>
      <c r="D5" s="3" t="s">
        <v>9</v>
      </c>
      <c r="E5" s="3">
        <v>361</v>
      </c>
      <c r="F5" s="3">
        <v>437</v>
      </c>
    </row>
    <row r="6" spans="2:6" x14ac:dyDescent="0.35">
      <c r="B6" s="3">
        <v>1</v>
      </c>
      <c r="C6" s="3" t="s">
        <v>6</v>
      </c>
      <c r="D6" s="3" t="s">
        <v>7</v>
      </c>
      <c r="E6" s="3">
        <v>24</v>
      </c>
      <c r="F6" s="3">
        <v>40</v>
      </c>
    </row>
    <row r="7" spans="2:6" x14ac:dyDescent="0.35">
      <c r="B7" s="3">
        <v>1</v>
      </c>
      <c r="C7" s="3" t="s">
        <v>6</v>
      </c>
      <c r="D7" s="3" t="s">
        <v>8</v>
      </c>
      <c r="E7" s="3">
        <v>175</v>
      </c>
      <c r="F7" s="3">
        <v>260</v>
      </c>
    </row>
    <row r="8" spans="2:6" x14ac:dyDescent="0.35">
      <c r="B8" s="3">
        <v>1</v>
      </c>
      <c r="C8" s="3" t="s">
        <v>6</v>
      </c>
      <c r="D8" s="3" t="s">
        <v>9</v>
      </c>
      <c r="E8" s="3">
        <v>240</v>
      </c>
      <c r="F8" s="3">
        <v>372</v>
      </c>
    </row>
    <row r="9" spans="2:6" x14ac:dyDescent="0.35">
      <c r="B9" s="3">
        <v>2</v>
      </c>
      <c r="C9" s="3" t="s">
        <v>10</v>
      </c>
      <c r="D9" s="3" t="s">
        <v>7</v>
      </c>
      <c r="E9" s="3">
        <v>49</v>
      </c>
      <c r="F9" s="3">
        <v>63</v>
      </c>
    </row>
    <row r="10" spans="2:6" x14ac:dyDescent="0.35">
      <c r="B10" s="3">
        <v>2</v>
      </c>
      <c r="C10" s="3" t="s">
        <v>10</v>
      </c>
      <c r="D10" s="3" t="s">
        <v>8</v>
      </c>
      <c r="E10" s="3">
        <v>220</v>
      </c>
      <c r="F10" s="3">
        <v>340</v>
      </c>
    </row>
    <row r="11" spans="2:6" x14ac:dyDescent="0.35">
      <c r="B11" s="3">
        <v>2</v>
      </c>
      <c r="C11" s="3" t="s">
        <v>10</v>
      </c>
      <c r="D11" s="3" t="s">
        <v>9</v>
      </c>
      <c r="E11" s="3">
        <v>432</v>
      </c>
      <c r="F11" s="3">
        <v>510</v>
      </c>
    </row>
    <row r="12" spans="2:6" x14ac:dyDescent="0.35">
      <c r="B12" s="3">
        <v>3</v>
      </c>
      <c r="C12" s="3" t="s">
        <v>10</v>
      </c>
      <c r="D12" s="3" t="s">
        <v>7</v>
      </c>
      <c r="E12" s="3">
        <v>24</v>
      </c>
      <c r="F12" s="3">
        <v>32</v>
      </c>
    </row>
    <row r="13" spans="2:6" x14ac:dyDescent="0.35">
      <c r="B13" s="3">
        <v>3</v>
      </c>
      <c r="C13" s="3" t="s">
        <v>10</v>
      </c>
      <c r="D13" s="3" t="s">
        <v>8</v>
      </c>
      <c r="E13" s="3">
        <v>210</v>
      </c>
      <c r="F13" s="3">
        <v>280</v>
      </c>
    </row>
    <row r="14" spans="2:6" x14ac:dyDescent="0.35">
      <c r="B14" s="3">
        <v>3</v>
      </c>
      <c r="C14" s="3" t="s">
        <v>10</v>
      </c>
      <c r="D14" s="3" t="s">
        <v>9</v>
      </c>
      <c r="E14" s="3">
        <v>262</v>
      </c>
      <c r="F14" s="3">
        <v>390</v>
      </c>
    </row>
    <row r="15" spans="2:6" x14ac:dyDescent="0.35">
      <c r="B15" s="3">
        <v>4</v>
      </c>
      <c r="C15" s="3" t="s">
        <v>11</v>
      </c>
      <c r="D15" s="3" t="s">
        <v>7</v>
      </c>
      <c r="E15" s="3">
        <v>41</v>
      </c>
      <c r="F15" s="3">
        <v>60</v>
      </c>
    </row>
    <row r="16" spans="2:6" x14ac:dyDescent="0.35">
      <c r="B16" s="3">
        <v>4</v>
      </c>
      <c r="C16" s="3" t="s">
        <v>11</v>
      </c>
      <c r="D16" s="3" t="s">
        <v>8</v>
      </c>
      <c r="E16" s="3">
        <v>311</v>
      </c>
      <c r="F16" s="3">
        <v>365</v>
      </c>
    </row>
    <row r="17" spans="2:6" x14ac:dyDescent="0.35">
      <c r="B17" s="3">
        <v>4</v>
      </c>
      <c r="C17" s="3" t="s">
        <v>11</v>
      </c>
      <c r="D17" s="3" t="s">
        <v>9</v>
      </c>
      <c r="E17" s="3">
        <v>360</v>
      </c>
      <c r="F17" s="3">
        <v>490</v>
      </c>
    </row>
    <row r="18" spans="2:6" x14ac:dyDescent="0.35">
      <c r="B18" s="3">
        <v>5</v>
      </c>
      <c r="C18" s="3" t="s">
        <v>10</v>
      </c>
      <c r="D18" s="3" t="s">
        <v>7</v>
      </c>
      <c r="E18" s="3">
        <v>24</v>
      </c>
      <c r="F18" s="3">
        <v>46</v>
      </c>
    </row>
    <row r="19" spans="2:6" x14ac:dyDescent="0.35">
      <c r="B19" s="3">
        <v>5</v>
      </c>
      <c r="C19" s="3" t="s">
        <v>10</v>
      </c>
      <c r="D19" s="3" t="s">
        <v>8</v>
      </c>
      <c r="E19" s="3">
        <v>194</v>
      </c>
      <c r="F19" s="3">
        <v>326</v>
      </c>
    </row>
    <row r="20" spans="2:6" x14ac:dyDescent="0.35">
      <c r="B20" s="3">
        <v>5</v>
      </c>
      <c r="C20" s="3" t="s">
        <v>10</v>
      </c>
      <c r="D20" s="3" t="s">
        <v>9</v>
      </c>
      <c r="E20" s="3">
        <v>280</v>
      </c>
      <c r="F20" s="3">
        <v>443</v>
      </c>
    </row>
    <row r="21" spans="2:6" x14ac:dyDescent="0.35">
      <c r="B21" s="3">
        <v>6</v>
      </c>
      <c r="C21" s="3" t="s">
        <v>10</v>
      </c>
      <c r="D21" s="3" t="s">
        <v>7</v>
      </c>
      <c r="E21" s="3">
        <v>44</v>
      </c>
      <c r="F21" s="3">
        <v>52</v>
      </c>
    </row>
    <row r="22" spans="2:6" x14ac:dyDescent="0.35">
      <c r="B22" s="3">
        <v>6</v>
      </c>
      <c r="C22" s="3" t="s">
        <v>10</v>
      </c>
      <c r="D22" s="3" t="s">
        <v>8</v>
      </c>
      <c r="E22" s="3">
        <v>330</v>
      </c>
      <c r="F22" s="3">
        <v>358</v>
      </c>
    </row>
    <row r="23" spans="2:6" x14ac:dyDescent="0.35">
      <c r="B23" s="3">
        <v>6</v>
      </c>
      <c r="C23" s="3" t="s">
        <v>10</v>
      </c>
      <c r="D23" s="3" t="s">
        <v>9</v>
      </c>
      <c r="E23" s="3">
        <v>430</v>
      </c>
      <c r="F23" s="3">
        <v>447</v>
      </c>
    </row>
    <row r="24" spans="2:6" x14ac:dyDescent="0.35">
      <c r="B24" s="3">
        <v>7</v>
      </c>
      <c r="C24" s="3" t="s">
        <v>10</v>
      </c>
      <c r="D24" s="3" t="s">
        <v>7</v>
      </c>
      <c r="E24" s="3">
        <v>12</v>
      </c>
      <c r="F24" s="3">
        <v>41</v>
      </c>
    </row>
    <row r="25" spans="2:6" x14ac:dyDescent="0.35">
      <c r="B25" s="3">
        <v>7</v>
      </c>
      <c r="C25" s="3" t="s">
        <v>10</v>
      </c>
      <c r="D25" s="3" t="s">
        <v>8</v>
      </c>
      <c r="E25" s="3">
        <v>183</v>
      </c>
      <c r="F25" s="3">
        <v>320</v>
      </c>
    </row>
    <row r="26" spans="2:6" x14ac:dyDescent="0.35">
      <c r="B26" s="3">
        <v>7</v>
      </c>
      <c r="C26" s="3" t="s">
        <v>10</v>
      </c>
      <c r="D26" s="3" t="s">
        <v>9</v>
      </c>
      <c r="E26" s="3">
        <v>259</v>
      </c>
      <c r="F26" s="3">
        <v>428</v>
      </c>
    </row>
    <row r="27" spans="2:6" hidden="1" x14ac:dyDescent="0.35">
      <c r="B27" s="3">
        <v>8</v>
      </c>
      <c r="C27" s="3" t="s">
        <v>10</v>
      </c>
      <c r="D27" s="3" t="s">
        <v>7</v>
      </c>
      <c r="E27" s="3" t="s">
        <v>12</v>
      </c>
      <c r="F27" s="3">
        <v>52</v>
      </c>
    </row>
    <row r="28" spans="2:6" hidden="1" x14ac:dyDescent="0.35">
      <c r="B28" s="3">
        <v>8</v>
      </c>
      <c r="C28" s="3" t="s">
        <v>10</v>
      </c>
      <c r="D28" s="3" t="s">
        <v>8</v>
      </c>
      <c r="E28" s="3" t="s">
        <v>12</v>
      </c>
      <c r="F28" s="3">
        <v>346</v>
      </c>
    </row>
    <row r="29" spans="2:6" hidden="1" x14ac:dyDescent="0.35">
      <c r="B29" s="3">
        <v>8</v>
      </c>
      <c r="C29" s="3" t="s">
        <v>10</v>
      </c>
      <c r="D29" s="3" t="s">
        <v>9</v>
      </c>
      <c r="E29" s="3" t="s">
        <v>12</v>
      </c>
      <c r="F29" s="3">
        <v>449</v>
      </c>
    </row>
    <row r="30" spans="2:6" x14ac:dyDescent="0.35">
      <c r="B30" s="3">
        <v>9</v>
      </c>
      <c r="C30" s="3" t="s">
        <v>10</v>
      </c>
      <c r="D30" s="3" t="s">
        <v>7</v>
      </c>
      <c r="E30" s="3">
        <v>21</v>
      </c>
      <c r="F30" s="3">
        <v>56</v>
      </c>
    </row>
    <row r="31" spans="2:6" x14ac:dyDescent="0.35">
      <c r="B31" s="3">
        <v>9</v>
      </c>
      <c r="C31" s="3" t="s">
        <v>10</v>
      </c>
      <c r="D31" s="3" t="s">
        <v>8</v>
      </c>
      <c r="E31" s="3">
        <v>203</v>
      </c>
      <c r="F31" s="3">
        <v>337</v>
      </c>
    </row>
    <row r="32" spans="2:6" x14ac:dyDescent="0.35">
      <c r="B32" s="3">
        <v>9</v>
      </c>
      <c r="C32" s="3" t="s">
        <v>10</v>
      </c>
      <c r="D32" s="3" t="s">
        <v>9</v>
      </c>
      <c r="E32" s="3">
        <v>390</v>
      </c>
      <c r="F32" s="3">
        <v>408</v>
      </c>
    </row>
    <row r="33" spans="2:6" hidden="1" x14ac:dyDescent="0.35">
      <c r="B33" s="3">
        <v>10</v>
      </c>
      <c r="C33" s="3" t="s">
        <v>10</v>
      </c>
      <c r="D33" s="3" t="s">
        <v>7</v>
      </c>
      <c r="E33" s="3" t="s">
        <v>12</v>
      </c>
      <c r="F33" s="3">
        <v>49</v>
      </c>
    </row>
    <row r="34" spans="2:6" hidden="1" x14ac:dyDescent="0.35">
      <c r="B34" s="3">
        <v>10</v>
      </c>
      <c r="C34" s="3" t="s">
        <v>10</v>
      </c>
      <c r="D34" s="3" t="s">
        <v>8</v>
      </c>
      <c r="E34" s="3" t="s">
        <v>12</v>
      </c>
      <c r="F34" s="3">
        <v>336</v>
      </c>
    </row>
    <row r="35" spans="2:6" hidden="1" x14ac:dyDescent="0.35">
      <c r="B35" s="3">
        <v>10</v>
      </c>
      <c r="C35" s="3" t="s">
        <v>10</v>
      </c>
      <c r="D35" s="3" t="s">
        <v>9</v>
      </c>
      <c r="E35" s="3" t="s">
        <v>12</v>
      </c>
      <c r="F35" s="3">
        <v>436</v>
      </c>
    </row>
    <row r="36" spans="2:6" x14ac:dyDescent="0.35">
      <c r="B36" s="3">
        <v>11</v>
      </c>
      <c r="C36" s="3" t="s">
        <v>10</v>
      </c>
      <c r="D36" s="3" t="s">
        <v>7</v>
      </c>
      <c r="E36" s="3">
        <v>34</v>
      </c>
      <c r="F36" s="3">
        <v>57</v>
      </c>
    </row>
    <row r="37" spans="2:6" x14ac:dyDescent="0.35">
      <c r="B37" s="3">
        <v>11</v>
      </c>
      <c r="C37" s="3" t="s">
        <v>10</v>
      </c>
      <c r="D37" s="3" t="s">
        <v>8</v>
      </c>
      <c r="E37" s="3">
        <v>223</v>
      </c>
      <c r="F37" s="3">
        <v>326</v>
      </c>
    </row>
    <row r="38" spans="2:6" x14ac:dyDescent="0.35">
      <c r="B38" s="3">
        <v>11</v>
      </c>
      <c r="C38" s="3" t="s">
        <v>10</v>
      </c>
      <c r="D38" s="3" t="s">
        <v>9</v>
      </c>
      <c r="E38" s="3">
        <v>353</v>
      </c>
      <c r="F38" s="3">
        <v>486</v>
      </c>
    </row>
  </sheetData>
  <autoFilter ref="B2:F38" xr:uid="{228788FA-F24B-4192-89BA-8B9441B6D093}">
    <filterColumn colId="3">
      <filters>
        <filter val="12"/>
        <filter val="175"/>
        <filter val="183"/>
        <filter val="194"/>
        <filter val="203"/>
        <filter val="21"/>
        <filter val="210"/>
        <filter val="220"/>
        <filter val="223"/>
        <filter val="24"/>
        <filter val="240"/>
        <filter val="254"/>
        <filter val="259"/>
        <filter val="26"/>
        <filter val="262"/>
        <filter val="280"/>
        <filter val="311"/>
        <filter val="330"/>
        <filter val="34"/>
        <filter val="353"/>
        <filter val="360"/>
        <filter val="361"/>
        <filter val="390"/>
        <filter val="41"/>
        <filter val="430"/>
        <filter val="432"/>
        <filter val="44"/>
        <filter val="49"/>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8590-9BDF-4BBB-8747-D7FCB35BF19D}">
  <dimension ref="B2:I45"/>
  <sheetViews>
    <sheetView topLeftCell="A29" workbookViewId="0">
      <selection activeCell="H7" sqref="H7"/>
    </sheetView>
  </sheetViews>
  <sheetFormatPr defaultRowHeight="14.5" x14ac:dyDescent="0.35"/>
  <cols>
    <col min="2" max="2" width="12.81640625" bestFit="1" customWidth="1"/>
    <col min="3" max="6" width="12" customWidth="1"/>
    <col min="8" max="8" width="14.453125" customWidth="1"/>
  </cols>
  <sheetData>
    <row r="2" spans="2:9" ht="43.5" x14ac:dyDescent="0.35">
      <c r="B2" s="20" t="s">
        <v>0</v>
      </c>
      <c r="C2" s="21" t="s">
        <v>1</v>
      </c>
      <c r="D2" s="21" t="s">
        <v>2</v>
      </c>
      <c r="E2" s="21" t="s">
        <v>3</v>
      </c>
      <c r="F2" s="21" t="s">
        <v>4</v>
      </c>
    </row>
    <row r="3" spans="2:9" x14ac:dyDescent="0.35">
      <c r="B3" s="20" t="s">
        <v>5</v>
      </c>
      <c r="C3" s="20" t="s">
        <v>6</v>
      </c>
      <c r="D3" s="20" t="s">
        <v>7</v>
      </c>
      <c r="E3" s="20">
        <v>26</v>
      </c>
      <c r="F3" s="20">
        <v>48</v>
      </c>
    </row>
    <row r="4" spans="2:9" x14ac:dyDescent="0.35">
      <c r="B4" s="20" t="s">
        <v>5</v>
      </c>
      <c r="C4" s="20" t="s">
        <v>6</v>
      </c>
      <c r="D4" s="20" t="s">
        <v>8</v>
      </c>
      <c r="E4" s="20">
        <v>254</v>
      </c>
      <c r="F4" s="20">
        <v>332</v>
      </c>
    </row>
    <row r="5" spans="2:9" x14ac:dyDescent="0.35">
      <c r="B5" s="20" t="s">
        <v>5</v>
      </c>
      <c r="C5" s="20" t="s">
        <v>6</v>
      </c>
      <c r="D5" s="20" t="s">
        <v>9</v>
      </c>
      <c r="E5" s="20">
        <v>361</v>
      </c>
      <c r="F5" s="20">
        <v>437</v>
      </c>
    </row>
    <row r="6" spans="2:9" x14ac:dyDescent="0.35">
      <c r="B6" s="20">
        <v>1</v>
      </c>
      <c r="C6" s="20" t="s">
        <v>6</v>
      </c>
      <c r="D6" s="20" t="s">
        <v>7</v>
      </c>
      <c r="E6" s="20">
        <v>24</v>
      </c>
      <c r="F6" s="20">
        <v>40</v>
      </c>
    </row>
    <row r="7" spans="2:9" x14ac:dyDescent="0.35">
      <c r="B7" s="20">
        <v>1</v>
      </c>
      <c r="C7" s="20" t="s">
        <v>6</v>
      </c>
      <c r="D7" s="20" t="s">
        <v>8</v>
      </c>
      <c r="E7" s="20">
        <v>175</v>
      </c>
      <c r="F7" s="20">
        <v>260</v>
      </c>
    </row>
    <row r="8" spans="2:9" x14ac:dyDescent="0.35">
      <c r="B8" s="20">
        <v>1</v>
      </c>
      <c r="C8" s="20" t="s">
        <v>6</v>
      </c>
      <c r="D8" s="20" t="s">
        <v>9</v>
      </c>
      <c r="E8" s="20">
        <v>240</v>
      </c>
      <c r="F8" s="20">
        <v>372</v>
      </c>
    </row>
    <row r="9" spans="2:9" x14ac:dyDescent="0.35">
      <c r="B9" s="20">
        <v>2</v>
      </c>
      <c r="C9" s="20" t="s">
        <v>10</v>
      </c>
      <c r="D9" s="20" t="s">
        <v>7</v>
      </c>
      <c r="E9" s="20">
        <v>49</v>
      </c>
      <c r="F9" s="20">
        <v>63</v>
      </c>
    </row>
    <row r="10" spans="2:9" x14ac:dyDescent="0.35">
      <c r="B10" s="20">
        <v>2</v>
      </c>
      <c r="C10" s="20" t="s">
        <v>10</v>
      </c>
      <c r="D10" s="20" t="s">
        <v>8</v>
      </c>
      <c r="E10" s="20">
        <v>220</v>
      </c>
      <c r="F10" s="20">
        <v>340</v>
      </c>
    </row>
    <row r="11" spans="2:9" x14ac:dyDescent="0.35">
      <c r="B11" s="20">
        <v>2</v>
      </c>
      <c r="C11" s="20" t="s">
        <v>10</v>
      </c>
      <c r="D11" s="20" t="s">
        <v>9</v>
      </c>
      <c r="E11" s="20">
        <v>432</v>
      </c>
      <c r="F11" s="20">
        <v>510</v>
      </c>
    </row>
    <row r="12" spans="2:9" x14ac:dyDescent="0.35">
      <c r="B12" s="20">
        <v>3</v>
      </c>
      <c r="C12" s="20" t="s">
        <v>10</v>
      </c>
      <c r="D12" s="20" t="s">
        <v>7</v>
      </c>
      <c r="E12" s="20">
        <v>24</v>
      </c>
      <c r="F12" s="20">
        <v>32</v>
      </c>
    </row>
    <row r="13" spans="2:9" x14ac:dyDescent="0.35">
      <c r="B13" s="20">
        <v>3</v>
      </c>
      <c r="C13" s="20" t="s">
        <v>10</v>
      </c>
      <c r="D13" s="20" t="s">
        <v>8</v>
      </c>
      <c r="E13" s="20">
        <v>210</v>
      </c>
      <c r="F13" s="20">
        <v>280</v>
      </c>
    </row>
    <row r="14" spans="2:9" x14ac:dyDescent="0.35">
      <c r="B14" s="20">
        <v>3</v>
      </c>
      <c r="C14" s="20" t="s">
        <v>10</v>
      </c>
      <c r="D14" s="20" t="s">
        <v>9</v>
      </c>
      <c r="E14" s="20">
        <v>262</v>
      </c>
      <c r="F14" s="20">
        <v>390</v>
      </c>
      <c r="H14">
        <v>336</v>
      </c>
      <c r="I14" s="3">
        <v>441</v>
      </c>
    </row>
    <row r="15" spans="2:9" x14ac:dyDescent="0.35">
      <c r="B15" s="20">
        <v>4</v>
      </c>
      <c r="C15" s="20" t="s">
        <v>11</v>
      </c>
      <c r="D15" s="20" t="s">
        <v>7</v>
      </c>
      <c r="E15" s="20">
        <v>41</v>
      </c>
      <c r="F15" s="20">
        <v>60</v>
      </c>
    </row>
    <row r="16" spans="2:9" x14ac:dyDescent="0.35">
      <c r="B16" s="20">
        <v>4</v>
      </c>
      <c r="C16" s="20" t="s">
        <v>11</v>
      </c>
      <c r="D16" s="20" t="s">
        <v>8</v>
      </c>
      <c r="E16" s="20">
        <v>311</v>
      </c>
      <c r="F16" s="20">
        <v>365</v>
      </c>
    </row>
    <row r="17" spans="2:9" x14ac:dyDescent="0.35">
      <c r="B17" s="20">
        <v>4</v>
      </c>
      <c r="C17" s="20" t="s">
        <v>11</v>
      </c>
      <c r="D17" s="20" t="s">
        <v>9</v>
      </c>
      <c r="E17" s="20">
        <v>360</v>
      </c>
      <c r="F17" s="20">
        <v>490</v>
      </c>
      <c r="I17">
        <f>+(I14-H14)/I14</f>
        <v>0.23809523809523808</v>
      </c>
    </row>
    <row r="18" spans="2:9" x14ac:dyDescent="0.35">
      <c r="B18" s="20">
        <v>5</v>
      </c>
      <c r="C18" s="20" t="s">
        <v>10</v>
      </c>
      <c r="D18" s="20" t="s">
        <v>7</v>
      </c>
      <c r="E18" s="20">
        <v>24</v>
      </c>
      <c r="F18" s="20">
        <v>46</v>
      </c>
    </row>
    <row r="19" spans="2:9" x14ac:dyDescent="0.35">
      <c r="B19" s="20">
        <v>5</v>
      </c>
      <c r="C19" s="20" t="s">
        <v>10</v>
      </c>
      <c r="D19" s="20" t="s">
        <v>8</v>
      </c>
      <c r="E19" s="20">
        <v>194</v>
      </c>
      <c r="F19" s="20">
        <v>326</v>
      </c>
    </row>
    <row r="20" spans="2:9" x14ac:dyDescent="0.35">
      <c r="B20" s="20">
        <v>5</v>
      </c>
      <c r="C20" s="20" t="s">
        <v>10</v>
      </c>
      <c r="D20" s="20" t="s">
        <v>9</v>
      </c>
      <c r="E20" s="20">
        <v>280</v>
      </c>
      <c r="F20" s="20">
        <v>443</v>
      </c>
    </row>
    <row r="21" spans="2:9" x14ac:dyDescent="0.35">
      <c r="B21" s="20">
        <v>6</v>
      </c>
      <c r="C21" s="20" t="s">
        <v>10</v>
      </c>
      <c r="D21" s="20" t="s">
        <v>7</v>
      </c>
      <c r="E21" s="20">
        <v>44</v>
      </c>
      <c r="F21" s="20">
        <v>52</v>
      </c>
    </row>
    <row r="22" spans="2:9" x14ac:dyDescent="0.35">
      <c r="B22" s="20">
        <v>6</v>
      </c>
      <c r="C22" s="20" t="s">
        <v>10</v>
      </c>
      <c r="D22" s="20" t="s">
        <v>8</v>
      </c>
      <c r="E22" s="20">
        <v>330</v>
      </c>
      <c r="F22" s="20">
        <v>358</v>
      </c>
    </row>
    <row r="23" spans="2:9" x14ac:dyDescent="0.35">
      <c r="B23" s="20">
        <v>6</v>
      </c>
      <c r="C23" s="20" t="s">
        <v>10</v>
      </c>
      <c r="D23" s="20" t="s">
        <v>9</v>
      </c>
      <c r="E23" s="20">
        <v>430</v>
      </c>
      <c r="F23" s="20">
        <v>447</v>
      </c>
    </row>
    <row r="24" spans="2:9" x14ac:dyDescent="0.35">
      <c r="B24" s="20">
        <v>7</v>
      </c>
      <c r="C24" s="20" t="s">
        <v>10</v>
      </c>
      <c r="D24" s="20" t="s">
        <v>7</v>
      </c>
      <c r="E24" s="20">
        <v>12</v>
      </c>
      <c r="F24" s="20">
        <v>41</v>
      </c>
    </row>
    <row r="25" spans="2:9" x14ac:dyDescent="0.35">
      <c r="B25" s="20">
        <v>7</v>
      </c>
      <c r="C25" s="20" t="s">
        <v>10</v>
      </c>
      <c r="D25" s="20" t="s">
        <v>8</v>
      </c>
      <c r="E25" s="20">
        <v>183</v>
      </c>
      <c r="F25" s="20">
        <v>320</v>
      </c>
    </row>
    <row r="26" spans="2:9" x14ac:dyDescent="0.35">
      <c r="B26" s="20">
        <v>7</v>
      </c>
      <c r="C26" s="20" t="s">
        <v>10</v>
      </c>
      <c r="D26" s="20" t="s">
        <v>9</v>
      </c>
      <c r="E26" s="20">
        <v>259</v>
      </c>
      <c r="F26" s="20">
        <v>428</v>
      </c>
    </row>
    <row r="27" spans="2:9" x14ac:dyDescent="0.35">
      <c r="B27" s="20">
        <v>9</v>
      </c>
      <c r="C27" s="20" t="s">
        <v>10</v>
      </c>
      <c r="D27" s="20" t="s">
        <v>7</v>
      </c>
      <c r="E27" s="20">
        <v>21</v>
      </c>
      <c r="F27" s="20">
        <v>56</v>
      </c>
    </row>
    <row r="28" spans="2:9" x14ac:dyDescent="0.35">
      <c r="B28" s="20">
        <v>9</v>
      </c>
      <c r="C28" s="20" t="s">
        <v>10</v>
      </c>
      <c r="D28" s="20" t="s">
        <v>8</v>
      </c>
      <c r="E28" s="20">
        <v>203</v>
      </c>
      <c r="F28" s="20">
        <v>337</v>
      </c>
    </row>
    <row r="29" spans="2:9" x14ac:dyDescent="0.35">
      <c r="B29" s="20">
        <v>9</v>
      </c>
      <c r="C29" s="20" t="s">
        <v>10</v>
      </c>
      <c r="D29" s="20" t="s">
        <v>9</v>
      </c>
      <c r="E29" s="20">
        <v>390</v>
      </c>
      <c r="F29" s="20">
        <v>408</v>
      </c>
    </row>
    <row r="30" spans="2:9" x14ac:dyDescent="0.35">
      <c r="B30" s="20">
        <v>11</v>
      </c>
      <c r="C30" s="20" t="s">
        <v>10</v>
      </c>
      <c r="D30" s="20" t="s">
        <v>7</v>
      </c>
      <c r="E30" s="20">
        <v>34</v>
      </c>
      <c r="F30" s="20">
        <v>57</v>
      </c>
    </row>
    <row r="31" spans="2:9" x14ac:dyDescent="0.35">
      <c r="B31" s="20">
        <v>11</v>
      </c>
      <c r="C31" s="20" t="s">
        <v>10</v>
      </c>
      <c r="D31" s="20" t="s">
        <v>8</v>
      </c>
      <c r="E31" s="20">
        <v>223</v>
      </c>
      <c r="F31" s="20">
        <v>326</v>
      </c>
    </row>
    <row r="32" spans="2:9" x14ac:dyDescent="0.35">
      <c r="B32" s="20">
        <v>11</v>
      </c>
      <c r="C32" s="20" t="s">
        <v>10</v>
      </c>
      <c r="D32" s="20" t="s">
        <v>9</v>
      </c>
      <c r="E32" s="20">
        <v>353</v>
      </c>
      <c r="F32" s="20">
        <v>486</v>
      </c>
    </row>
    <row r="33" spans="2:9" x14ac:dyDescent="0.35">
      <c r="B33" t="s">
        <v>15</v>
      </c>
      <c r="E33">
        <f>SUBTOTAL(9,E3:E32)</f>
        <v>5969</v>
      </c>
      <c r="F33">
        <f>SUBTOTAL(9,F3:F32)</f>
        <v>8150</v>
      </c>
    </row>
    <row r="35" spans="2:9" x14ac:dyDescent="0.35">
      <c r="B35" t="s">
        <v>16</v>
      </c>
      <c r="E35">
        <v>5969</v>
      </c>
      <c r="F35">
        <v>8150</v>
      </c>
      <c r="H35" t="s">
        <v>13</v>
      </c>
      <c r="I35" s="5">
        <f t="shared" ref="I35:I42" si="0">(F35-E35)/F35</f>
        <v>0.26760736196319018</v>
      </c>
    </row>
    <row r="36" spans="2:9" x14ac:dyDescent="0.35">
      <c r="B36" t="s">
        <v>17</v>
      </c>
      <c r="E36">
        <v>641</v>
      </c>
      <c r="F36">
        <v>817</v>
      </c>
      <c r="H36" t="s">
        <v>14</v>
      </c>
      <c r="I36" s="5">
        <f t="shared" si="0"/>
        <v>0.21542227662178703</v>
      </c>
    </row>
    <row r="37" spans="2:9" x14ac:dyDescent="0.35">
      <c r="B37" t="s">
        <v>18</v>
      </c>
      <c r="E37">
        <v>3367</v>
      </c>
      <c r="F37">
        <v>4411</v>
      </c>
      <c r="H37" t="s">
        <v>21</v>
      </c>
      <c r="I37" s="5">
        <f t="shared" si="0"/>
        <v>0.2366810247109499</v>
      </c>
    </row>
    <row r="38" spans="2:9" x14ac:dyDescent="0.35">
      <c r="B38" t="s">
        <v>19</v>
      </c>
      <c r="E38">
        <v>2303</v>
      </c>
      <c r="F38">
        <v>3244</v>
      </c>
      <c r="H38" t="s">
        <v>22</v>
      </c>
      <c r="I38" s="5">
        <f t="shared" si="0"/>
        <v>0.29007398273736129</v>
      </c>
    </row>
    <row r="39" spans="2:9" x14ac:dyDescent="0.35">
      <c r="B39" t="s">
        <v>20</v>
      </c>
      <c r="E39">
        <v>299</v>
      </c>
      <c r="F39">
        <v>495</v>
      </c>
      <c r="H39" t="s">
        <v>23</v>
      </c>
      <c r="I39" s="5">
        <f t="shared" si="0"/>
        <v>0.39595959595959596</v>
      </c>
    </row>
    <row r="40" spans="2:9" x14ac:dyDescent="0.35">
      <c r="B40" t="s">
        <v>24</v>
      </c>
      <c r="E40">
        <v>1080</v>
      </c>
      <c r="F40">
        <v>1489</v>
      </c>
      <c r="H40" t="s">
        <v>27</v>
      </c>
      <c r="I40" s="5">
        <f t="shared" si="0"/>
        <v>0.27468099395567497</v>
      </c>
    </row>
    <row r="41" spans="2:9" x14ac:dyDescent="0.35">
      <c r="B41" t="s">
        <v>25</v>
      </c>
      <c r="E41">
        <v>4177</v>
      </c>
      <c r="F41">
        <v>5746</v>
      </c>
      <c r="H41" t="s">
        <v>28</v>
      </c>
      <c r="I41" s="5">
        <f t="shared" si="0"/>
        <v>0.27305951966585451</v>
      </c>
    </row>
    <row r="42" spans="2:9" x14ac:dyDescent="0.35">
      <c r="B42" t="s">
        <v>26</v>
      </c>
      <c r="E42">
        <v>712</v>
      </c>
      <c r="F42">
        <v>915</v>
      </c>
      <c r="H42" t="s">
        <v>29</v>
      </c>
      <c r="I42" s="5">
        <f t="shared" si="0"/>
        <v>0.22185792349726777</v>
      </c>
    </row>
    <row r="45" spans="2:9" x14ac:dyDescent="0.35">
      <c r="I45" s="5"/>
    </row>
  </sheetData>
  <autoFilter ref="B2:F32" xr:uid="{3DC78590-9BDF-4BBB-8747-D7FCB35BF19D}"/>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9919-EE38-4497-B70A-3C551FBD30A1}">
  <dimension ref="B2:N33"/>
  <sheetViews>
    <sheetView zoomScale="90" zoomScaleNormal="90" workbookViewId="0">
      <selection activeCell="M14" sqref="M14"/>
    </sheetView>
  </sheetViews>
  <sheetFormatPr defaultRowHeight="14.5" x14ac:dyDescent="0.35"/>
  <cols>
    <col min="2" max="2" width="13" customWidth="1"/>
    <col min="3" max="6" width="13.08984375" customWidth="1"/>
    <col min="8" max="8" width="17.36328125" customWidth="1"/>
    <col min="9" max="9" width="16.36328125" customWidth="1"/>
    <col min="10" max="10" width="11.36328125" bestFit="1" customWidth="1"/>
  </cols>
  <sheetData>
    <row r="2" spans="2:10" ht="29" x14ac:dyDescent="0.35">
      <c r="B2" s="3" t="s">
        <v>0</v>
      </c>
      <c r="C2" s="4" t="s">
        <v>1</v>
      </c>
      <c r="D2" s="4" t="s">
        <v>2</v>
      </c>
      <c r="E2" s="4" t="s">
        <v>3</v>
      </c>
      <c r="F2" s="4" t="s">
        <v>4</v>
      </c>
    </row>
    <row r="3" spans="2:10" x14ac:dyDescent="0.35">
      <c r="B3" s="3" t="s">
        <v>5</v>
      </c>
      <c r="C3" s="3" t="s">
        <v>6</v>
      </c>
      <c r="D3" s="3" t="s">
        <v>7</v>
      </c>
      <c r="E3" s="3">
        <v>26</v>
      </c>
      <c r="F3" s="3">
        <v>48</v>
      </c>
      <c r="H3" t="s">
        <v>101</v>
      </c>
    </row>
    <row r="4" spans="2:10" x14ac:dyDescent="0.35">
      <c r="B4" s="3" t="s">
        <v>5</v>
      </c>
      <c r="C4" s="3" t="s">
        <v>6</v>
      </c>
      <c r="D4" s="3" t="s">
        <v>8</v>
      </c>
      <c r="E4" s="3">
        <v>254</v>
      </c>
      <c r="F4" s="3">
        <v>332</v>
      </c>
    </row>
    <row r="5" spans="2:10" ht="43.5" x14ac:dyDescent="0.35">
      <c r="B5" s="3" t="s">
        <v>5</v>
      </c>
      <c r="C5" s="3" t="s">
        <v>6</v>
      </c>
      <c r="D5" s="3" t="s">
        <v>9</v>
      </c>
      <c r="E5" s="3">
        <v>361</v>
      </c>
      <c r="F5" s="3">
        <v>437</v>
      </c>
      <c r="H5" s="22"/>
      <c r="I5" s="21" t="str">
        <f>E2</f>
        <v>Estimación con IA (Horas)</v>
      </c>
      <c r="J5" s="21" t="str">
        <f>F2</f>
        <v>Estimación sin IA (Horas)</v>
      </c>
    </row>
    <row r="6" spans="2:10" x14ac:dyDescent="0.35">
      <c r="B6" s="3">
        <v>1</v>
      </c>
      <c r="C6" s="3" t="s">
        <v>6</v>
      </c>
      <c r="D6" s="3" t="s">
        <v>7</v>
      </c>
      <c r="E6" s="3">
        <v>24</v>
      </c>
      <c r="F6" s="3">
        <v>40</v>
      </c>
      <c r="H6" s="22" t="s">
        <v>30</v>
      </c>
      <c r="I6" s="22">
        <f t="array" ref="I6">MEDIAN(INDEX([1]!DELROWS([1]!MERGE(E3:E32,F3:F32)),,1))</f>
        <v>215</v>
      </c>
      <c r="J6" s="22">
        <f t="array" ref="J6">MEDIAN(INDEX([1]!DELROWS([1]!MERGE(E3:E32,F3:F32)),,2))</f>
        <v>329</v>
      </c>
    </row>
    <row r="7" spans="2:10" x14ac:dyDescent="0.35">
      <c r="B7" s="3">
        <v>1</v>
      </c>
      <c r="C7" s="3" t="s">
        <v>6</v>
      </c>
      <c r="D7" s="3" t="s">
        <v>8</v>
      </c>
      <c r="E7" s="3">
        <v>175</v>
      </c>
      <c r="F7" s="3">
        <v>260</v>
      </c>
      <c r="H7" s="22"/>
      <c r="I7" s="22"/>
      <c r="J7" s="22"/>
    </row>
    <row r="8" spans="2:10" x14ac:dyDescent="0.35">
      <c r="B8" s="3">
        <v>1</v>
      </c>
      <c r="C8" s="3" t="s">
        <v>6</v>
      </c>
      <c r="D8" s="3" t="s">
        <v>9</v>
      </c>
      <c r="E8" s="3">
        <v>240</v>
      </c>
      <c r="F8" s="3">
        <v>372</v>
      </c>
      <c r="H8" s="22" t="s">
        <v>31</v>
      </c>
      <c r="I8" s="22">
        <f>SUMPRODUCT(--ISNUMBER(E3:E32),--ISNUMBER(F3:F32))</f>
        <v>30</v>
      </c>
      <c r="J8" s="22"/>
    </row>
    <row r="9" spans="2:10" x14ac:dyDescent="0.35">
      <c r="B9" s="3">
        <v>2</v>
      </c>
      <c r="C9" s="3" t="s">
        <v>10</v>
      </c>
      <c r="D9" s="3" t="s">
        <v>7</v>
      </c>
      <c r="E9" s="3">
        <v>49</v>
      </c>
      <c r="F9" s="3">
        <v>63</v>
      </c>
      <c r="H9" s="22" t="s">
        <v>32</v>
      </c>
      <c r="I9" s="22">
        <f>SUMPRODUCT(--ISNUMBER(E3:E32),--ISNUMBER(F3:F32),--(E3:E32&lt;&gt;F3:F32))</f>
        <v>30</v>
      </c>
      <c r="J9" s="22"/>
    </row>
    <row r="10" spans="2:10" x14ac:dyDescent="0.35">
      <c r="B10" s="3">
        <v>2</v>
      </c>
      <c r="C10" s="3" t="s">
        <v>10</v>
      </c>
      <c r="D10" s="3" t="s">
        <v>8</v>
      </c>
      <c r="E10" s="3">
        <v>220</v>
      </c>
      <c r="F10" s="3">
        <v>340</v>
      </c>
      <c r="H10" s="22" t="s">
        <v>33</v>
      </c>
      <c r="I10" s="22">
        <f>IF(I12&lt;=I15,I12,I9*(I9+1)/2)</f>
        <v>0</v>
      </c>
      <c r="J10" s="22"/>
    </row>
    <row r="11" spans="2:10" x14ac:dyDescent="0.35">
      <c r="B11" s="3">
        <v>2</v>
      </c>
      <c r="C11" s="3" t="s">
        <v>10</v>
      </c>
      <c r="D11" s="3" t="s">
        <v>9</v>
      </c>
      <c r="E11" s="3">
        <v>432</v>
      </c>
      <c r="F11" s="3">
        <v>510</v>
      </c>
      <c r="H11" s="22" t="s">
        <v>34</v>
      </c>
      <c r="I11" s="22">
        <f>I9*(I9+1)/2-I10</f>
        <v>465</v>
      </c>
      <c r="J11" s="22"/>
    </row>
    <row r="12" spans="2:10" x14ac:dyDescent="0.35">
      <c r="B12" s="3">
        <v>3</v>
      </c>
      <c r="C12" s="3" t="s">
        <v>10</v>
      </c>
      <c r="D12" s="3" t="s">
        <v>7</v>
      </c>
      <c r="E12" s="3">
        <v>24</v>
      </c>
      <c r="F12" s="3">
        <v>32</v>
      </c>
      <c r="H12" s="22" t="s">
        <v>35</v>
      </c>
      <c r="I12" s="22">
        <f>[1]!SRANK(E3:E32,F3:F32)</f>
        <v>0</v>
      </c>
      <c r="J12" s="22"/>
    </row>
    <row r="13" spans="2:10" x14ac:dyDescent="0.35">
      <c r="B13" s="3">
        <v>3</v>
      </c>
      <c r="C13" s="3" t="s">
        <v>10</v>
      </c>
      <c r="D13" s="3" t="s">
        <v>8</v>
      </c>
      <c r="E13" s="3">
        <v>210</v>
      </c>
      <c r="F13" s="3">
        <v>280</v>
      </c>
      <c r="H13" s="22"/>
      <c r="I13" s="22"/>
      <c r="J13" s="22"/>
    </row>
    <row r="14" spans="2:10" x14ac:dyDescent="0.35">
      <c r="B14" s="3">
        <v>3</v>
      </c>
      <c r="C14" s="3" t="s">
        <v>10</v>
      </c>
      <c r="D14" s="3" t="s">
        <v>9</v>
      </c>
      <c r="E14" s="3">
        <v>262</v>
      </c>
      <c r="F14" s="3">
        <v>390</v>
      </c>
      <c r="H14" s="22"/>
      <c r="I14" s="23" t="s">
        <v>36</v>
      </c>
      <c r="J14" s="23" t="s">
        <v>37</v>
      </c>
    </row>
    <row r="15" spans="2:10" x14ac:dyDescent="0.35">
      <c r="B15" s="3">
        <v>4</v>
      </c>
      <c r="C15" s="3" t="s">
        <v>11</v>
      </c>
      <c r="D15" s="3" t="s">
        <v>7</v>
      </c>
      <c r="E15" s="3">
        <v>41</v>
      </c>
      <c r="F15" s="3">
        <v>60</v>
      </c>
      <c r="H15" s="22" t="s">
        <v>38</v>
      </c>
      <c r="I15" s="22">
        <f>I9*(I9+1)/4</f>
        <v>232.5</v>
      </c>
      <c r="J15" s="22"/>
    </row>
    <row r="16" spans="2:10" x14ac:dyDescent="0.35">
      <c r="B16" s="3">
        <v>4</v>
      </c>
      <c r="C16" s="3" t="s">
        <v>11</v>
      </c>
      <c r="D16" s="3" t="s">
        <v>8</v>
      </c>
      <c r="E16" s="3">
        <v>311</v>
      </c>
      <c r="F16" s="3">
        <v>365</v>
      </c>
      <c r="H16" s="22" t="s">
        <v>39</v>
      </c>
      <c r="I16" s="22">
        <f>SQRT(I15*(2*I9+1)/6-[1]!TiesCorrection(E3:E32,F3:F32,1)/48)</f>
        <v>48.613269793339349</v>
      </c>
      <c r="J16" s="22" t="s">
        <v>40</v>
      </c>
    </row>
    <row r="17" spans="2:14" x14ac:dyDescent="0.35">
      <c r="B17" s="3">
        <v>4</v>
      </c>
      <c r="C17" s="3" t="s">
        <v>11</v>
      </c>
      <c r="D17" s="3" t="s">
        <v>9</v>
      </c>
      <c r="E17" s="3">
        <v>360</v>
      </c>
      <c r="F17" s="3">
        <v>490</v>
      </c>
      <c r="H17" s="22" t="s">
        <v>41</v>
      </c>
      <c r="I17" s="24">
        <f>ABS(ABS(I12-I15)-1/2)/I16</f>
        <v>4.7723595015570632</v>
      </c>
      <c r="J17" s="22" t="s">
        <v>42</v>
      </c>
    </row>
    <row r="18" spans="2:14" x14ac:dyDescent="0.35">
      <c r="B18" s="3">
        <v>5</v>
      </c>
      <c r="C18" s="3" t="s">
        <v>10</v>
      </c>
      <c r="D18" s="3" t="s">
        <v>7</v>
      </c>
      <c r="E18" s="3">
        <v>24</v>
      </c>
      <c r="F18" s="3">
        <v>46</v>
      </c>
      <c r="H18" s="22" t="s">
        <v>43</v>
      </c>
      <c r="I18" s="22">
        <f>I17/SQRT(I9)</f>
        <v>0.87130965050897147</v>
      </c>
      <c r="J18" s="22"/>
    </row>
    <row r="19" spans="2:14" x14ac:dyDescent="0.35">
      <c r="B19" s="3">
        <v>5</v>
      </c>
      <c r="C19" s="3" t="s">
        <v>10</v>
      </c>
      <c r="D19" s="3" t="s">
        <v>8</v>
      </c>
      <c r="E19" s="3">
        <v>194</v>
      </c>
      <c r="F19" s="3">
        <v>326</v>
      </c>
      <c r="H19" s="22" t="s">
        <v>44</v>
      </c>
      <c r="I19" s="25">
        <f>1-_xlfn.NORM.S.DIST(I17,TRUE)</f>
        <v>9.1040060690161795E-7</v>
      </c>
      <c r="J19" s="25">
        <f>2*I19</f>
        <v>1.8208012138032359E-6</v>
      </c>
    </row>
    <row r="20" spans="2:14" x14ac:dyDescent="0.35">
      <c r="B20" s="3">
        <v>5</v>
      </c>
      <c r="C20" s="3" t="s">
        <v>10</v>
      </c>
      <c r="D20" s="3" t="s">
        <v>9</v>
      </c>
      <c r="E20" s="3">
        <v>280</v>
      </c>
      <c r="F20" s="3">
        <v>443</v>
      </c>
      <c r="H20" s="22" t="s">
        <v>45</v>
      </c>
      <c r="I20" s="26">
        <f>[1]!SRDIST(I12,I9,1)</f>
        <v>9.3132257461547852E-10</v>
      </c>
      <c r="J20" s="25">
        <f>2*I20</f>
        <v>1.862645149230957E-9</v>
      </c>
    </row>
    <row r="21" spans="2:14" x14ac:dyDescent="0.35">
      <c r="B21" s="3">
        <v>6</v>
      </c>
      <c r="C21" s="3" t="s">
        <v>10</v>
      </c>
      <c r="D21" s="3" t="s">
        <v>7</v>
      </c>
      <c r="E21" s="3">
        <v>44</v>
      </c>
      <c r="F21" s="3">
        <v>52</v>
      </c>
      <c r="H21" s="22" t="s">
        <v>46</v>
      </c>
      <c r="I21" s="22" t="s">
        <v>12</v>
      </c>
      <c r="J21" s="22" t="s">
        <v>12</v>
      </c>
    </row>
    <row r="22" spans="2:14" x14ac:dyDescent="0.35">
      <c r="B22" s="3">
        <v>6</v>
      </c>
      <c r="C22" s="3" t="s">
        <v>10</v>
      </c>
      <c r="D22" s="3" t="s">
        <v>8</v>
      </c>
      <c r="E22" s="3">
        <v>330</v>
      </c>
      <c r="F22" s="3">
        <v>358</v>
      </c>
    </row>
    <row r="23" spans="2:14" x14ac:dyDescent="0.35">
      <c r="B23" s="3">
        <v>6</v>
      </c>
      <c r="C23" s="3" t="s">
        <v>10</v>
      </c>
      <c r="D23" s="3" t="s">
        <v>9</v>
      </c>
      <c r="E23" s="3">
        <v>430</v>
      </c>
      <c r="F23" s="3">
        <v>447</v>
      </c>
    </row>
    <row r="24" spans="2:14" x14ac:dyDescent="0.35">
      <c r="B24" s="3">
        <v>7</v>
      </c>
      <c r="C24" s="3" t="s">
        <v>10</v>
      </c>
      <c r="D24" s="3" t="s">
        <v>7</v>
      </c>
      <c r="E24" s="3">
        <v>12</v>
      </c>
      <c r="F24" s="3">
        <v>41</v>
      </c>
      <c r="H24" s="27" t="s">
        <v>50</v>
      </c>
      <c r="I24" s="27"/>
      <c r="J24" s="27"/>
      <c r="K24" s="27"/>
      <c r="L24" s="27"/>
      <c r="M24" s="27"/>
      <c r="N24" s="27"/>
    </row>
    <row r="25" spans="2:14" x14ac:dyDescent="0.35">
      <c r="B25" s="3">
        <v>7</v>
      </c>
      <c r="C25" s="3" t="s">
        <v>10</v>
      </c>
      <c r="D25" s="3" t="s">
        <v>8</v>
      </c>
      <c r="E25" s="3">
        <v>183</v>
      </c>
      <c r="F25" s="3">
        <v>320</v>
      </c>
      <c r="H25" s="27"/>
      <c r="I25" s="27"/>
      <c r="J25" s="27"/>
      <c r="K25" s="27"/>
      <c r="L25" s="27"/>
      <c r="M25" s="27"/>
      <c r="N25" s="27"/>
    </row>
    <row r="26" spans="2:14" x14ac:dyDescent="0.35">
      <c r="B26" s="3">
        <v>7</v>
      </c>
      <c r="C26" s="3" t="s">
        <v>10</v>
      </c>
      <c r="D26" s="3" t="s">
        <v>9</v>
      </c>
      <c r="E26" s="3">
        <v>259</v>
      </c>
      <c r="F26" s="3">
        <v>428</v>
      </c>
      <c r="H26" s="27" t="s">
        <v>47</v>
      </c>
      <c r="I26" s="27"/>
      <c r="J26" s="27"/>
      <c r="K26" s="27"/>
      <c r="L26" s="27"/>
      <c r="M26" s="27"/>
      <c r="N26" s="27"/>
    </row>
    <row r="27" spans="2:14" x14ac:dyDescent="0.35">
      <c r="B27" s="3">
        <v>9</v>
      </c>
      <c r="C27" s="3" t="s">
        <v>10</v>
      </c>
      <c r="D27" s="3" t="s">
        <v>7</v>
      </c>
      <c r="E27" s="3">
        <v>21</v>
      </c>
      <c r="F27" s="3">
        <v>56</v>
      </c>
      <c r="H27" s="27" t="s">
        <v>48</v>
      </c>
      <c r="I27" s="27"/>
      <c r="J27" s="27"/>
      <c r="K27" s="27"/>
      <c r="L27" s="27"/>
      <c r="M27" s="27"/>
      <c r="N27" s="27"/>
    </row>
    <row r="28" spans="2:14" x14ac:dyDescent="0.35">
      <c r="B28" s="3">
        <v>9</v>
      </c>
      <c r="C28" s="3" t="s">
        <v>10</v>
      </c>
      <c r="D28" s="3" t="s">
        <v>8</v>
      </c>
      <c r="E28" s="3">
        <v>203</v>
      </c>
      <c r="F28" s="3">
        <v>337</v>
      </c>
      <c r="H28" s="27"/>
      <c r="I28" s="27"/>
      <c r="J28" s="27"/>
      <c r="K28" s="27"/>
      <c r="L28" s="27"/>
      <c r="M28" s="27"/>
      <c r="N28" s="27"/>
    </row>
    <row r="29" spans="2:14" ht="23" customHeight="1" x14ac:dyDescent="0.35">
      <c r="B29" s="3">
        <v>9</v>
      </c>
      <c r="C29" s="3" t="s">
        <v>10</v>
      </c>
      <c r="D29" s="3" t="s">
        <v>9</v>
      </c>
      <c r="E29" s="3">
        <v>390</v>
      </c>
      <c r="F29" s="3">
        <v>408</v>
      </c>
      <c r="H29" s="27" t="s">
        <v>49</v>
      </c>
      <c r="I29" s="27"/>
      <c r="J29" s="27"/>
      <c r="K29" s="27"/>
      <c r="L29" s="27"/>
      <c r="M29" s="27"/>
      <c r="N29" s="27"/>
    </row>
    <row r="30" spans="2:14" ht="14.5" customHeight="1" x14ac:dyDescent="0.35">
      <c r="B30" s="3">
        <v>11</v>
      </c>
      <c r="C30" s="3" t="s">
        <v>10</v>
      </c>
      <c r="D30" s="3" t="s">
        <v>7</v>
      </c>
      <c r="E30" s="3">
        <v>34</v>
      </c>
      <c r="F30" s="3">
        <v>57</v>
      </c>
      <c r="H30" s="27"/>
      <c r="I30" s="27"/>
      <c r="J30" s="27"/>
      <c r="K30" s="27"/>
      <c r="L30" s="27"/>
      <c r="M30" s="27"/>
      <c r="N30" s="27"/>
    </row>
    <row r="31" spans="2:14" ht="14.5" customHeight="1" x14ac:dyDescent="0.35">
      <c r="B31" s="3">
        <v>11</v>
      </c>
      <c r="C31" s="3" t="s">
        <v>10</v>
      </c>
      <c r="D31" s="3" t="s">
        <v>8</v>
      </c>
      <c r="E31" s="3">
        <v>223</v>
      </c>
      <c r="F31" s="3">
        <v>326</v>
      </c>
      <c r="H31" s="27"/>
      <c r="I31" s="27"/>
      <c r="J31" s="27"/>
      <c r="K31" s="27"/>
      <c r="L31" s="27"/>
      <c r="M31" s="27"/>
      <c r="N31" s="27"/>
    </row>
    <row r="32" spans="2:14" x14ac:dyDescent="0.35">
      <c r="B32" s="3">
        <v>11</v>
      </c>
      <c r="C32" s="3" t="s">
        <v>10</v>
      </c>
      <c r="D32" s="3" t="s">
        <v>9</v>
      </c>
      <c r="E32" s="3">
        <v>353</v>
      </c>
      <c r="F32" s="3">
        <v>486</v>
      </c>
      <c r="H32" s="27"/>
      <c r="I32" s="27"/>
      <c r="J32" s="27"/>
      <c r="K32" s="27"/>
      <c r="L32" s="27"/>
      <c r="M32" s="27"/>
      <c r="N32" s="27"/>
    </row>
    <row r="33" spans="8:14" ht="168.5" customHeight="1" x14ac:dyDescent="0.35">
      <c r="H33" s="27" t="s">
        <v>96</v>
      </c>
      <c r="I33" s="27"/>
      <c r="J33" s="27"/>
      <c r="K33" s="27"/>
      <c r="L33" s="27"/>
      <c r="M33" s="27"/>
      <c r="N33" s="27"/>
    </row>
  </sheetData>
  <mergeCells count="8">
    <mergeCell ref="H32:N32"/>
    <mergeCell ref="H29:N31"/>
    <mergeCell ref="H33:N33"/>
    <mergeCell ref="H24:N24"/>
    <mergeCell ref="H25:N25"/>
    <mergeCell ref="H26:N26"/>
    <mergeCell ref="H27:N27"/>
    <mergeCell ref="H28:N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A33B-1DD9-49CD-833F-EF2944D5819A}">
  <dimension ref="B1:M37"/>
  <sheetViews>
    <sheetView topLeftCell="A18" workbookViewId="0">
      <selection activeCell="I33" sqref="I33:L33"/>
    </sheetView>
  </sheetViews>
  <sheetFormatPr defaultRowHeight="14.5" x14ac:dyDescent="0.35"/>
  <cols>
    <col min="2" max="2" width="15.08984375" bestFit="1" customWidth="1"/>
    <col min="3" max="3" width="14.36328125" customWidth="1"/>
    <col min="4" max="5" width="13" customWidth="1"/>
    <col min="6" max="6" width="10.36328125" bestFit="1" customWidth="1"/>
    <col min="9" max="9" width="15.7265625" customWidth="1"/>
    <col min="10" max="12" width="16.08984375" customWidth="1"/>
    <col min="13" max="13" width="12.1796875" customWidth="1"/>
  </cols>
  <sheetData>
    <row r="1" spans="2:13" ht="39.5" customHeight="1" x14ac:dyDescent="0.35">
      <c r="B1" s="28" t="s">
        <v>66</v>
      </c>
      <c r="C1" s="28"/>
      <c r="D1" s="28"/>
      <c r="E1" s="28"/>
      <c r="I1" s="28" t="s">
        <v>76</v>
      </c>
      <c r="J1" s="28"/>
      <c r="K1" s="28"/>
      <c r="L1" s="28"/>
    </row>
    <row r="2" spans="2:13" ht="43.5" x14ac:dyDescent="0.35">
      <c r="B2" s="4" t="s">
        <v>51</v>
      </c>
      <c r="C2" s="4" t="s">
        <v>52</v>
      </c>
      <c r="D2" s="4" t="s">
        <v>53</v>
      </c>
      <c r="E2" s="4" t="s">
        <v>54</v>
      </c>
      <c r="F2" s="4"/>
      <c r="I2" s="4" t="s">
        <v>51</v>
      </c>
      <c r="J2" s="4" t="s">
        <v>52</v>
      </c>
      <c r="K2" s="4" t="s">
        <v>53</v>
      </c>
      <c r="L2" s="4" t="s">
        <v>54</v>
      </c>
      <c r="M2" s="4"/>
    </row>
    <row r="3" spans="2:13" x14ac:dyDescent="0.35">
      <c r="B3" t="s">
        <v>5</v>
      </c>
      <c r="C3" s="2">
        <v>48</v>
      </c>
      <c r="D3" s="2">
        <v>332</v>
      </c>
      <c r="E3" s="2">
        <v>437</v>
      </c>
      <c r="I3" t="s">
        <v>5</v>
      </c>
      <c r="J3" s="2">
        <v>26</v>
      </c>
      <c r="K3" s="2">
        <v>254</v>
      </c>
      <c r="L3" s="2">
        <v>361</v>
      </c>
    </row>
    <row r="4" spans="2:13" x14ac:dyDescent="0.35">
      <c r="B4" t="s">
        <v>55</v>
      </c>
      <c r="C4" s="2">
        <v>40</v>
      </c>
      <c r="D4" s="2">
        <v>260</v>
      </c>
      <c r="E4" s="2">
        <v>372</v>
      </c>
      <c r="I4" t="s">
        <v>55</v>
      </c>
      <c r="J4" s="2">
        <v>24</v>
      </c>
      <c r="K4" s="2">
        <v>175</v>
      </c>
      <c r="L4" s="2">
        <v>240</v>
      </c>
    </row>
    <row r="5" spans="2:13" x14ac:dyDescent="0.35">
      <c r="B5" t="s">
        <v>56</v>
      </c>
      <c r="C5" s="2">
        <v>63</v>
      </c>
      <c r="D5" s="2">
        <v>340</v>
      </c>
      <c r="E5" s="2">
        <v>510</v>
      </c>
      <c r="I5" t="s">
        <v>56</v>
      </c>
      <c r="J5" s="2">
        <v>49</v>
      </c>
      <c r="K5" s="2">
        <v>220</v>
      </c>
      <c r="L5" s="2">
        <v>432</v>
      </c>
    </row>
    <row r="6" spans="2:13" x14ac:dyDescent="0.35">
      <c r="B6" t="s">
        <v>57</v>
      </c>
      <c r="C6" s="2">
        <v>32</v>
      </c>
      <c r="D6" s="2">
        <v>280</v>
      </c>
      <c r="E6" s="2">
        <v>390</v>
      </c>
      <c r="I6" t="s">
        <v>57</v>
      </c>
      <c r="J6" s="2">
        <v>24</v>
      </c>
      <c r="K6" s="2">
        <v>210</v>
      </c>
      <c r="L6" s="2">
        <v>262</v>
      </c>
    </row>
    <row r="7" spans="2:13" x14ac:dyDescent="0.35">
      <c r="B7" t="s">
        <v>58</v>
      </c>
      <c r="C7" s="2">
        <v>60</v>
      </c>
      <c r="D7" s="2">
        <v>365</v>
      </c>
      <c r="E7" s="2">
        <v>490</v>
      </c>
      <c r="I7" t="s">
        <v>58</v>
      </c>
      <c r="J7" s="2">
        <v>41</v>
      </c>
      <c r="K7" s="2">
        <v>311</v>
      </c>
      <c r="L7" s="2">
        <v>360</v>
      </c>
    </row>
    <row r="8" spans="2:13" x14ac:dyDescent="0.35">
      <c r="B8" t="s">
        <v>59</v>
      </c>
      <c r="C8" s="2">
        <v>46</v>
      </c>
      <c r="D8" s="2">
        <v>326</v>
      </c>
      <c r="E8" s="2">
        <v>443</v>
      </c>
      <c r="I8" t="s">
        <v>59</v>
      </c>
      <c r="J8" s="2">
        <v>24</v>
      </c>
      <c r="K8" s="2">
        <v>194</v>
      </c>
      <c r="L8" s="2">
        <v>280</v>
      </c>
    </row>
    <row r="9" spans="2:13" x14ac:dyDescent="0.35">
      <c r="B9" t="s">
        <v>60</v>
      </c>
      <c r="C9" s="2">
        <v>52</v>
      </c>
      <c r="D9" s="2">
        <v>358</v>
      </c>
      <c r="E9" s="2">
        <v>447</v>
      </c>
      <c r="I9" t="s">
        <v>60</v>
      </c>
      <c r="J9" s="2">
        <v>44</v>
      </c>
      <c r="K9" s="2">
        <v>330</v>
      </c>
      <c r="L9" s="2">
        <v>430</v>
      </c>
    </row>
    <row r="10" spans="2:13" x14ac:dyDescent="0.35">
      <c r="B10" t="s">
        <v>61</v>
      </c>
      <c r="C10" s="2">
        <v>41</v>
      </c>
      <c r="D10" s="2">
        <v>320</v>
      </c>
      <c r="E10" s="2">
        <v>428</v>
      </c>
      <c r="I10" t="s">
        <v>61</v>
      </c>
      <c r="J10" s="2">
        <v>12</v>
      </c>
      <c r="K10" s="2">
        <v>183</v>
      </c>
      <c r="L10" s="2">
        <v>259</v>
      </c>
    </row>
    <row r="11" spans="2:13" x14ac:dyDescent="0.35">
      <c r="B11" t="s">
        <v>62</v>
      </c>
      <c r="C11" s="2">
        <v>52</v>
      </c>
      <c r="D11" s="2">
        <v>346</v>
      </c>
      <c r="E11" s="2">
        <v>449</v>
      </c>
      <c r="I11" t="s">
        <v>63</v>
      </c>
      <c r="J11" s="2">
        <v>21</v>
      </c>
      <c r="K11" s="2">
        <v>203</v>
      </c>
      <c r="L11" s="2">
        <v>390</v>
      </c>
    </row>
    <row r="12" spans="2:13" x14ac:dyDescent="0.35">
      <c r="B12" t="s">
        <v>63</v>
      </c>
      <c r="C12" s="2">
        <v>56</v>
      </c>
      <c r="D12" s="2">
        <v>337</v>
      </c>
      <c r="E12" s="2">
        <v>408</v>
      </c>
      <c r="I12" t="s">
        <v>65</v>
      </c>
      <c r="J12" s="2">
        <v>34</v>
      </c>
      <c r="K12" s="2">
        <v>223</v>
      </c>
      <c r="L12" s="2">
        <v>353</v>
      </c>
    </row>
    <row r="13" spans="2:13" x14ac:dyDescent="0.35">
      <c r="B13" t="s">
        <v>64</v>
      </c>
      <c r="C13" s="2">
        <v>49</v>
      </c>
      <c r="D13" s="2">
        <v>336</v>
      </c>
      <c r="E13" s="2">
        <v>436</v>
      </c>
    </row>
    <row r="14" spans="2:13" x14ac:dyDescent="0.35">
      <c r="B14" t="s">
        <v>65</v>
      </c>
      <c r="C14" s="2">
        <v>57</v>
      </c>
      <c r="D14" s="2">
        <v>326</v>
      </c>
      <c r="E14" s="2">
        <v>486</v>
      </c>
    </row>
    <row r="16" spans="2:13" x14ac:dyDescent="0.35">
      <c r="B16" t="s">
        <v>67</v>
      </c>
      <c r="I16" t="s">
        <v>67</v>
      </c>
    </row>
    <row r="18" spans="2:13" x14ac:dyDescent="0.35">
      <c r="C18" t="str">
        <f>C2</f>
        <v>Baja Complejidad (h)</v>
      </c>
      <c r="D18" t="str">
        <f t="shared" ref="D18:E18" si="0">D2</f>
        <v>Media Complejidad (h)</v>
      </c>
      <c r="E18" t="str">
        <f t="shared" si="0"/>
        <v>Alta Complejidad (h)</v>
      </c>
      <c r="J18" t="str">
        <f>J2</f>
        <v>Baja Complejidad (h)</v>
      </c>
      <c r="K18" t="str">
        <f t="shared" ref="K18:L18" si="1">K2</f>
        <v>Media Complejidad (h)</v>
      </c>
      <c r="L18" t="str">
        <f t="shared" si="1"/>
        <v>Alta Complejidad (h)</v>
      </c>
    </row>
    <row r="19" spans="2:13" x14ac:dyDescent="0.35">
      <c r="B19" t="s">
        <v>30</v>
      </c>
      <c r="C19" s="11">
        <f>MEDIAN(C3:C14)</f>
        <v>50.5</v>
      </c>
      <c r="D19" s="12">
        <f t="shared" ref="D19:E19" si="2">MEDIAN(D3:D14)</f>
        <v>334</v>
      </c>
      <c r="E19" s="8">
        <f t="shared" si="2"/>
        <v>440</v>
      </c>
      <c r="I19" t="s">
        <v>30</v>
      </c>
      <c r="J19" s="11">
        <f>MEDIAN(J3:J12)</f>
        <v>25</v>
      </c>
      <c r="K19" s="12">
        <f t="shared" ref="K19:L19" si="3">MEDIAN(K3:K12)</f>
        <v>215</v>
      </c>
      <c r="L19" s="8">
        <f t="shared" si="3"/>
        <v>356.5</v>
      </c>
    </row>
    <row r="20" spans="2:13" x14ac:dyDescent="0.35">
      <c r="B20" t="s">
        <v>68</v>
      </c>
      <c r="C20" s="13">
        <f>[1]!RANK_SUM(C3:E14, 1,1)</f>
        <v>78</v>
      </c>
      <c r="D20">
        <f>[1]!RANK_SUM(C3:E14, 2,1)</f>
        <v>222</v>
      </c>
      <c r="E20" s="9">
        <f>[1]!RANK_SUM(C3:E14, 3,1)</f>
        <v>366</v>
      </c>
      <c r="I20" t="s">
        <v>68</v>
      </c>
      <c r="J20" s="13">
        <f>[1]!RANK_SUM(J3:L12, 1,1)</f>
        <v>55</v>
      </c>
      <c r="K20">
        <f>[1]!RANK_SUM(J3:L12, 2,1)</f>
        <v>164</v>
      </c>
      <c r="L20" s="9">
        <f>[1]!RANK_SUM(J3:L12, 3,1)</f>
        <v>246</v>
      </c>
    </row>
    <row r="21" spans="2:13" x14ac:dyDescent="0.35">
      <c r="B21" t="s">
        <v>31</v>
      </c>
      <c r="C21" s="13">
        <f>COUNT(C3:C14)</f>
        <v>12</v>
      </c>
      <c r="D21">
        <f t="shared" ref="D21:E21" si="4">COUNT(D3:D14)</f>
        <v>12</v>
      </c>
      <c r="E21" s="9">
        <f t="shared" si="4"/>
        <v>12</v>
      </c>
      <c r="F21" s="6">
        <f>SUM(C21:E21)</f>
        <v>36</v>
      </c>
      <c r="I21" t="s">
        <v>31</v>
      </c>
      <c r="J21" s="13">
        <f>COUNT(J3:J12)</f>
        <v>10</v>
      </c>
      <c r="K21">
        <f t="shared" ref="K21:L21" si="5">COUNT(K3:K12)</f>
        <v>10</v>
      </c>
      <c r="L21" s="9">
        <f t="shared" si="5"/>
        <v>10</v>
      </c>
      <c r="M21" s="6">
        <f>SUM(J21:L21)</f>
        <v>30</v>
      </c>
    </row>
    <row r="22" spans="2:13" x14ac:dyDescent="0.35">
      <c r="B22" t="s">
        <v>69</v>
      </c>
      <c r="C22" s="14">
        <f>C20^2/C21</f>
        <v>507</v>
      </c>
      <c r="D22" s="15">
        <f t="shared" ref="D22:E22" si="6">D20^2/D21</f>
        <v>4107</v>
      </c>
      <c r="E22" s="10">
        <f t="shared" si="6"/>
        <v>11163</v>
      </c>
      <c r="F22" s="7">
        <f>SUM(C22:E22)</f>
        <v>15777</v>
      </c>
      <c r="I22" t="s">
        <v>69</v>
      </c>
      <c r="J22" s="14">
        <f>J20^2/J21</f>
        <v>302.5</v>
      </c>
      <c r="K22" s="15">
        <f t="shared" ref="K22:L22" si="7">K20^2/K21</f>
        <v>2689.6</v>
      </c>
      <c r="L22" s="10">
        <f t="shared" si="7"/>
        <v>6051.6</v>
      </c>
      <c r="M22" s="7">
        <f>SUM(J22:L22)</f>
        <v>9043.7000000000007</v>
      </c>
    </row>
    <row r="23" spans="2:13" x14ac:dyDescent="0.35">
      <c r="B23" t="s">
        <v>70</v>
      </c>
      <c r="F23" s="17">
        <f>12*F22/(F21*(F21+1))-3*(F21+1)</f>
        <v>31.13513513513513</v>
      </c>
      <c r="I23" t="s">
        <v>70</v>
      </c>
      <c r="M23" s="17">
        <f>12*M22/(M21*(M21+1))-3*(M21+1)</f>
        <v>23.692903225806461</v>
      </c>
    </row>
    <row r="24" spans="2:13" x14ac:dyDescent="0.35">
      <c r="B24" t="s">
        <v>71</v>
      </c>
      <c r="F24" s="7">
        <f>F23/(1-[1]!TiesCorrection(C3:E14)/(F21*(F21^2-1)))</f>
        <v>31.143151390319254</v>
      </c>
      <c r="I24" t="s">
        <v>71</v>
      </c>
      <c r="M24" s="7">
        <f>M23/(1-[1]!TiesCorrection(J3:L12)/(M21*(M21^2-1)))</f>
        <v>23.714005789356499</v>
      </c>
    </row>
    <row r="25" spans="2:13" x14ac:dyDescent="0.35">
      <c r="B25" t="s">
        <v>72</v>
      </c>
      <c r="F25" s="17">
        <f>COUNTA(C18:E18)-1</f>
        <v>2</v>
      </c>
      <c r="I25" t="s">
        <v>72</v>
      </c>
      <c r="M25" s="17">
        <f>COUNTA(J18:L18)-1</f>
        <v>2</v>
      </c>
    </row>
    <row r="26" spans="2:13" x14ac:dyDescent="0.35">
      <c r="B26" t="s">
        <v>73</v>
      </c>
      <c r="F26" s="18">
        <f>_xlfn.CHISQ.DIST.RT(F24,F25)</f>
        <v>1.7272317040491495E-7</v>
      </c>
      <c r="I26" t="s">
        <v>73</v>
      </c>
      <c r="M26" s="18">
        <f>_xlfn.CHISQ.DIST.RT(M24,M25)</f>
        <v>7.0887403801469144E-6</v>
      </c>
    </row>
    <row r="27" spans="2:13" x14ac:dyDescent="0.35">
      <c r="B27" t="s">
        <v>74</v>
      </c>
      <c r="F27" s="7">
        <v>0.05</v>
      </c>
      <c r="I27" t="s">
        <v>74</v>
      </c>
      <c r="M27" s="7">
        <v>0.05</v>
      </c>
    </row>
    <row r="28" spans="2:13" x14ac:dyDescent="0.35">
      <c r="B28" t="s">
        <v>75</v>
      </c>
      <c r="F28" s="19" t="str">
        <f>IF(F26&lt;F27,"yes","no")</f>
        <v>yes</v>
      </c>
      <c r="I28" t="s">
        <v>75</v>
      </c>
      <c r="M28" s="19" t="str">
        <f>IF(M26&lt;M27,"yes","no")</f>
        <v>yes</v>
      </c>
    </row>
    <row r="31" spans="2:13" ht="14.5" customHeight="1" x14ac:dyDescent="0.35">
      <c r="B31" t="s">
        <v>50</v>
      </c>
      <c r="I31" t="s">
        <v>50</v>
      </c>
    </row>
    <row r="32" spans="2:13" ht="48" customHeight="1" x14ac:dyDescent="0.4">
      <c r="B32" s="28" t="s">
        <v>97</v>
      </c>
      <c r="C32" s="28"/>
      <c r="D32" s="28"/>
      <c r="E32" s="28"/>
      <c r="F32" s="28"/>
      <c r="G32" s="1"/>
      <c r="H32" s="1"/>
      <c r="I32" s="28" t="s">
        <v>99</v>
      </c>
      <c r="J32" s="28"/>
      <c r="K32" s="28"/>
      <c r="L32" s="28"/>
    </row>
    <row r="33" spans="2:12" ht="48" customHeight="1" x14ac:dyDescent="0.4">
      <c r="B33" s="28" t="s">
        <v>98</v>
      </c>
      <c r="C33" s="28"/>
      <c r="D33" s="28"/>
      <c r="E33" s="28"/>
      <c r="F33" s="28"/>
      <c r="G33" s="1"/>
      <c r="H33" s="1"/>
      <c r="I33" s="28" t="s">
        <v>100</v>
      </c>
      <c r="J33" s="28"/>
      <c r="K33" s="28"/>
      <c r="L33" s="28"/>
    </row>
    <row r="35" spans="2:12" ht="14.5" customHeight="1" x14ac:dyDescent="0.35">
      <c r="B35" t="s">
        <v>91</v>
      </c>
      <c r="I35" t="s">
        <v>94</v>
      </c>
    </row>
    <row r="36" spans="2:12" x14ac:dyDescent="0.35">
      <c r="B36" t="s">
        <v>92</v>
      </c>
      <c r="I36" t="s">
        <v>92</v>
      </c>
    </row>
    <row r="37" spans="2:12" ht="156" customHeight="1" x14ac:dyDescent="0.35">
      <c r="B37" s="27" t="s">
        <v>93</v>
      </c>
      <c r="C37" s="27"/>
      <c r="D37" s="27"/>
      <c r="E37" s="27"/>
      <c r="F37" s="27"/>
      <c r="I37" s="27" t="s">
        <v>95</v>
      </c>
      <c r="J37" s="27"/>
      <c r="K37" s="27"/>
      <c r="L37" s="27"/>
    </row>
  </sheetData>
  <mergeCells count="8">
    <mergeCell ref="B37:F37"/>
    <mergeCell ref="I37:L37"/>
    <mergeCell ref="B1:E1"/>
    <mergeCell ref="I1:L1"/>
    <mergeCell ref="I32:L32"/>
    <mergeCell ref="I33:L33"/>
    <mergeCell ref="B32:F32"/>
    <mergeCell ref="B33:F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FCB5-472A-4AC8-8EC1-42AF2C24B03A}">
  <dimension ref="B1:Q51"/>
  <sheetViews>
    <sheetView workbookViewId="0">
      <selection activeCell="J9" sqref="J9"/>
    </sheetView>
  </sheetViews>
  <sheetFormatPr defaultRowHeight="14.5" x14ac:dyDescent="0.35"/>
  <cols>
    <col min="2" max="4" width="12.26953125" customWidth="1"/>
    <col min="12" max="14" width="13.6328125" customWidth="1"/>
  </cols>
  <sheetData>
    <row r="1" spans="2:17" ht="75" customHeight="1" x14ac:dyDescent="0.35">
      <c r="B1" s="28" t="s">
        <v>80</v>
      </c>
      <c r="C1" s="28"/>
      <c r="D1" s="28"/>
      <c r="E1" s="28"/>
      <c r="F1" s="28"/>
      <c r="L1" s="28" t="s">
        <v>81</v>
      </c>
      <c r="M1" s="28"/>
      <c r="N1" s="28"/>
      <c r="O1" s="28"/>
      <c r="P1" s="28"/>
      <c r="Q1" s="28"/>
    </row>
    <row r="4" spans="2:17" ht="59" customHeight="1" x14ac:dyDescent="0.35">
      <c r="B4" s="1" t="s">
        <v>77</v>
      </c>
      <c r="C4" s="1" t="s">
        <v>78</v>
      </c>
      <c r="D4" s="1" t="s">
        <v>79</v>
      </c>
      <c r="E4" s="1"/>
      <c r="F4" s="1"/>
      <c r="G4" s="1"/>
      <c r="H4" s="1"/>
      <c r="I4" s="1"/>
      <c r="J4" s="1"/>
      <c r="K4" s="1"/>
      <c r="L4" s="1" t="s">
        <v>77</v>
      </c>
      <c r="M4" s="1" t="s">
        <v>82</v>
      </c>
      <c r="N4" s="1" t="s">
        <v>79</v>
      </c>
      <c r="O4" s="1"/>
    </row>
    <row r="5" spans="2:17" x14ac:dyDescent="0.35">
      <c r="B5" s="2">
        <v>60</v>
      </c>
      <c r="C5" s="2">
        <v>63</v>
      </c>
      <c r="D5" s="2">
        <v>48</v>
      </c>
      <c r="L5" s="2">
        <v>41</v>
      </c>
      <c r="M5" s="2">
        <v>49</v>
      </c>
      <c r="N5" s="2">
        <v>26</v>
      </c>
    </row>
    <row r="6" spans="2:17" x14ac:dyDescent="0.35">
      <c r="B6" s="2">
        <v>365</v>
      </c>
      <c r="C6" s="2">
        <v>340</v>
      </c>
      <c r="D6" s="2">
        <v>332</v>
      </c>
      <c r="L6" s="2">
        <v>311</v>
      </c>
      <c r="M6" s="2">
        <v>220</v>
      </c>
      <c r="N6" s="2">
        <v>254</v>
      </c>
    </row>
    <row r="7" spans="2:17" x14ac:dyDescent="0.35">
      <c r="B7" s="2">
        <v>490</v>
      </c>
      <c r="C7" s="2">
        <v>510</v>
      </c>
      <c r="D7" s="2">
        <v>437</v>
      </c>
      <c r="L7" s="2">
        <v>360</v>
      </c>
      <c r="M7" s="2">
        <v>432</v>
      </c>
      <c r="N7" s="2">
        <v>361</v>
      </c>
    </row>
    <row r="8" spans="2:17" x14ac:dyDescent="0.35">
      <c r="B8" s="2"/>
      <c r="C8" s="2">
        <v>32</v>
      </c>
      <c r="D8" s="2">
        <v>40</v>
      </c>
      <c r="L8" s="2"/>
      <c r="M8" s="2">
        <v>24</v>
      </c>
      <c r="N8" s="2">
        <v>24</v>
      </c>
    </row>
    <row r="9" spans="2:17" x14ac:dyDescent="0.35">
      <c r="B9" s="2"/>
      <c r="C9" s="2">
        <v>280</v>
      </c>
      <c r="D9" s="2">
        <v>260</v>
      </c>
      <c r="L9" s="2"/>
      <c r="M9" s="2">
        <v>210</v>
      </c>
      <c r="N9" s="2">
        <v>175</v>
      </c>
    </row>
    <row r="10" spans="2:17" x14ac:dyDescent="0.35">
      <c r="B10" s="2"/>
      <c r="C10" s="2">
        <v>390</v>
      </c>
      <c r="D10" s="2">
        <v>372</v>
      </c>
      <c r="L10" s="2"/>
      <c r="M10" s="2">
        <v>262</v>
      </c>
      <c r="N10" s="2">
        <v>240</v>
      </c>
    </row>
    <row r="11" spans="2:17" x14ac:dyDescent="0.35">
      <c r="B11" s="2"/>
      <c r="C11" s="2">
        <v>46</v>
      </c>
      <c r="D11" s="2"/>
      <c r="L11" s="2"/>
      <c r="M11" s="2">
        <v>24</v>
      </c>
      <c r="N11" s="2"/>
    </row>
    <row r="12" spans="2:17" x14ac:dyDescent="0.35">
      <c r="B12" s="2"/>
      <c r="C12" s="2">
        <v>326</v>
      </c>
      <c r="D12" s="2"/>
      <c r="L12" s="2"/>
      <c r="M12" s="2">
        <v>194</v>
      </c>
      <c r="N12" s="2"/>
    </row>
    <row r="13" spans="2:17" x14ac:dyDescent="0.35">
      <c r="B13" s="2"/>
      <c r="C13" s="2">
        <v>443</v>
      </c>
      <c r="D13" s="2"/>
      <c r="L13" s="2"/>
      <c r="M13" s="2">
        <v>280</v>
      </c>
      <c r="N13" s="2"/>
    </row>
    <row r="14" spans="2:17" x14ac:dyDescent="0.35">
      <c r="B14" s="2"/>
      <c r="C14" s="2">
        <v>52</v>
      </c>
      <c r="D14" s="2"/>
      <c r="L14" s="2"/>
      <c r="M14" s="2">
        <v>44</v>
      </c>
      <c r="N14" s="2"/>
    </row>
    <row r="15" spans="2:17" x14ac:dyDescent="0.35">
      <c r="B15" s="2"/>
      <c r="C15" s="2">
        <v>358</v>
      </c>
      <c r="D15" s="2"/>
      <c r="L15" s="2"/>
      <c r="M15" s="2">
        <v>330</v>
      </c>
      <c r="N15" s="2"/>
    </row>
    <row r="16" spans="2:17" x14ac:dyDescent="0.35">
      <c r="B16" s="2"/>
      <c r="C16" s="2">
        <v>447</v>
      </c>
      <c r="D16" s="2"/>
      <c r="L16" s="2"/>
      <c r="M16" s="2">
        <v>430</v>
      </c>
      <c r="N16" s="2"/>
    </row>
    <row r="17" spans="2:14" x14ac:dyDescent="0.35">
      <c r="B17" s="2"/>
      <c r="C17" s="2">
        <v>41</v>
      </c>
      <c r="D17" s="2"/>
      <c r="L17" s="2"/>
      <c r="M17" s="2">
        <v>12</v>
      </c>
      <c r="N17" s="2"/>
    </row>
    <row r="18" spans="2:14" x14ac:dyDescent="0.35">
      <c r="B18" s="2"/>
      <c r="C18" s="2">
        <v>320</v>
      </c>
      <c r="D18" s="2"/>
      <c r="L18" s="2"/>
      <c r="M18" s="2">
        <v>183</v>
      </c>
      <c r="N18" s="2"/>
    </row>
    <row r="19" spans="2:14" x14ac:dyDescent="0.35">
      <c r="B19" s="2"/>
      <c r="C19" s="2">
        <v>428</v>
      </c>
      <c r="D19" s="2"/>
      <c r="L19" s="2"/>
      <c r="M19" s="2">
        <v>259</v>
      </c>
      <c r="N19" s="2"/>
    </row>
    <row r="20" spans="2:14" x14ac:dyDescent="0.35">
      <c r="B20" s="2"/>
      <c r="C20" s="2">
        <v>52</v>
      </c>
      <c r="D20" s="2"/>
      <c r="L20" s="2"/>
      <c r="M20" s="2">
        <v>21</v>
      </c>
      <c r="N20" s="2"/>
    </row>
    <row r="21" spans="2:14" x14ac:dyDescent="0.35">
      <c r="B21" s="2"/>
      <c r="C21" s="2">
        <v>346</v>
      </c>
      <c r="D21" s="2"/>
      <c r="L21" s="2"/>
      <c r="M21" s="2">
        <v>203</v>
      </c>
      <c r="N21" s="2"/>
    </row>
    <row r="22" spans="2:14" x14ac:dyDescent="0.35">
      <c r="B22" s="2"/>
      <c r="C22" s="2">
        <v>449</v>
      </c>
      <c r="D22" s="2"/>
      <c r="L22" s="2"/>
      <c r="M22" s="2">
        <v>390</v>
      </c>
      <c r="N22" s="2"/>
    </row>
    <row r="23" spans="2:14" x14ac:dyDescent="0.35">
      <c r="B23" s="2"/>
      <c r="C23" s="2">
        <v>56</v>
      </c>
      <c r="D23" s="2"/>
      <c r="L23" s="2"/>
      <c r="M23" s="2">
        <v>34</v>
      </c>
      <c r="N23" s="2"/>
    </row>
    <row r="24" spans="2:14" x14ac:dyDescent="0.35">
      <c r="B24" s="2"/>
      <c r="C24" s="2">
        <v>337</v>
      </c>
      <c r="D24" s="2"/>
      <c r="L24" s="2"/>
      <c r="M24" s="2">
        <v>223</v>
      </c>
      <c r="N24" s="2"/>
    </row>
    <row r="25" spans="2:14" x14ac:dyDescent="0.35">
      <c r="B25" s="2"/>
      <c r="C25" s="2">
        <v>408</v>
      </c>
      <c r="D25" s="2"/>
      <c r="L25" s="2"/>
      <c r="M25" s="2">
        <v>353</v>
      </c>
      <c r="N25" s="2"/>
    </row>
    <row r="26" spans="2:14" x14ac:dyDescent="0.35">
      <c r="B26" s="2"/>
      <c r="C26" s="2">
        <v>49</v>
      </c>
      <c r="D26" s="2"/>
    </row>
    <row r="27" spans="2:14" x14ac:dyDescent="0.35">
      <c r="B27" s="2"/>
      <c r="C27" s="2">
        <v>336</v>
      </c>
      <c r="D27" s="2"/>
    </row>
    <row r="28" spans="2:14" x14ac:dyDescent="0.35">
      <c r="B28" s="2"/>
      <c r="C28" s="2">
        <v>436</v>
      </c>
      <c r="D28" s="2"/>
    </row>
    <row r="29" spans="2:14" x14ac:dyDescent="0.35">
      <c r="B29" s="2"/>
      <c r="C29" s="2">
        <v>57</v>
      </c>
      <c r="D29" s="2"/>
    </row>
    <row r="30" spans="2:14" x14ac:dyDescent="0.35">
      <c r="B30" s="2"/>
      <c r="C30" s="2">
        <v>326</v>
      </c>
      <c r="D30" s="2"/>
    </row>
    <row r="31" spans="2:14" x14ac:dyDescent="0.35">
      <c r="B31" s="2"/>
      <c r="C31" s="2">
        <v>486</v>
      </c>
      <c r="D31" s="2"/>
    </row>
    <row r="33" spans="2:16" x14ac:dyDescent="0.35">
      <c r="B33" t="s">
        <v>67</v>
      </c>
      <c r="L33" t="s">
        <v>67</v>
      </c>
    </row>
    <row r="35" spans="2:16" x14ac:dyDescent="0.35">
      <c r="C35" t="str">
        <f>B4</f>
        <v>Junior (D4)</v>
      </c>
      <c r="D35" t="str">
        <f t="shared" ref="D35:E35" si="0">C4</f>
        <v>Senior (D2, D3, D5, D6, D7, D8, D9, D10, D11)</v>
      </c>
      <c r="E35" t="str">
        <f t="shared" si="0"/>
        <v>Master (Experto, D1)</v>
      </c>
      <c r="M35" t="str">
        <f>L4</f>
        <v>Junior (D4)</v>
      </c>
      <c r="N35" t="str">
        <f t="shared" ref="N35:O35" si="1">M4</f>
        <v>Senior (D2, D3, D5, D6, D7, D9, D11)</v>
      </c>
      <c r="O35" t="str">
        <f t="shared" si="1"/>
        <v>Master (Experto, D1)</v>
      </c>
    </row>
    <row r="36" spans="2:16" x14ac:dyDescent="0.35">
      <c r="B36" t="s">
        <v>30</v>
      </c>
      <c r="C36" s="11">
        <f>MEDIAN(B5:B31)</f>
        <v>365</v>
      </c>
      <c r="D36" s="12">
        <f t="shared" ref="D36:E36" si="2">MEDIAN(C5:C31)</f>
        <v>336</v>
      </c>
      <c r="E36" s="8">
        <f t="shared" si="2"/>
        <v>296</v>
      </c>
      <c r="L36" t="s">
        <v>30</v>
      </c>
      <c r="M36" s="11">
        <f>MEDIAN(L5:L25)</f>
        <v>311</v>
      </c>
      <c r="N36" s="12">
        <f t="shared" ref="N36:O36" si="3">MEDIAN(M5:M25)</f>
        <v>210</v>
      </c>
      <c r="O36" s="8">
        <f t="shared" si="3"/>
        <v>207.5</v>
      </c>
    </row>
    <row r="37" spans="2:16" x14ac:dyDescent="0.35">
      <c r="B37" t="s">
        <v>68</v>
      </c>
      <c r="C37" s="13">
        <f>[1]!RANK_SUM(B5:D31, 1,1)</f>
        <v>70</v>
      </c>
      <c r="D37">
        <f>[1]!RANK_SUM(B5:D31, 2,1)</f>
        <v>503</v>
      </c>
      <c r="E37" s="9">
        <f>[1]!RANK_SUM(B5:D31, 3,1)</f>
        <v>93</v>
      </c>
      <c r="L37" t="s">
        <v>68</v>
      </c>
      <c r="M37" s="13">
        <f>[1]!RANK_SUM(L5:N25, 1,1)</f>
        <v>57</v>
      </c>
      <c r="N37">
        <f>[1]!RANK_SUM(L5:N25, 2,1)</f>
        <v>323</v>
      </c>
      <c r="O37" s="9">
        <f>[1]!RANK_SUM(L5:N25, 3,1)</f>
        <v>85</v>
      </c>
    </row>
    <row r="38" spans="2:16" x14ac:dyDescent="0.35">
      <c r="B38" t="s">
        <v>31</v>
      </c>
      <c r="C38" s="13">
        <f>COUNT(B5:B31)</f>
        <v>3</v>
      </c>
      <c r="D38">
        <f t="shared" ref="D38:E38" si="4">COUNT(C5:C31)</f>
        <v>27</v>
      </c>
      <c r="E38" s="9">
        <f t="shared" si="4"/>
        <v>6</v>
      </c>
      <c r="F38" s="6">
        <f>SUM(C38:E38)</f>
        <v>36</v>
      </c>
      <c r="L38" t="s">
        <v>31</v>
      </c>
      <c r="M38" s="13">
        <f>COUNT(L5:L25)</f>
        <v>3</v>
      </c>
      <c r="N38">
        <f t="shared" ref="N38:O38" si="5">COUNT(M5:M25)</f>
        <v>21</v>
      </c>
      <c r="O38" s="9">
        <f t="shared" si="5"/>
        <v>6</v>
      </c>
      <c r="P38" s="6">
        <f>SUM(M38:O38)</f>
        <v>30</v>
      </c>
    </row>
    <row r="39" spans="2:16" x14ac:dyDescent="0.35">
      <c r="B39" t="s">
        <v>69</v>
      </c>
      <c r="C39" s="14">
        <f>C37^2/C38</f>
        <v>1633.3333333333333</v>
      </c>
      <c r="D39" s="15">
        <f t="shared" ref="D39:E39" si="6">D37^2/D38</f>
        <v>9370.7037037037044</v>
      </c>
      <c r="E39" s="10">
        <f t="shared" si="6"/>
        <v>1441.5</v>
      </c>
      <c r="F39" s="7">
        <f>SUM(C39:E39)</f>
        <v>12445.537037037038</v>
      </c>
      <c r="L39" t="s">
        <v>69</v>
      </c>
      <c r="M39" s="14">
        <f>M37^2/M38</f>
        <v>1083</v>
      </c>
      <c r="N39" s="15">
        <f t="shared" ref="N39:O39" si="7">N37^2/N38</f>
        <v>4968.0476190476193</v>
      </c>
      <c r="O39" s="10">
        <f t="shared" si="7"/>
        <v>1204.1666666666667</v>
      </c>
      <c r="P39" s="7">
        <f>SUM(M39:O39)</f>
        <v>7255.2142857142862</v>
      </c>
    </row>
    <row r="40" spans="2:16" x14ac:dyDescent="0.35">
      <c r="B40" t="s">
        <v>70</v>
      </c>
      <c r="F40" s="7">
        <f>12*F39/(F38*(F38+1))-3*(F38+1)</f>
        <v>1.1219552886219759</v>
      </c>
      <c r="L40" t="s">
        <v>70</v>
      </c>
      <c r="P40" s="7">
        <f>12*P39/(P38*(P38+1))-3*(P38+1)</f>
        <v>0.61566820276497936</v>
      </c>
    </row>
    <row r="41" spans="2:16" x14ac:dyDescent="0.35">
      <c r="B41" t="s">
        <v>71</v>
      </c>
      <c r="F41" s="7">
        <f>F40/(1-[1]!TiesCorrection(B5:D31)/(F38*(F38^2-1)))</f>
        <v>1.1222441545562247</v>
      </c>
      <c r="L41" t="s">
        <v>71</v>
      </c>
      <c r="P41" s="7">
        <f>P40/(1-[1]!TiesCorrection(L5:N25)/(P38*(P38^2-1)))</f>
        <v>0.61621656010433801</v>
      </c>
    </row>
    <row r="42" spans="2:16" x14ac:dyDescent="0.35">
      <c r="B42" t="s">
        <v>72</v>
      </c>
      <c r="F42" s="7">
        <f>COUNTA(C35:E35)-1</f>
        <v>2</v>
      </c>
      <c r="L42" t="s">
        <v>72</v>
      </c>
      <c r="P42" s="7">
        <f>COUNTA(M35:O35)-1</f>
        <v>2</v>
      </c>
    </row>
    <row r="43" spans="2:16" x14ac:dyDescent="0.35">
      <c r="B43" t="s">
        <v>73</v>
      </c>
      <c r="F43" s="7">
        <f>_xlfn.CHISQ.DIST.RT(F41,F42)</f>
        <v>0.57056848259526372</v>
      </c>
      <c r="L43" t="s">
        <v>73</v>
      </c>
      <c r="P43" s="7">
        <f>_xlfn.CHISQ.DIST.RT(P41,P42)</f>
        <v>0.73483574564822229</v>
      </c>
    </row>
    <row r="44" spans="2:16" x14ac:dyDescent="0.35">
      <c r="B44" t="s">
        <v>74</v>
      </c>
      <c r="F44" s="7">
        <v>0.05</v>
      </c>
      <c r="L44" t="s">
        <v>74</v>
      </c>
      <c r="P44" s="7">
        <v>0.05</v>
      </c>
    </row>
    <row r="45" spans="2:16" x14ac:dyDescent="0.35">
      <c r="B45" t="s">
        <v>75</v>
      </c>
      <c r="F45" s="16" t="str">
        <f>IF(F43&lt;F44,"yes","no")</f>
        <v>no</v>
      </c>
      <c r="L45" t="s">
        <v>75</v>
      </c>
      <c r="P45" s="16" t="str">
        <f>IF(P43&lt;P44,"yes","no")</f>
        <v>no</v>
      </c>
    </row>
    <row r="48" spans="2:16" ht="26.5" customHeight="1" x14ac:dyDescent="0.35">
      <c r="B48" s="27" t="s">
        <v>89</v>
      </c>
      <c r="C48" s="27"/>
      <c r="D48" s="27"/>
      <c r="E48" s="27"/>
      <c r="F48" s="27"/>
      <c r="G48" s="27"/>
      <c r="H48" s="27"/>
      <c r="I48" s="27"/>
      <c r="L48" s="27" t="s">
        <v>90</v>
      </c>
      <c r="M48" s="27"/>
      <c r="N48" s="27"/>
      <c r="O48" s="27"/>
      <c r="P48" s="27"/>
    </row>
    <row r="49" spans="2:16" x14ac:dyDescent="0.35">
      <c r="B49" t="s">
        <v>83</v>
      </c>
      <c r="L49" t="s">
        <v>86</v>
      </c>
    </row>
    <row r="50" spans="2:16" x14ac:dyDescent="0.35">
      <c r="B50" t="s">
        <v>84</v>
      </c>
      <c r="L50" t="s">
        <v>87</v>
      </c>
    </row>
    <row r="51" spans="2:16" ht="54.5" customHeight="1" x14ac:dyDescent="0.35">
      <c r="B51" s="28" t="s">
        <v>85</v>
      </c>
      <c r="C51" s="28"/>
      <c r="D51" s="28"/>
      <c r="E51" s="28"/>
      <c r="F51" s="28"/>
      <c r="G51" s="28"/>
      <c r="H51" s="28"/>
      <c r="I51" s="28"/>
      <c r="L51" s="28" t="s">
        <v>88</v>
      </c>
      <c r="M51" s="28"/>
      <c r="N51" s="28"/>
      <c r="O51" s="28"/>
      <c r="P51" s="28"/>
    </row>
  </sheetData>
  <mergeCells count="6">
    <mergeCell ref="B1:F1"/>
    <mergeCell ref="L1:Q1"/>
    <mergeCell ref="B48:I48"/>
    <mergeCell ref="L48:P48"/>
    <mergeCell ref="B51:I51"/>
    <mergeCell ref="L51:P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Tabla de datos puros</vt:lpstr>
      <vt:lpstr>ETP</vt:lpstr>
      <vt:lpstr>Wilcoxon</vt:lpstr>
      <vt:lpstr>Kruskal-Wallis complejidad</vt:lpstr>
      <vt:lpstr>Kruskal-Wallis 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ADOLFO VÉLEZ CORNEJO</dc:creator>
  <cp:lastModifiedBy>GUSTAVO ADOLFO VÉLEZ CORNEJO</cp:lastModifiedBy>
  <dcterms:created xsi:type="dcterms:W3CDTF">2026-05-22T02:04:50Z</dcterms:created>
  <dcterms:modified xsi:type="dcterms:W3CDTF">2026-06-01T21:33:35Z</dcterms:modified>
</cp:coreProperties>
</file>