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Trabajo de Grado\Tesis Exitosa\1-Anexos de la Tesis\"/>
    </mc:Choice>
  </mc:AlternateContent>
  <xr:revisionPtr revIDLastSave="0" documentId="13_ncr:1_{571C1D0C-3134-4E18-BFE4-0915A934CF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ubrica_V_Aiken" sheetId="1" r:id="rId1"/>
    <sheet name="Acuerdo Fleiss Kapp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I3" i="1"/>
  <c r="G5" i="2" l="1"/>
  <c r="E5" i="2"/>
  <c r="E6" i="2"/>
  <c r="E7" i="2"/>
  <c r="D8" i="2"/>
  <c r="G9" i="2"/>
  <c r="E9" i="2"/>
  <c r="D10" i="2"/>
  <c r="G11" i="2"/>
  <c r="F12" i="2"/>
  <c r="E13" i="2"/>
  <c r="G13" i="2"/>
  <c r="D4" i="2"/>
  <c r="G4" i="2"/>
  <c r="D7" i="2"/>
  <c r="F13" i="2"/>
  <c r="G12" i="2"/>
  <c r="C12" i="2"/>
  <c r="D9" i="2"/>
  <c r="E8" i="2"/>
  <c r="C6" i="2"/>
  <c r="D5" i="2"/>
  <c r="I11" i="1"/>
  <c r="K11" i="1" s="1"/>
  <c r="I4" i="1" l="1"/>
  <c r="J4" i="1" s="1"/>
  <c r="C13" i="2"/>
  <c r="H13" i="2" s="1"/>
  <c r="I7" i="1"/>
  <c r="K7" i="1" s="1"/>
  <c r="F5" i="2"/>
  <c r="C8" i="2"/>
  <c r="G8" i="2"/>
  <c r="F9" i="2"/>
  <c r="E12" i="2"/>
  <c r="D13" i="2"/>
  <c r="I12" i="1"/>
  <c r="J12" i="1" s="1"/>
  <c r="F8" i="2"/>
  <c r="D12" i="2"/>
  <c r="I8" i="1"/>
  <c r="J8" i="1" s="1"/>
  <c r="C5" i="2"/>
  <c r="C9" i="2"/>
  <c r="I9" i="2" s="1"/>
  <c r="E4" i="2"/>
  <c r="J11" i="1"/>
  <c r="I5" i="1"/>
  <c r="F4" i="2"/>
  <c r="F6" i="2"/>
  <c r="J3" i="1"/>
  <c r="C4" i="2"/>
  <c r="G6" i="2"/>
  <c r="D11" i="2"/>
  <c r="K4" i="1"/>
  <c r="I6" i="1"/>
  <c r="K6" i="1" s="1"/>
  <c r="I10" i="1"/>
  <c r="K10" i="1" s="1"/>
  <c r="D6" i="2"/>
  <c r="C7" i="2"/>
  <c r="G7" i="2"/>
  <c r="C10" i="2"/>
  <c r="G10" i="2"/>
  <c r="F11" i="2"/>
  <c r="E10" i="2"/>
  <c r="F7" i="2"/>
  <c r="F10" i="2"/>
  <c r="E11" i="2"/>
  <c r="I13" i="2"/>
  <c r="I9" i="1"/>
  <c r="C11" i="2"/>
  <c r="K8" i="1" l="1"/>
  <c r="H12" i="2"/>
  <c r="I15" i="1"/>
  <c r="K12" i="1"/>
  <c r="J7" i="1"/>
  <c r="I6" i="2"/>
  <c r="H8" i="2"/>
  <c r="F17" i="2"/>
  <c r="H6" i="2"/>
  <c r="J10" i="1"/>
  <c r="E17" i="2"/>
  <c r="I10" i="2"/>
  <c r="I5" i="2"/>
  <c r="H4" i="2"/>
  <c r="I12" i="2"/>
  <c r="G17" i="2"/>
  <c r="D17" i="2"/>
  <c r="H9" i="2"/>
  <c r="I8" i="2"/>
  <c r="H5" i="2"/>
  <c r="J5" i="1"/>
  <c r="K5" i="1"/>
  <c r="K3" i="1"/>
  <c r="I4" i="2"/>
  <c r="C17" i="2"/>
  <c r="C20" i="2" s="1"/>
  <c r="J6" i="1"/>
  <c r="I11" i="2"/>
  <c r="K9" i="1"/>
  <c r="J9" i="1"/>
  <c r="H11" i="2"/>
  <c r="I7" i="2"/>
  <c r="H10" i="2"/>
  <c r="H7" i="2"/>
  <c r="C19" i="2" l="1"/>
</calcChain>
</file>

<file path=xl/sharedStrings.xml><?xml version="1.0" encoding="utf-8"?>
<sst xmlns="http://schemas.openxmlformats.org/spreadsheetml/2006/main" count="56" uniqueCount="56">
  <si>
    <t>N°</t>
  </si>
  <si>
    <t>Atributo</t>
  </si>
  <si>
    <t>V de Aiken</t>
  </si>
  <si>
    <t>Conteo por categoría (1..5) para cada ítem</t>
  </si>
  <si>
    <t>Ítem</t>
  </si>
  <si>
    <t>Proporciones globales por categoría (p_j)</t>
  </si>
  <si>
    <t>P̄ (promedio de P_i)</t>
  </si>
  <si>
    <t>P_e (esperado por azar)</t>
  </si>
  <si>
    <t>Fleiss' κ (5 evaluadores, 5 categorías)</t>
  </si>
  <si>
    <t>Guía (orientativa):</t>
  </si>
  <si>
    <t>≥ 0,80: Muy alto | 0,60–0,79: Moderado–alto | 0,40–0,59: Moderado | &lt; 0,40: Bajo</t>
  </si>
  <si>
    <t>Los indicadores propuestos permiten realizar seguimiento objetivo a la implementación y efectividad de la estrategia.</t>
  </si>
  <si>
    <t>La estrategia presenta un nivel adecuado de alineación con la estrategia corporativa y prioridades de PLANETA S.A.S E.S.P.</t>
  </si>
  <si>
    <t>La propuesta es coherente con los compromisos nacionales de mitigación y con el marco regulatorio aplicable al sector.</t>
  </si>
  <si>
    <t>La estrategia mantiene coherencia con el diagnóstico de emisiones y con la realidad operativa de la PTAR (procesos y restricciones).</t>
  </si>
  <si>
    <t>La propuesta contempla criterios de factibilidad operativa, como continuidad del servicio y ventanas de ejecución viables.</t>
  </si>
  <si>
    <t>Los supuestos económicos y técnicos empleados (vida útil, consumos normalizados) son consistentes con la línea base y están razonablemente justificados.</t>
  </si>
  <si>
    <t>V de Aiken global [Promedio]</t>
  </si>
  <si>
    <t>Valor de V de Aiken</t>
  </si>
  <si>
    <t>Interpretación</t>
  </si>
  <si>
    <t>Acción sugerida</t>
  </si>
  <si>
    <t>0.90 – 1.00</t>
  </si>
  <si>
    <t>Excelente validez</t>
  </si>
  <si>
    <t>0.80 – 0.89</t>
  </si>
  <si>
    <t>Alta validez</t>
  </si>
  <si>
    <t>0.75 – 0.79</t>
  </si>
  <si>
    <t>Validez aceptable / límite</t>
  </si>
  <si>
    <t>0.60 – 0.74</t>
  </si>
  <si>
    <t>Validez baja o dudosa</t>
  </si>
  <si>
    <t>&lt; 0.60</t>
  </si>
  <si>
    <t>Validez inaceptable</t>
  </si>
  <si>
    <t>Aníbal José Perna González</t>
  </si>
  <si>
    <t>Yohan Roberto Gaviria Montañez</t>
  </si>
  <si>
    <t>Estudiantes de Maestría en Gerencia de Proyectos.</t>
  </si>
  <si>
    <t>Universidad EAN - Facultad de Ingeniería</t>
  </si>
  <si>
    <t>Experto 1 [1–5]</t>
  </si>
  <si>
    <t>Experto 2 [1–5]</t>
  </si>
  <si>
    <t>Directivo 1 [1–5]</t>
  </si>
  <si>
    <t>Directivo 2 [1–5]</t>
  </si>
  <si>
    <t>Directivo 3 [1–5]</t>
  </si>
  <si>
    <t>LI95% [aprox. Wilson]</t>
  </si>
  <si>
    <t>LS95% [aprox. Wilson]</t>
  </si>
  <si>
    <t>Mantener la formulación de la estrategia tal como está.</t>
  </si>
  <si>
    <t>Mantener la formulación; considerar ajustes menores si lo sugieren los jueces.</t>
  </si>
  <si>
    <t>Mantener la propuesta, incorporando mejoras o ajustes sugeridos para fortalecerla.</t>
  </si>
  <si>
    <t>Revisar en detalle el componente de la estrategia; ajustar redacción o replantear el enfoque.</t>
  </si>
  <si>
    <t>Rediseñar ese componente de la estrategia o considerar su eliminación.</t>
  </si>
  <si>
    <t>La estrategia propuesta tiene potencial para generar valor para la empresa en términos económicos, técnicos y de reputación ambiental en el mediano y largo plazo.</t>
  </si>
  <si>
    <t>El orden de priorización de iniciativas, basado en análisis económico y potencial de reducción, resulta pertinente para la realidad operativa de la empresa.</t>
  </si>
  <si>
    <t>La estrategia integra de forma equilibrada criterios ambientales, técnicos y financieros (potencial de reducción, análisis de costo marginal de abatimiento MACC, CAPEX/OPEX).</t>
  </si>
  <si>
    <t>Las iniciativas priorizadas muestran impacto medible en tCO₂eq y cuentan con trazabilidad técnica a partir del inventario y la metodología aplicada.</t>
  </si>
  <si>
    <t>Suma [debe ser 5]</t>
  </si>
  <si>
    <t>P_i [acuerdo por ítem]</t>
  </si>
  <si>
    <t>https://numiqo.es/tutorial/fleiss-kappa</t>
  </si>
  <si>
    <t>https://real-statistics.com/reliability/interrater-reliability/fleiss-kappa/</t>
  </si>
  <si>
    <t>https://www.youtube.com/watch?v=ga-bamq7Qcs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</si>
</sst>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660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2" fillId="3" borderId="0" xfId="1" applyFill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5" fontId="0" fillId="0" borderId="0" xfId="0" applyNumberFormat="1"/>
    <xf numFmtId="2" fontId="0" fillId="0" borderId="2" xfId="0" applyNumberFormat="1" applyBorder="1" applyAlignment="1">
      <alignment horizontal="center" vertical="center"/>
    </xf>
    <xf numFmtId="166" fontId="0" fillId="0" borderId="0" xfId="0" applyNumberFormat="1"/>
    <xf numFmtId="164" fontId="2" fillId="3" borderId="0" xfId="1" applyNumberFormat="1" applyFill="1" applyAlignment="1">
      <alignment horizontal="center" vertical="center"/>
    </xf>
    <xf numFmtId="0" fontId="1" fillId="0" borderId="2" xfId="0" applyFont="1" applyBorder="1"/>
    <xf numFmtId="0" fontId="2" fillId="3" borderId="2" xfId="1" applyFill="1" applyBorder="1" applyAlignment="1">
      <alignment horizontal="center" vertical="center"/>
    </xf>
  </cellXfs>
  <cellStyles count="2">
    <cellStyle name="Énfasis1" xfId="1" builtinId="29"/>
    <cellStyle name="Normal" xfId="0" builtinId="0"/>
  </cellStyles>
  <dxfs count="15">
    <dxf>
      <numFmt numFmtId="164" formatCode="0.000"/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</dxf>
    <dxf>
      <numFmt numFmtId="164" formatCode="0.000"/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center" vertical="center" textRotation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center" textRotation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top style="thin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theme="0" tint="-0.34998626667073579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</dxfs>
  <tableStyles count="0" defaultTableStyle="TableStyleMedium9" defaultPivotStyle="PivotStyleLight16"/>
  <colors>
    <mruColors>
      <color rgb="FFFF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874058</xdr:colOff>
      <xdr:row>16</xdr:row>
      <xdr:rowOff>70597</xdr:rowOff>
    </xdr:from>
    <xdr:to>
      <xdr:col>9</xdr:col>
      <xdr:colOff>29133</xdr:colOff>
      <xdr:row>19</xdr:row>
      <xdr:rowOff>442072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448F214-D859-BB6C-F496-2EC0FB8103BA}"/>
            </a:ext>
          </a:extLst>
        </xdr:cNvPr>
        <xdr:cNvSpPr txBox="1"/>
      </xdr:nvSpPr>
      <xdr:spPr>
        <a:xfrm>
          <a:off x="9502587" y="5158068"/>
          <a:ext cx="6943164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Instrucciones para el evaluador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Estimado/a evaluador/a: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presente instrumento tiene como propósito recoger su valoración sobre la estrategia propuesta de reducción de emisiones en el proceso de tratamiento de aguas residuales de PLANETA S.A.S E.S.P.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le solicita calificar cada criterio utilizando la siguiente escala de Likert 1 a 5, según el grado en que la estrategia cumple con lo planteado:</a:t>
          </a:r>
        </a:p>
        <a:p>
          <a:pPr lvl="0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= Cumple totalmente (responde plenamente al criterio, sin observaciones relevantes)</a:t>
          </a:r>
        </a:p>
        <a:p>
          <a:pPr lvl="0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= Cumplimiento adecuado (responde de manera satisfactoria, con ajustes menores posibles)</a:t>
          </a:r>
        </a:p>
        <a:p>
          <a:pPr lvl="0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= Cumplimiento aceptable (responde parcialmente, con oportunidades claras de mejora)</a:t>
          </a:r>
        </a:p>
        <a:p>
          <a:pPr lvl="0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= Cumple de manera limitada (responde de forma muy parcial o insuficiente)</a:t>
          </a:r>
        </a:p>
        <a:p>
          <a:pPr lvl="0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= No cumple (la estrategia no responde al criterio planteado)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Adicionalmente, se agradece incluir observaciones o comentarios que permitan fortalecer la propuesta.</a:t>
          </a:r>
        </a:p>
        <a:p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19050</xdr:rowOff>
    </xdr:from>
    <xdr:to>
      <xdr:col>4</xdr:col>
      <xdr:colOff>1181373</xdr:colOff>
      <xdr:row>24</xdr:row>
      <xdr:rowOff>85841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942BB9-3ADC-451C-57AE-BA103F689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5" y="3829050"/>
          <a:ext cx="1952898" cy="8287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94D035-D395-469F-B956-3B4FDA0DD7E4}" name="Tabla1" displayName="Tabla1" ref="B2:K12" totalsRowShown="0" headerRowDxfId="14" dataDxfId="12" headerRowBorderDxfId="13" tableBorderDxfId="11" totalsRowBorderDxfId="10">
  <autoFilter ref="B2:K12" xr:uid="{A094D035-D395-469F-B956-3B4FDA0DD7E4}"/>
  <tableColumns count="10">
    <tableColumn id="1" xr3:uid="{0EF1864D-EF5C-43A1-94F6-FB3575ACFB20}" name="N°" dataDxfId="9"/>
    <tableColumn id="2" xr3:uid="{B68F8B0E-0EE4-4B6C-99CB-E74D6AA462EF}" name="Atributo" dataDxfId="8"/>
    <tableColumn id="5" xr3:uid="{0C22D402-2F7B-435E-8504-615822EE4BFF}" name="Experto 1 [1–5]" dataDxfId="7"/>
    <tableColumn id="6" xr3:uid="{A0BBD9F2-4314-43AA-B37B-6B2C49049CC7}" name="Experto 2 [1–5]" dataDxfId="6"/>
    <tableColumn id="7" xr3:uid="{C10372AC-897E-46E9-9C9B-21F4F6EFFCCA}" name="Directivo 1 [1–5]" dataDxfId="5"/>
    <tableColumn id="8" xr3:uid="{6279DB40-52D3-45BA-B7B4-EFE6BCA509AF}" name="Directivo 2 [1–5]" dataDxfId="4"/>
    <tableColumn id="9" xr3:uid="{973E6C16-148E-4FCF-B2D7-505D5C15E6B4}" name="Directivo 3 [1–5]" dataDxfId="3"/>
    <tableColumn id="10" xr3:uid="{FA6E4DED-A04F-465B-B520-76461C7662CA}" name="V de Aiken" dataDxfId="2">
      <calculatedColumnFormula>(SUM(D3:H3)-5)/20</calculatedColumnFormula>
    </tableColumn>
    <tableColumn id="11" xr3:uid="{5CBEE705-44A5-49D5-A1FC-627EFA7E7CFD}" name="LI95% [aprox. Wilson]" dataDxfId="1">
      <calculatedColumnFormula>(I3+1.96^2/(2*20) - 1.96*SQRT(I3*(1-I3)/20 + 1.96^2/(4*20^2)))/(1+1.96^2/20)</calculatedColumnFormula>
    </tableColumn>
    <tableColumn id="12" xr3:uid="{76C4BD4E-F40F-40C4-B918-36F7E650E737}" name="LS95% [aprox. Wilson]" dataDxfId="0">
      <calculatedColumnFormula>(I3+1.96^2/(2*20) + 1.96*SQRT(I3*(1-I3)/20 + 1.96^2/(4*20^2)))/(1+1.96^2/20)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2:K27"/>
  <sheetViews>
    <sheetView showGridLines="0" tabSelected="1" zoomScaleNormal="100" workbookViewId="0">
      <selection activeCell="G5" sqref="G5"/>
    </sheetView>
  </sheetViews>
  <sheetFormatPr baseColWidth="10" defaultColWidth="9.140625" defaultRowHeight="15" x14ac:dyDescent="0.25"/>
  <cols>
    <col min="1" max="1" width="3.7109375" customWidth="1"/>
    <col min="2" max="2" width="31.28515625" customWidth="1"/>
    <col min="3" max="3" width="74" bestFit="1" customWidth="1"/>
    <col min="4" max="8" width="25.7109375" customWidth="1"/>
    <col min="9" max="9" width="14" customWidth="1"/>
    <col min="10" max="10" width="22.28515625" customWidth="1"/>
    <col min="11" max="11" width="22.7109375" customWidth="1"/>
  </cols>
  <sheetData>
    <row r="2" spans="2:11" s="1" customFormat="1" ht="45" customHeight="1" x14ac:dyDescent="0.25">
      <c r="B2" s="8" t="s">
        <v>0</v>
      </c>
      <c r="C2" s="9" t="s">
        <v>1</v>
      </c>
      <c r="D2" s="24" t="s">
        <v>35</v>
      </c>
      <c r="E2" s="24" t="s">
        <v>36</v>
      </c>
      <c r="F2" s="9" t="s">
        <v>37</v>
      </c>
      <c r="G2" s="9" t="s">
        <v>38</v>
      </c>
      <c r="H2" s="9" t="s">
        <v>39</v>
      </c>
      <c r="I2" s="25" t="s">
        <v>2</v>
      </c>
      <c r="J2" s="9" t="s">
        <v>40</v>
      </c>
      <c r="K2" s="10" t="s">
        <v>41</v>
      </c>
    </row>
    <row r="3" spans="2:11" s="1" customFormat="1" ht="39.950000000000003" customHeight="1" x14ac:dyDescent="0.25">
      <c r="B3" s="2">
        <v>1</v>
      </c>
      <c r="C3" s="3" t="s">
        <v>47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f>(SUM(D3:H3)-5)/20</f>
        <v>1</v>
      </c>
      <c r="J3" s="11">
        <f t="shared" ref="J3:J12" si="0">(I3+1.96^2/(2*20) - 1.96*SQRT(I3*(1-I3)/20 + 1.96^2/(4*20^2)))/(1+1.96^2/20)</f>
        <v>0.83886987450506667</v>
      </c>
      <c r="K3" s="12">
        <f t="shared" ref="K3:K12" si="1">(I3+1.96^2/(2*20) + 1.96*SQRT(I3*(1-I3)/20 + 1.96^2/(4*20^2)))/(1+1.96^2/20)</f>
        <v>0.99999999999999978</v>
      </c>
    </row>
    <row r="4" spans="2:11" s="1" customFormat="1" ht="39.950000000000003" customHeight="1" x14ac:dyDescent="0.25">
      <c r="B4" s="2">
        <v>2</v>
      </c>
      <c r="C4" s="3" t="s">
        <v>12</v>
      </c>
      <c r="D4" s="4">
        <v>5</v>
      </c>
      <c r="E4" s="4">
        <v>5</v>
      </c>
      <c r="F4" s="4">
        <v>5</v>
      </c>
      <c r="G4" s="4">
        <v>5</v>
      </c>
      <c r="H4" s="4">
        <v>5</v>
      </c>
      <c r="I4" s="4">
        <f t="shared" ref="I4:I12" si="2">(SUM(D4:H4)-5)/20</f>
        <v>1</v>
      </c>
      <c r="J4" s="11">
        <f t="shared" si="0"/>
        <v>0.83886987450506667</v>
      </c>
      <c r="K4" s="12">
        <f t="shared" si="1"/>
        <v>0.99999999999999978</v>
      </c>
    </row>
    <row r="5" spans="2:11" s="1" customFormat="1" ht="39.950000000000003" customHeight="1" x14ac:dyDescent="0.25">
      <c r="B5" s="2">
        <v>3</v>
      </c>
      <c r="C5" s="3" t="s">
        <v>13</v>
      </c>
      <c r="D5" s="4">
        <v>5</v>
      </c>
      <c r="E5" s="4">
        <v>5</v>
      </c>
      <c r="F5" s="4">
        <v>4</v>
      </c>
      <c r="G5" s="4">
        <v>5</v>
      </c>
      <c r="H5" s="4">
        <v>5</v>
      </c>
      <c r="I5" s="4">
        <f t="shared" si="2"/>
        <v>0.95</v>
      </c>
      <c r="J5" s="11">
        <f t="shared" si="0"/>
        <v>0.76386410648743308</v>
      </c>
      <c r="K5" s="12">
        <f t="shared" si="1"/>
        <v>0.99111878056712666</v>
      </c>
    </row>
    <row r="6" spans="2:11" s="1" customFormat="1" ht="39.950000000000003" customHeight="1" x14ac:dyDescent="0.25">
      <c r="B6" s="2">
        <v>4</v>
      </c>
      <c r="C6" s="3" t="s">
        <v>49</v>
      </c>
      <c r="D6" s="4">
        <v>5</v>
      </c>
      <c r="E6" s="4">
        <v>5</v>
      </c>
      <c r="F6" s="4">
        <v>5</v>
      </c>
      <c r="G6" s="4">
        <v>5</v>
      </c>
      <c r="H6" s="4">
        <v>5</v>
      </c>
      <c r="I6" s="4">
        <f t="shared" si="2"/>
        <v>1</v>
      </c>
      <c r="J6" s="11">
        <f t="shared" si="0"/>
        <v>0.83886987450506667</v>
      </c>
      <c r="K6" s="12">
        <f t="shared" si="1"/>
        <v>0.99999999999999978</v>
      </c>
    </row>
    <row r="7" spans="2:11" s="1" customFormat="1" ht="39.950000000000003" customHeight="1" x14ac:dyDescent="0.25">
      <c r="B7" s="2">
        <v>5</v>
      </c>
      <c r="C7" s="3" t="s">
        <v>14</v>
      </c>
      <c r="D7" s="4">
        <v>4</v>
      </c>
      <c r="E7" s="4">
        <v>5</v>
      </c>
      <c r="F7" s="4">
        <v>5</v>
      </c>
      <c r="G7" s="4">
        <v>4</v>
      </c>
      <c r="H7" s="4">
        <v>5</v>
      </c>
      <c r="I7" s="27">
        <f t="shared" si="2"/>
        <v>0.9</v>
      </c>
      <c r="J7" s="11">
        <f t="shared" si="0"/>
        <v>0.69896179358820665</v>
      </c>
      <c r="K7" s="12">
        <f t="shared" si="1"/>
        <v>0.97213410601584671</v>
      </c>
    </row>
    <row r="8" spans="2:11" s="1" customFormat="1" ht="39.950000000000003" customHeight="1" x14ac:dyDescent="0.25">
      <c r="B8" s="2">
        <v>6</v>
      </c>
      <c r="C8" s="3" t="s">
        <v>50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f t="shared" si="2"/>
        <v>1</v>
      </c>
      <c r="J8" s="11">
        <f t="shared" si="0"/>
        <v>0.83886987450506667</v>
      </c>
      <c r="K8" s="12">
        <f t="shared" si="1"/>
        <v>0.99999999999999978</v>
      </c>
    </row>
    <row r="9" spans="2:11" s="1" customFormat="1" ht="39.950000000000003" customHeight="1" x14ac:dyDescent="0.25">
      <c r="B9" s="2">
        <v>7</v>
      </c>
      <c r="C9" s="3" t="s">
        <v>48</v>
      </c>
      <c r="D9" s="4">
        <v>5</v>
      </c>
      <c r="E9" s="4">
        <v>5</v>
      </c>
      <c r="F9" s="4">
        <v>5</v>
      </c>
      <c r="G9" s="4">
        <v>5</v>
      </c>
      <c r="H9" s="4">
        <v>5</v>
      </c>
      <c r="I9" s="4">
        <f t="shared" si="2"/>
        <v>1</v>
      </c>
      <c r="J9" s="11">
        <f t="shared" si="0"/>
        <v>0.83886987450506667</v>
      </c>
      <c r="K9" s="12">
        <f t="shared" si="1"/>
        <v>0.99999999999999978</v>
      </c>
    </row>
    <row r="10" spans="2:11" s="1" customFormat="1" ht="39.950000000000003" customHeight="1" x14ac:dyDescent="0.25">
      <c r="B10" s="2">
        <v>8</v>
      </c>
      <c r="C10" s="3" t="s">
        <v>15</v>
      </c>
      <c r="D10" s="4">
        <v>5</v>
      </c>
      <c r="E10" s="4">
        <v>5</v>
      </c>
      <c r="F10" s="4">
        <v>5</v>
      </c>
      <c r="G10" s="4">
        <v>5</v>
      </c>
      <c r="H10" s="4">
        <v>4</v>
      </c>
      <c r="I10" s="4">
        <f t="shared" si="2"/>
        <v>0.95</v>
      </c>
      <c r="J10" s="11">
        <f t="shared" si="0"/>
        <v>0.76386410648743308</v>
      </c>
      <c r="K10" s="12">
        <f t="shared" si="1"/>
        <v>0.99111878056712666</v>
      </c>
    </row>
    <row r="11" spans="2:11" s="1" customFormat="1" ht="39.950000000000003" customHeight="1" x14ac:dyDescent="0.25">
      <c r="B11" s="2">
        <v>9</v>
      </c>
      <c r="C11" s="3" t="s">
        <v>16</v>
      </c>
      <c r="D11" s="4">
        <v>5</v>
      </c>
      <c r="E11" s="4">
        <v>5</v>
      </c>
      <c r="F11" s="4">
        <v>5</v>
      </c>
      <c r="G11" s="4">
        <v>5</v>
      </c>
      <c r="H11" s="4">
        <v>5</v>
      </c>
      <c r="I11" s="4">
        <f t="shared" si="2"/>
        <v>1</v>
      </c>
      <c r="J11" s="11">
        <f t="shared" si="0"/>
        <v>0.83886987450506667</v>
      </c>
      <c r="K11" s="12">
        <f t="shared" si="1"/>
        <v>0.99999999999999978</v>
      </c>
    </row>
    <row r="12" spans="2:11" s="1" customFormat="1" ht="39.950000000000003" customHeight="1" x14ac:dyDescent="0.25">
      <c r="B12" s="5">
        <v>10</v>
      </c>
      <c r="C12" s="6" t="s">
        <v>11</v>
      </c>
      <c r="D12" s="7">
        <v>5</v>
      </c>
      <c r="E12" s="7">
        <v>5</v>
      </c>
      <c r="F12" s="7">
        <v>5</v>
      </c>
      <c r="G12" s="7">
        <v>5</v>
      </c>
      <c r="H12" s="7">
        <v>4</v>
      </c>
      <c r="I12" s="7">
        <f t="shared" si="2"/>
        <v>0.95</v>
      </c>
      <c r="J12" s="13">
        <f t="shared" si="0"/>
        <v>0.76386410648743308</v>
      </c>
      <c r="K12" s="14">
        <f t="shared" si="1"/>
        <v>0.99111878056712666</v>
      </c>
    </row>
    <row r="15" spans="2:11" ht="30" customHeight="1" x14ac:dyDescent="0.25">
      <c r="G15" s="23" t="s">
        <v>17</v>
      </c>
      <c r="H15" s="15"/>
      <c r="I15" s="29">
        <f>IFERROR(AVERAGE(I3:I12),"")</f>
        <v>0.97499999999999998</v>
      </c>
    </row>
    <row r="16" spans="2:11" x14ac:dyDescent="0.25">
      <c r="K16" s="26"/>
    </row>
    <row r="17" spans="2:11" ht="30" customHeight="1" x14ac:dyDescent="0.25">
      <c r="B17" s="17" t="s">
        <v>18</v>
      </c>
      <c r="C17" s="17" t="s">
        <v>19</v>
      </c>
      <c r="D17" s="17" t="s">
        <v>20</v>
      </c>
    </row>
    <row r="18" spans="2:11" ht="60" customHeight="1" x14ac:dyDescent="0.25">
      <c r="B18" s="18" t="s">
        <v>21</v>
      </c>
      <c r="C18" s="19" t="s">
        <v>22</v>
      </c>
      <c r="D18" s="20" t="s">
        <v>42</v>
      </c>
      <c r="K18" s="28"/>
    </row>
    <row r="19" spans="2:11" ht="60" customHeight="1" x14ac:dyDescent="0.25">
      <c r="B19" s="18" t="s">
        <v>23</v>
      </c>
      <c r="C19" s="19" t="s">
        <v>24</v>
      </c>
      <c r="D19" s="20" t="s">
        <v>43</v>
      </c>
    </row>
    <row r="20" spans="2:11" ht="60" customHeight="1" x14ac:dyDescent="0.25">
      <c r="B20" s="18" t="s">
        <v>25</v>
      </c>
      <c r="C20" s="19" t="s">
        <v>26</v>
      </c>
      <c r="D20" s="20" t="s">
        <v>44</v>
      </c>
    </row>
    <row r="21" spans="2:11" ht="60" customHeight="1" x14ac:dyDescent="0.25">
      <c r="B21" s="18" t="s">
        <v>27</v>
      </c>
      <c r="C21" s="19" t="s">
        <v>28</v>
      </c>
      <c r="D21" s="20" t="s">
        <v>45</v>
      </c>
    </row>
    <row r="22" spans="2:11" ht="60" customHeight="1" x14ac:dyDescent="0.25">
      <c r="B22" s="18" t="s">
        <v>29</v>
      </c>
      <c r="C22" s="19" t="s">
        <v>30</v>
      </c>
      <c r="D22" s="20" t="s">
        <v>46</v>
      </c>
    </row>
    <row r="24" spans="2:11" x14ac:dyDescent="0.25">
      <c r="B24" s="21" t="s">
        <v>31</v>
      </c>
    </row>
    <row r="25" spans="2:11" x14ac:dyDescent="0.25">
      <c r="B25" s="21" t="s">
        <v>32</v>
      </c>
    </row>
    <row r="26" spans="2:11" x14ac:dyDescent="0.25">
      <c r="B26" s="22" t="s">
        <v>33</v>
      </c>
    </row>
    <row r="27" spans="2:11" x14ac:dyDescent="0.25">
      <c r="B27" s="22" t="s">
        <v>34</v>
      </c>
    </row>
  </sheetData>
  <dataValidations count="1">
    <dataValidation type="whole" showInputMessage="1" showErrorMessage="1" error="Ingrese un número entero entre 1 y 5." prompt="Asigne una calificación entre 1 (no cumple) y 5 (cumple totalmente)." sqref="D3:H12" xr:uid="{00000000-0002-0000-0000-000000000000}">
      <formula1>1</formula1>
      <formula2>5</formula2>
    </dataValidation>
  </dataValidations>
  <pageMargins left="0.75" right="0.75" top="1" bottom="1" header="0.5" footer="0.5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</sheetPr>
  <dimension ref="B2:I29"/>
  <sheetViews>
    <sheetView showGridLines="0" workbookViewId="0">
      <selection activeCell="F6" sqref="F6"/>
    </sheetView>
  </sheetViews>
  <sheetFormatPr baseColWidth="10" defaultColWidth="9.140625" defaultRowHeight="15" x14ac:dyDescent="0.25"/>
  <cols>
    <col min="1" max="1" width="3.7109375" customWidth="1"/>
    <col min="2" max="2" width="51.140625" customWidth="1"/>
    <col min="3" max="7" width="20" customWidth="1"/>
    <col min="8" max="8" width="17" bestFit="1" customWidth="1"/>
    <col min="9" max="9" width="20.7109375" bestFit="1" customWidth="1"/>
    <col min="10" max="10" width="20" customWidth="1"/>
  </cols>
  <sheetData>
    <row r="2" spans="2:9" x14ac:dyDescent="0.25">
      <c r="B2" s="30" t="s">
        <v>3</v>
      </c>
    </row>
    <row r="3" spans="2:9" x14ac:dyDescent="0.25">
      <c r="B3" s="31" t="s">
        <v>4</v>
      </c>
      <c r="C3" s="31">
        <v>1</v>
      </c>
      <c r="D3" s="31">
        <v>2</v>
      </c>
      <c r="E3" s="31">
        <v>3</v>
      </c>
      <c r="F3" s="31">
        <v>4</v>
      </c>
      <c r="G3" s="31">
        <v>5</v>
      </c>
      <c r="H3" s="31" t="s">
        <v>51</v>
      </c>
      <c r="I3" s="31" t="s">
        <v>52</v>
      </c>
    </row>
    <row r="4" spans="2:9" x14ac:dyDescent="0.25">
      <c r="B4" s="4">
        <v>1</v>
      </c>
      <c r="C4" s="4">
        <f>COUNTIF(Rubrica_V_Aiken!D3:H3,1)</f>
        <v>0</v>
      </c>
      <c r="D4" s="4">
        <f>COUNTIF(Rubrica_V_Aiken!D3:H3,2)</f>
        <v>0</v>
      </c>
      <c r="E4" s="4">
        <f>COUNTIF(Rubrica_V_Aiken!D3:H3,3)</f>
        <v>0</v>
      </c>
      <c r="F4" s="4">
        <f>COUNTIF(Rubrica_V_Aiken!D3:H3,4)</f>
        <v>0</v>
      </c>
      <c r="G4" s="4">
        <f>COUNTIF(Rubrica_V_Aiken!D3:H3,5)</f>
        <v>5</v>
      </c>
      <c r="H4" s="4">
        <f t="shared" ref="H4:H13" si="0">SUM(C4:G4)</f>
        <v>5</v>
      </c>
      <c r="I4" s="4">
        <f t="shared" ref="I4:I13" si="1">(C4*(C4-1)+D4*(D4-1)+E4*(E4-1)+F4*(F4-1)+G4*(G4-1))/(5*4)</f>
        <v>1</v>
      </c>
    </row>
    <row r="5" spans="2:9" x14ac:dyDescent="0.25">
      <c r="B5" s="4">
        <v>2</v>
      </c>
      <c r="C5" s="4">
        <f>COUNTIF(Rubrica_V_Aiken!D4:H4,1)</f>
        <v>0</v>
      </c>
      <c r="D5" s="4">
        <f>COUNTIF(Rubrica_V_Aiken!D4:H4,2)</f>
        <v>0</v>
      </c>
      <c r="E5" s="4">
        <f>COUNTIF(Rubrica_V_Aiken!D4:H4,3)</f>
        <v>0</v>
      </c>
      <c r="F5" s="4">
        <f>COUNTIF(Rubrica_V_Aiken!D4:H4,4)</f>
        <v>0</v>
      </c>
      <c r="G5" s="4">
        <f>COUNTIF(Rubrica_V_Aiken!D4:H4,5)</f>
        <v>5</v>
      </c>
      <c r="H5" s="4">
        <f t="shared" si="0"/>
        <v>5</v>
      </c>
      <c r="I5" s="4">
        <f t="shared" si="1"/>
        <v>1</v>
      </c>
    </row>
    <row r="6" spans="2:9" x14ac:dyDescent="0.25">
      <c r="B6" s="4">
        <v>3</v>
      </c>
      <c r="C6" s="4">
        <f>COUNTIF(Rubrica_V_Aiken!D5:H5,1)</f>
        <v>0</v>
      </c>
      <c r="D6" s="4">
        <f>COUNTIF(Rubrica_V_Aiken!D5:H5,2)</f>
        <v>0</v>
      </c>
      <c r="E6" s="4">
        <f>COUNTIF(Rubrica_V_Aiken!D5:H5,3)</f>
        <v>0</v>
      </c>
      <c r="F6" s="4">
        <f>COUNTIF(Rubrica_V_Aiken!D5:H5,4)</f>
        <v>1</v>
      </c>
      <c r="G6" s="4">
        <f>COUNTIF(Rubrica_V_Aiken!D5:H5,5)</f>
        <v>4</v>
      </c>
      <c r="H6" s="4">
        <f t="shared" si="0"/>
        <v>5</v>
      </c>
      <c r="I6" s="4">
        <f t="shared" si="1"/>
        <v>0.6</v>
      </c>
    </row>
    <row r="7" spans="2:9" x14ac:dyDescent="0.25">
      <c r="B7" s="4">
        <v>4</v>
      </c>
      <c r="C7" s="4">
        <f>COUNTIF(Rubrica_V_Aiken!D6:H6,1)</f>
        <v>0</v>
      </c>
      <c r="D7" s="4">
        <f>COUNTIF(Rubrica_V_Aiken!D6:H6,2)</f>
        <v>0</v>
      </c>
      <c r="E7" s="4">
        <f>COUNTIF(Rubrica_V_Aiken!D6:H6,3)</f>
        <v>0</v>
      </c>
      <c r="F7" s="4">
        <f>COUNTIF(Rubrica_V_Aiken!D6:H6,4)</f>
        <v>0</v>
      </c>
      <c r="G7" s="4">
        <f>COUNTIF(Rubrica_V_Aiken!D6:H6,5)</f>
        <v>5</v>
      </c>
      <c r="H7" s="4">
        <f t="shared" si="0"/>
        <v>5</v>
      </c>
      <c r="I7" s="4">
        <f t="shared" si="1"/>
        <v>1</v>
      </c>
    </row>
    <row r="8" spans="2:9" x14ac:dyDescent="0.25">
      <c r="B8" s="4">
        <v>5</v>
      </c>
      <c r="C8" s="4">
        <f>COUNTIF(Rubrica_V_Aiken!D7:H7,1)</f>
        <v>0</v>
      </c>
      <c r="D8" s="4">
        <f>COUNTIF(Rubrica_V_Aiken!D7:H7,2)</f>
        <v>0</v>
      </c>
      <c r="E8" s="4">
        <f>COUNTIF(Rubrica_V_Aiken!D7:H7,3)</f>
        <v>0</v>
      </c>
      <c r="F8" s="4">
        <f>COUNTIF(Rubrica_V_Aiken!D7:H7,4)</f>
        <v>2</v>
      </c>
      <c r="G8" s="4">
        <f>COUNTIF(Rubrica_V_Aiken!D7:H7,5)</f>
        <v>3</v>
      </c>
      <c r="H8" s="4">
        <f t="shared" si="0"/>
        <v>5</v>
      </c>
      <c r="I8" s="4">
        <f t="shared" si="1"/>
        <v>0.4</v>
      </c>
    </row>
    <row r="9" spans="2:9" x14ac:dyDescent="0.25">
      <c r="B9" s="4">
        <v>6</v>
      </c>
      <c r="C9" s="4">
        <f>COUNTIF(Rubrica_V_Aiken!D8:H8,1)</f>
        <v>0</v>
      </c>
      <c r="D9" s="4">
        <f>COUNTIF(Rubrica_V_Aiken!D8:H8,2)</f>
        <v>0</v>
      </c>
      <c r="E9" s="4">
        <f>COUNTIF(Rubrica_V_Aiken!D8:H8,3)</f>
        <v>0</v>
      </c>
      <c r="F9" s="4">
        <f>COUNTIF(Rubrica_V_Aiken!D8:H8,4)</f>
        <v>0</v>
      </c>
      <c r="G9" s="4">
        <f>COUNTIF(Rubrica_V_Aiken!D8:H8,5)</f>
        <v>5</v>
      </c>
      <c r="H9" s="4">
        <f t="shared" si="0"/>
        <v>5</v>
      </c>
      <c r="I9" s="4">
        <f t="shared" si="1"/>
        <v>1</v>
      </c>
    </row>
    <row r="10" spans="2:9" x14ac:dyDescent="0.25">
      <c r="B10" s="4">
        <v>7</v>
      </c>
      <c r="C10" s="4">
        <f>COUNTIF(Rubrica_V_Aiken!D9:H9,1)</f>
        <v>0</v>
      </c>
      <c r="D10" s="4">
        <f>COUNTIF(Rubrica_V_Aiken!D9:H9,2)</f>
        <v>0</v>
      </c>
      <c r="E10" s="4">
        <f>COUNTIF(Rubrica_V_Aiken!D9:H9,3)</f>
        <v>0</v>
      </c>
      <c r="F10" s="4">
        <f>COUNTIF(Rubrica_V_Aiken!D9:H9,4)</f>
        <v>0</v>
      </c>
      <c r="G10" s="4">
        <f>COUNTIF(Rubrica_V_Aiken!D9:H9,5)</f>
        <v>5</v>
      </c>
      <c r="H10" s="4">
        <f t="shared" si="0"/>
        <v>5</v>
      </c>
      <c r="I10" s="4">
        <f t="shared" si="1"/>
        <v>1</v>
      </c>
    </row>
    <row r="11" spans="2:9" x14ac:dyDescent="0.25">
      <c r="B11" s="4">
        <v>8</v>
      </c>
      <c r="C11" s="4">
        <f>COUNTIF(Rubrica_V_Aiken!D10:H10,1)</f>
        <v>0</v>
      </c>
      <c r="D11" s="4">
        <f>COUNTIF(Rubrica_V_Aiken!D10:H10,2)</f>
        <v>0</v>
      </c>
      <c r="E11" s="4">
        <f>COUNTIF(Rubrica_V_Aiken!D10:H10,3)</f>
        <v>0</v>
      </c>
      <c r="F11" s="4">
        <f>COUNTIF(Rubrica_V_Aiken!D10:H10,4)</f>
        <v>1</v>
      </c>
      <c r="G11" s="4">
        <f>COUNTIF(Rubrica_V_Aiken!D10:H10,5)</f>
        <v>4</v>
      </c>
      <c r="H11" s="4">
        <f t="shared" si="0"/>
        <v>5</v>
      </c>
      <c r="I11" s="4">
        <f t="shared" si="1"/>
        <v>0.6</v>
      </c>
    </row>
    <row r="12" spans="2:9" x14ac:dyDescent="0.25">
      <c r="B12" s="4">
        <v>9</v>
      </c>
      <c r="C12" s="4">
        <f>COUNTIF(Rubrica_V_Aiken!D11:H11,1)</f>
        <v>0</v>
      </c>
      <c r="D12" s="4">
        <f>COUNTIF(Rubrica_V_Aiken!D11:H11,2)</f>
        <v>0</v>
      </c>
      <c r="E12" s="4">
        <f>COUNTIF(Rubrica_V_Aiken!D11:H11,3)</f>
        <v>0</v>
      </c>
      <c r="F12" s="4">
        <f>COUNTIF(Rubrica_V_Aiken!D11:H11,4)</f>
        <v>0</v>
      </c>
      <c r="G12" s="4">
        <f>COUNTIF(Rubrica_V_Aiken!D11:H11,5)</f>
        <v>5</v>
      </c>
      <c r="H12" s="4">
        <f t="shared" si="0"/>
        <v>5</v>
      </c>
      <c r="I12" s="4">
        <f t="shared" si="1"/>
        <v>1</v>
      </c>
    </row>
    <row r="13" spans="2:9" x14ac:dyDescent="0.25">
      <c r="B13" s="4">
        <v>10</v>
      </c>
      <c r="C13" s="4">
        <f>COUNTIF(Rubrica_V_Aiken!D12:H12,1)</f>
        <v>0</v>
      </c>
      <c r="D13" s="4">
        <f>COUNTIF(Rubrica_V_Aiken!D12:H12,2)</f>
        <v>0</v>
      </c>
      <c r="E13" s="4">
        <f>COUNTIF(Rubrica_V_Aiken!D12:H12,3)</f>
        <v>0</v>
      </c>
      <c r="F13" s="4">
        <f>COUNTIF(Rubrica_V_Aiken!D12:H12,4)</f>
        <v>1</v>
      </c>
      <c r="G13" s="4">
        <f>COUNTIF(Rubrica_V_Aiken!D12:H12,5)</f>
        <v>4</v>
      </c>
      <c r="H13" s="4">
        <f t="shared" si="0"/>
        <v>5</v>
      </c>
      <c r="I13" s="4">
        <f t="shared" si="1"/>
        <v>0.6</v>
      </c>
    </row>
    <row r="16" spans="2:9" x14ac:dyDescent="0.25">
      <c r="B16" t="s">
        <v>5</v>
      </c>
    </row>
    <row r="17" spans="2:7" x14ac:dyDescent="0.25">
      <c r="C17" s="16">
        <f>SUM(C4:C13)/(10*5)</f>
        <v>0</v>
      </c>
      <c r="D17" s="16">
        <f>SUM(D4:D13)/(10*5)</f>
        <v>0</v>
      </c>
      <c r="E17" s="16">
        <f>SUM(E4:E13)/(10*5)</f>
        <v>0</v>
      </c>
      <c r="F17" s="16">
        <f>SUM(F4:F13)/(10*5)</f>
        <v>0.1</v>
      </c>
      <c r="G17" s="16">
        <f>SUM(G4:G13)/(10*5)</f>
        <v>0.9</v>
      </c>
    </row>
    <row r="19" spans="2:7" x14ac:dyDescent="0.25">
      <c r="B19" t="s">
        <v>6</v>
      </c>
      <c r="C19">
        <f>AVERAGE(I4:I13)</f>
        <v>0.82</v>
      </c>
    </row>
    <row r="20" spans="2:7" x14ac:dyDescent="0.25">
      <c r="B20" t="s">
        <v>7</v>
      </c>
      <c r="C20">
        <f>SUM(C17:G17^2)</f>
        <v>0</v>
      </c>
    </row>
    <row r="22" spans="2:7" x14ac:dyDescent="0.25">
      <c r="B22" t="s">
        <v>8</v>
      </c>
      <c r="C22">
        <f>(C19-C20)/(1-C20)</f>
        <v>0.82</v>
      </c>
    </row>
    <row r="24" spans="2:7" x14ac:dyDescent="0.25">
      <c r="B24" t="s">
        <v>9</v>
      </c>
    </row>
    <row r="25" spans="2:7" x14ac:dyDescent="0.25">
      <c r="B25" t="s">
        <v>10</v>
      </c>
    </row>
    <row r="27" spans="2:7" x14ac:dyDescent="0.25">
      <c r="B27" t="s">
        <v>53</v>
      </c>
    </row>
    <row r="28" spans="2:7" x14ac:dyDescent="0.25">
      <c r="B28" t="s">
        <v>54</v>
      </c>
    </row>
    <row r="29" spans="2:7" x14ac:dyDescent="0.25">
      <c r="B29" t="s">
        <v>55</v>
      </c>
    </row>
  </sheetData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Rubrica_V_Aiken</vt:lpstr>
      <vt:lpstr>Acuerdo Fleiss Kappa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AJPG</dc:creator>
  <cp:lastModifiedBy>ANIBAL JOSE PERNA GONZALEZ</cp:lastModifiedBy>
  <dcterms:created xsi:type="dcterms:W3CDTF">2025-09-10T07:20:11Z</dcterms:created>
  <dcterms:modified xsi:type="dcterms:W3CDTF">2025-09-18T00:12:40Z</dcterms:modified>
</cp:coreProperties>
</file>