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hbocane73355_universidadean_edu_co/Documents/Materias/0. Proyecto de integración/Grupo - Proyecto de integración/G3/"/>
    </mc:Choice>
  </mc:AlternateContent>
  <xr:revisionPtr revIDLastSave="176" documentId="8_{ED78AD5B-E2D8-4367-BD94-D6510B639B92}" xr6:coauthVersionLast="47" xr6:coauthVersionMax="47" xr10:uidLastSave="{15A5E6F2-6FA9-4936-978A-2744AC6A50A3}"/>
  <bookViews>
    <workbookView xWindow="0" yWindow="0" windowWidth="21570" windowHeight="7530" xr2:uid="{D7DC289D-1533-4A11-B741-887544CB6270}"/>
  </bookViews>
  <sheets>
    <sheet name="Análisis de Cos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D4" i="1"/>
  <c r="G27" i="1"/>
  <c r="G26" i="1"/>
  <c r="G25" i="1"/>
  <c r="I20" i="1"/>
  <c r="H27" i="1" s="1"/>
  <c r="I6" i="1"/>
  <c r="H25" i="1" s="1"/>
  <c r="I14" i="1"/>
  <c r="H26" i="1" s="1"/>
  <c r="A27" i="1"/>
  <c r="A26" i="1"/>
  <c r="A25" i="1"/>
  <c r="B21" i="1"/>
  <c r="B27" i="1" s="1"/>
  <c r="C27" i="1" s="1"/>
  <c r="B26" i="1"/>
  <c r="C26" i="1" s="1"/>
  <c r="D5" i="1"/>
  <c r="D3" i="1"/>
  <c r="H28" i="1" l="1"/>
  <c r="C48" i="1" s="1"/>
  <c r="D6" i="1"/>
  <c r="B25" i="1" s="1"/>
  <c r="B28" i="1" l="1"/>
  <c r="C25" i="1"/>
  <c r="C28" i="1" s="1"/>
  <c r="C33" i="1" s="1"/>
  <c r="C37" i="1" s="1"/>
  <c r="C41" i="1" l="1"/>
  <c r="C44" i="1" s="1"/>
  <c r="C49" i="1" s="1"/>
  <c r="C5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Guest User</author>
  </authors>
  <commentList>
    <comment ref="D3" authorId="0" shapeId="0" xr:uid="{5FD79017-6917-4053-B7B5-48E248C6A7E5}">
      <text>
        <r>
          <rPr>
            <sz val="11"/>
            <color theme="1"/>
            <rFont val="Calibri"/>
            <family val="2"/>
            <scheme val="minor"/>
          </rPr>
          <t xml:space="preserve">El valor de la materia prima es cero, ya que seran donaciones de la empresa.
</t>
        </r>
      </text>
    </comment>
  </commentList>
</comments>
</file>

<file path=xl/sharedStrings.xml><?xml version="1.0" encoding="utf-8"?>
<sst xmlns="http://schemas.openxmlformats.org/spreadsheetml/2006/main" count="83" uniqueCount="68">
  <si>
    <t>COSTOS DIRECTOS</t>
  </si>
  <si>
    <t>COSTOS DIRECTOS INVERSIÓN</t>
  </si>
  <si>
    <t>Costos Directos</t>
  </si>
  <si>
    <t>Cantidad (mes)</t>
  </si>
  <si>
    <t>Costo Unitario</t>
  </si>
  <si>
    <t>Costo Total</t>
  </si>
  <si>
    <t>Costos Directos Inversión</t>
  </si>
  <si>
    <t>Cantidad</t>
  </si>
  <si>
    <t>Materia Prima (Zuncho)</t>
  </si>
  <si>
    <t>500 kg</t>
  </si>
  <si>
    <t>Máquina Tensadora</t>
  </si>
  <si>
    <t>Mano de Obra Directa</t>
  </si>
  <si>
    <t>2 empleados (100 h)</t>
  </si>
  <si>
    <t>13,000 hora</t>
  </si>
  <si>
    <t>Instalación Eléctrica</t>
  </si>
  <si>
    <t>Servicios Industriales</t>
  </si>
  <si>
    <t>Energía (150 kWh)</t>
  </si>
  <si>
    <t>600 kWh</t>
  </si>
  <si>
    <t>Capacitación</t>
  </si>
  <si>
    <t>Total</t>
  </si>
  <si>
    <t>COSTOS FIJOS</t>
  </si>
  <si>
    <t>COSTOS INDIRECTOS INVERSIÓN</t>
  </si>
  <si>
    <t>Costos Fijos</t>
  </si>
  <si>
    <t>Costo Mensual</t>
  </si>
  <si>
    <t>Costos Indirectos Inversión</t>
  </si>
  <si>
    <t>Arriendo</t>
  </si>
  <si>
    <t>Licencia Ambiental</t>
  </si>
  <si>
    <t>Servicios públicos</t>
  </si>
  <si>
    <t>Licencia Operación</t>
  </si>
  <si>
    <t>Impuestos</t>
  </si>
  <si>
    <t>Estudios Técnicos</t>
  </si>
  <si>
    <t>Seguro</t>
  </si>
  <si>
    <t>Imprevistos Maquinaria</t>
  </si>
  <si>
    <t>Mantenimiento Máquina</t>
  </si>
  <si>
    <t>COSTOS GENERALES</t>
  </si>
  <si>
    <t>CAPITAL INICIAL</t>
  </si>
  <si>
    <t>Gastos Generales</t>
  </si>
  <si>
    <t>Capital</t>
  </si>
  <si>
    <t>Administración y Seguridad</t>
  </si>
  <si>
    <t>Capital Operativo (3 meses)</t>
  </si>
  <si>
    <t>Publicidad y Marketing</t>
  </si>
  <si>
    <t>COSTO TOTAL PRODUCCIÓN</t>
  </si>
  <si>
    <t>COSTO TOTAL INVERSIÓN</t>
  </si>
  <si>
    <t>Costo Total Producción</t>
  </si>
  <si>
    <t>Costo Mensual Ajustado</t>
  </si>
  <si>
    <t>Costo Total Inversión</t>
  </si>
  <si>
    <t>Costo Unitario Producción (Cu)</t>
  </si>
  <si>
    <t>100 Mallas x Mes</t>
  </si>
  <si>
    <t xml:space="preserve">Cu = Costo Total Mensual / Unidades Producidas = </t>
  </si>
  <si>
    <t>Precio de Venta (Pv)</t>
  </si>
  <si>
    <t>Con 50% de ganancia</t>
  </si>
  <si>
    <t>Pv = Costo Unitario x 1.5 =</t>
  </si>
  <si>
    <t>Ingresos Mensuales (Im)</t>
  </si>
  <si>
    <t>150 Mallas al Precio Estimado</t>
  </si>
  <si>
    <t xml:space="preserve">Im = Unidades x Precio Venta = </t>
  </si>
  <si>
    <t>Rentabilidad Mensual (Rm)</t>
  </si>
  <si>
    <t>Rm = Ingresos Mensuales - Costo Total Mensual =</t>
  </si>
  <si>
    <t>Conclusiones</t>
  </si>
  <si>
    <t xml:space="preserve">La inversión inicial para el proyecto es de </t>
  </si>
  <si>
    <t xml:space="preserve">La rentabilidad mensual proyectada es de </t>
  </si>
  <si>
    <t>Tiempo en meses para retornar la inversión</t>
  </si>
  <si>
    <t>Meses</t>
  </si>
  <si>
    <t>* El análisis demuestra que el proyecto tiene potencial rentable, sin embargo, se debe considerar optimizar los procesos, o tiempos de trabajo del personal, con el fin de aumentar la rentabilidad, y hacer el proyecto más deseable para los inversores y para la empresa. Todo esto con el fin de que el proyecto se pueda materializar de manera exitosa</t>
  </si>
  <si>
    <t>* La inversión inicial requerida es significativa, principalmente debido a los costos de maquinaria y capital operativo.</t>
  </si>
  <si>
    <t>* La rentabilidad mensual proyectada es positiva y considerable.</t>
  </si>
  <si>
    <t>* El tiempo estimado para recuperar la inversión es relativamente corto, lo que sugiere un proyecto potencialmente viable.</t>
  </si>
  <si>
    <t>* Los costos fijos representan una parte importante de los gastos mensuales, especialmente el arriendo.</t>
  </si>
  <si>
    <t>* Los gastos en publicidad y marketing son significativos, lo que podría ser crucial para alcanzar las metas de ventas.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</si>
</sst>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_(&quot;$&quot;* #,##0_);_(&quot;$&quot;* \(#,##0\);_(&quot;$&quot;* &quot;-&quot;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ahnschrift"/>
      <family val="2"/>
    </font>
    <font>
      <b/>
      <sz val="11"/>
      <color theme="1"/>
      <name val="Bahnschrift"/>
      <family val="2"/>
    </font>
    <font>
      <sz val="11"/>
      <color rgb="FF16191F"/>
      <name val="Amazon Ember"/>
      <charset val="1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65" fontId="2" fillId="0" borderId="0" xfId="1" applyNumberFormat="1" applyFont="1"/>
    <xf numFmtId="165" fontId="2" fillId="0" borderId="0" xfId="0" applyNumberFormat="1" applyFont="1"/>
    <xf numFmtId="0" fontId="2" fillId="4" borderId="0" xfId="0" applyFont="1" applyFill="1"/>
    <xf numFmtId="165" fontId="2" fillId="4" borderId="0" xfId="1" applyNumberFormat="1" applyFont="1" applyFill="1"/>
    <xf numFmtId="166" fontId="2" fillId="4" borderId="0" xfId="0" applyNumberFormat="1" applyFont="1" applyFill="1"/>
    <xf numFmtId="0" fontId="2" fillId="5" borderId="0" xfId="0" applyFont="1" applyFill="1"/>
    <xf numFmtId="165" fontId="2" fillId="5" borderId="0" xfId="1" applyNumberFormat="1" applyFont="1" applyFill="1"/>
    <xf numFmtId="0" fontId="4" fillId="6" borderId="0" xfId="0" applyFont="1" applyFill="1" applyAlignment="1">
      <alignment vertical="top" wrapText="1"/>
    </xf>
    <xf numFmtId="2" fontId="2" fillId="5" borderId="0" xfId="1" applyNumberFormat="1" applyFont="1" applyFill="1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5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68"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  <numFmt numFmtId="165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ahnschrif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13</xdr:row>
      <xdr:rowOff>28575</xdr:rowOff>
    </xdr:from>
    <xdr:to>
      <xdr:col>4</xdr:col>
      <xdr:colOff>457200</xdr:colOff>
      <xdr:row>20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2ADEF91-0A22-4295-8E7D-0372BFFE4DE6}"/>
            </a:ext>
          </a:extLst>
        </xdr:cNvPr>
        <xdr:cNvSpPr/>
      </xdr:nvSpPr>
      <xdr:spPr>
        <a:xfrm>
          <a:off x="3590925" y="2505075"/>
          <a:ext cx="2505075" cy="1314450"/>
        </a:xfrm>
        <a:prstGeom prst="rect">
          <a:avLst/>
        </a:prstGeom>
        <a:ln>
          <a:noFill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  <a:latin typeface="Bahnschrift" panose="020B0502040204020203" pitchFamily="34" charset="0"/>
            </a:rPr>
            <a:t>Se ajustan las cifras, teniendo en cuenta que esta no es la principal actividad de la empresa. Por lo tanto, arriendo, administración, entre otros gastos, se asumen directamente, se produzcan mallas o no</a:t>
          </a:r>
        </a:p>
      </xdr:txBody>
    </xdr:sp>
    <xdr:clientData/>
  </xdr:twoCellAnchor>
  <xdr:twoCellAnchor>
    <xdr:from>
      <xdr:col>2</xdr:col>
      <xdr:colOff>1066800</xdr:colOff>
      <xdr:row>20</xdr:row>
      <xdr:rowOff>9525</xdr:rowOff>
    </xdr:from>
    <xdr:to>
      <xdr:col>3</xdr:col>
      <xdr:colOff>128588</xdr:colOff>
      <xdr:row>23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77349039-0C34-49A0-8F05-6A2D3CE9CFDA}"/>
            </a:ext>
            <a:ext uri="{147F2762-F138-4A5C-976F-8EAC2B608ADB}">
              <a16:predDERef xmlns:a16="http://schemas.microsoft.com/office/drawing/2014/main" pred="{32ADEF91-0A22-4295-8E7D-0372BFFE4DE6}"/>
            </a:ext>
          </a:extLst>
        </xdr:cNvPr>
        <xdr:cNvCxnSpPr>
          <a:stCxn id="2" idx="2"/>
          <a:extLst>
            <a:ext uri="{5F17804C-33F3-41E3-A699-7DCFA2EF7971}">
              <a16:cxnDERefs xmlns:a16="http://schemas.microsoft.com/office/drawing/2014/main" st="{32ADEF91-0A22-4295-8E7D-0372BFFE4DE6}" end="{00000000-0000-0000-0000-000000000000}"/>
            </a:ext>
          </a:extLst>
        </xdr:cNvCxnSpPr>
      </xdr:nvCxnSpPr>
      <xdr:spPr>
        <a:xfrm flipH="1">
          <a:off x="4200525" y="3819525"/>
          <a:ext cx="709613" cy="61912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E20FA6-F312-40F0-80FB-0FA1E1E00432}" name="Table1" displayName="Table1" ref="A2:D6" totalsRowCount="1" headerRowDxfId="67" dataDxfId="66" totalsRowDxfId="65">
  <tableColumns count="4">
    <tableColumn id="1" xr3:uid="{FF8DE00A-BE3D-40C6-A402-192D644C635A}" name="Costos Directos" totalsRowLabel="Total" dataDxfId="63" totalsRowDxfId="64"/>
    <tableColumn id="2" xr3:uid="{CB8A1DC3-8E37-4619-9D61-99C383D891A5}" name="Cantidad (mes)" dataDxfId="61" totalsRowDxfId="62"/>
    <tableColumn id="3" xr3:uid="{A661374A-CE15-467F-A9C8-F8D8DF4AA34F}" name="Costo Unitario" dataDxfId="59" totalsRowDxfId="60"/>
    <tableColumn id="4" xr3:uid="{4081FFEB-6870-487E-BF0A-DC63C99B7F45}" name="Costo Total" totalsRowFunction="sum" dataDxfId="57" totalsRowDxfId="5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DD2B9B-E55A-45FD-9EB6-01AE5174D1F0}" name="Table2" displayName="Table2" ref="A9:B15" totalsRowCount="1" headerRowDxfId="56" dataDxfId="55" totalsRowDxfId="54">
  <tableColumns count="2">
    <tableColumn id="1" xr3:uid="{402B9A76-B7D5-437C-83FE-A937DC1AFD23}" name="Costos Fijos" totalsRowLabel="Total" dataDxfId="52" totalsRowDxfId="53"/>
    <tableColumn id="2" xr3:uid="{1624181D-3F48-4646-BD2D-1C76BEBEB65E}" name="Costo Mensual" totalsRowFunction="sum" dataDxfId="50" totalsRowDxfId="5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4A6988-10A9-46F6-8204-B57DCCD918B5}" name="Table3" displayName="Table3" ref="A18:B21" totalsRowCount="1" headerRowDxfId="49" dataDxfId="48" totalsRowDxfId="47">
  <tableColumns count="2">
    <tableColumn id="1" xr3:uid="{76AFB805-AEAA-47AA-8375-A252131A9A41}" name="Gastos Generales" totalsRowLabel="Total" dataDxfId="45" totalsRowDxfId="46"/>
    <tableColumn id="2" xr3:uid="{4F42A0CF-FEC5-497E-AFEE-BFE593954F12}" name="Costo Mensual" totalsRowFunction="sum" dataDxfId="43" totalsRowDxfId="4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3D62C5-1D67-4FB2-BE74-2511A552D445}" name="Table4" displayName="Table4" ref="A24:C28" totalsRowCount="1" headerRowDxfId="42" dataDxfId="41" totalsRowDxfId="40">
  <tableColumns count="3">
    <tableColumn id="1" xr3:uid="{239A527C-6A03-45EA-A48A-F9746B135426}" name="Costo Total Producción" totalsRowLabel="Total" dataDxfId="38" totalsRowDxfId="39"/>
    <tableColumn id="2" xr3:uid="{3D2E53EC-37AD-4BCC-B60F-112D02B955D3}" name="Costo Mensual" totalsRowFunction="sum" dataDxfId="36" totalsRowDxfId="37"/>
    <tableColumn id="3" xr3:uid="{AF4B0973-1F29-46F6-9D46-B0358466E019}" name="Costo Mensual Ajustado" totalsRowFunction="sum" dataDxfId="34" totalsRowDxfId="35">
      <calculatedColumnFormula>Table4[[#This Row],[Costo Mensual]]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39C2DE-CC3B-4DEE-A3A8-DC4435B9A2A3}" name="Table5" displayName="Table5" ref="G2:I6" totalsRowCount="1" headerRowDxfId="33" dataDxfId="32" totalsRowDxfId="31">
  <tableColumns count="3">
    <tableColumn id="1" xr3:uid="{8643E4BF-E296-4427-B182-77649EB2222A}" name="Costos Directos Inversión" totalsRowLabel="Total" dataDxfId="29" totalsRowDxfId="30"/>
    <tableColumn id="2" xr3:uid="{51947CBF-EC67-4626-A95D-E7286C1F481C}" name="Cantidad" dataDxfId="27" totalsRowDxfId="28"/>
    <tableColumn id="3" xr3:uid="{589F8380-8E5F-457A-84AA-440699E54E47}" name="Costo Total" totalsRowFunction="sum" dataDxfId="25" totalsRowDxfId="26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F2D5FAB-3136-41EC-90D5-34EEF3743E46}" name="Table6" displayName="Table6" ref="G9:I14" totalsRowCount="1" headerRowDxfId="24" dataDxfId="23" totalsRowDxfId="22">
  <tableColumns count="3">
    <tableColumn id="1" xr3:uid="{953B3BA0-BDBF-4B93-BB3C-933C440F8698}" name="Costos Indirectos Inversión" totalsRowLabel="Total" dataDxfId="20" totalsRowDxfId="21"/>
    <tableColumn id="2" xr3:uid="{BB268D9E-A50D-4B4C-8044-B79496EFB9A9}" name="Cantidad" dataDxfId="18" totalsRowDxfId="19"/>
    <tableColumn id="3" xr3:uid="{8A7868A1-2987-4113-84A3-9E14934F4270}" name="Costo Total" totalsRowFunction="sum" dataDxfId="16" totalsRowDxfId="17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5052652-FC5A-48E3-A4D5-270D17942211}" name="Table8" displayName="Table8" ref="G18:I20" totalsRowCount="1" headerRowDxfId="15" dataDxfId="14" totalsRowDxfId="13">
  <tableColumns count="3">
    <tableColumn id="1" xr3:uid="{0F082122-91FE-4093-9C8F-3A2E21864626}" name="Capital" totalsRowLabel="Total" dataDxfId="11" totalsRowDxfId="12"/>
    <tableColumn id="2" xr3:uid="{0656C7B0-356E-4B9E-B9DC-70F4ED0CD7FC}" name="Cantidad" dataDxfId="9" totalsRowDxfId="10"/>
    <tableColumn id="3" xr3:uid="{696851AB-F6F8-4564-A0EC-1C3D15B1A450}" name="Costo Total" totalsRowFunction="sum" dataDxfId="7" totalsRowDxfId="8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B6D4F78-1C97-41AF-9C42-55DBD99C69E6}" name="Table9" displayName="Table9" ref="G24:H28" totalsRowCount="1" headerRowDxfId="6" dataDxfId="5" totalsRowDxfId="4">
  <tableColumns count="2">
    <tableColumn id="1" xr3:uid="{CE6AFF0E-4F3C-4401-965F-A9BC829DE578}" name="Costo Total Inversión" totalsRowLabel="Total" dataDxfId="2" totalsRowDxfId="3"/>
    <tableColumn id="2" xr3:uid="{EFA4478B-DF47-49BB-AC04-7164A028BD54}" name="Costo Total" totalsRowFunction="sum" dataDxfId="0" totalsRow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11" Type="http://schemas.openxmlformats.org/officeDocument/2006/relationships/table" Target="../tables/table8.xml"/><Relationship Id="rId5" Type="http://schemas.openxmlformats.org/officeDocument/2006/relationships/table" Target="../tables/table2.xml"/><Relationship Id="rId10" Type="http://schemas.openxmlformats.org/officeDocument/2006/relationships/table" Target="../tables/table7.xml"/><Relationship Id="rId4" Type="http://schemas.openxmlformats.org/officeDocument/2006/relationships/table" Target="../tables/table1.xml"/><Relationship Id="rId9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CA074-A88F-4129-A9CC-C4B4E5249DB2}">
  <dimension ref="A1:I56"/>
  <sheetViews>
    <sheetView showGridLines="0" tabSelected="1" workbookViewId="0">
      <selection activeCell="B15" sqref="B15"/>
    </sheetView>
  </sheetViews>
  <sheetFormatPr defaultRowHeight="15" customHeight="1"/>
  <cols>
    <col min="1" max="1" width="26.5703125" style="1" customWidth="1"/>
    <col min="2" max="2" width="20.42578125" style="1" bestFit="1" customWidth="1"/>
    <col min="3" max="3" width="24.7109375" style="1" bestFit="1" customWidth="1"/>
    <col min="4" max="4" width="12.85546875" style="1" bestFit="1" customWidth="1"/>
    <col min="5" max="6" width="9.140625" style="1"/>
    <col min="7" max="7" width="28.42578125" style="1" bestFit="1" customWidth="1"/>
    <col min="8" max="9" width="13.7109375" style="1" bestFit="1" customWidth="1"/>
    <col min="10" max="16384" width="9.140625" style="1"/>
  </cols>
  <sheetData>
    <row r="1" spans="1:9" ht="15" customHeight="1">
      <c r="A1" s="14" t="s">
        <v>0</v>
      </c>
      <c r="B1" s="14"/>
      <c r="C1" s="14"/>
      <c r="D1" s="14"/>
      <c r="G1" s="11" t="s">
        <v>1</v>
      </c>
      <c r="H1" s="11"/>
      <c r="I1" s="11"/>
    </row>
    <row r="2" spans="1:9" ht="15" customHeight="1">
      <c r="A2" s="1" t="s">
        <v>2</v>
      </c>
      <c r="B2" s="1" t="s">
        <v>3</v>
      </c>
      <c r="C2" s="1" t="s">
        <v>4</v>
      </c>
      <c r="D2" s="1" t="s">
        <v>5</v>
      </c>
      <c r="G2" s="1" t="s">
        <v>6</v>
      </c>
      <c r="H2" s="1" t="s">
        <v>7</v>
      </c>
      <c r="I2" s="2" t="s">
        <v>5</v>
      </c>
    </row>
    <row r="3" spans="1:9" ht="15" customHeight="1">
      <c r="A3" s="1" t="s">
        <v>8</v>
      </c>
      <c r="B3" s="1" t="s">
        <v>9</v>
      </c>
      <c r="C3" s="1">
        <v>0</v>
      </c>
      <c r="D3" s="2">
        <f>0</f>
        <v>0</v>
      </c>
      <c r="G3" s="1" t="s">
        <v>10</v>
      </c>
      <c r="H3" s="1">
        <v>1</v>
      </c>
      <c r="I3" s="2">
        <v>4000000</v>
      </c>
    </row>
    <row r="4" spans="1:9" ht="15" customHeight="1">
      <c r="A4" s="1" t="s">
        <v>11</v>
      </c>
      <c r="B4" s="1" t="s">
        <v>12</v>
      </c>
      <c r="C4" s="1" t="s">
        <v>13</v>
      </c>
      <c r="D4" s="2">
        <f>13000*100*2</f>
        <v>2600000</v>
      </c>
      <c r="G4" s="1" t="s">
        <v>14</v>
      </c>
      <c r="H4" s="1">
        <v>1</v>
      </c>
      <c r="I4" s="2">
        <v>1000000</v>
      </c>
    </row>
    <row r="5" spans="1:9" ht="15" customHeight="1">
      <c r="A5" s="1" t="s">
        <v>15</v>
      </c>
      <c r="B5" s="1" t="s">
        <v>16</v>
      </c>
      <c r="C5" s="1" t="s">
        <v>17</v>
      </c>
      <c r="D5" s="2">
        <f>600*150</f>
        <v>90000</v>
      </c>
      <c r="G5" s="1" t="s">
        <v>18</v>
      </c>
      <c r="H5" s="1">
        <v>1</v>
      </c>
      <c r="I5" s="2">
        <v>1500000</v>
      </c>
    </row>
    <row r="6" spans="1:9" ht="15" customHeight="1">
      <c r="A6" s="1" t="s">
        <v>19</v>
      </c>
      <c r="D6" s="3">
        <f>SUBTOTAL(109,Table1[Costo Total])</f>
        <v>2690000</v>
      </c>
      <c r="G6" s="1" t="s">
        <v>19</v>
      </c>
      <c r="I6" s="3">
        <f>SUBTOTAL(109,Table5[Costo Total])</f>
        <v>6500000</v>
      </c>
    </row>
    <row r="7" spans="1:9" ht="15" customHeight="1">
      <c r="D7" s="3"/>
      <c r="I7" s="3"/>
    </row>
    <row r="8" spans="1:9" ht="15" customHeight="1">
      <c r="A8" s="14" t="s">
        <v>20</v>
      </c>
      <c r="B8" s="14"/>
      <c r="G8" s="11" t="s">
        <v>21</v>
      </c>
      <c r="H8" s="11"/>
      <c r="I8" s="11"/>
    </row>
    <row r="9" spans="1:9" ht="15" customHeight="1">
      <c r="A9" s="1" t="s">
        <v>22</v>
      </c>
      <c r="B9" s="2" t="s">
        <v>23</v>
      </c>
      <c r="G9" s="1" t="s">
        <v>24</v>
      </c>
      <c r="H9" s="1" t="s">
        <v>7</v>
      </c>
      <c r="I9" s="2" t="s">
        <v>5</v>
      </c>
    </row>
    <row r="10" spans="1:9" ht="15" customHeight="1">
      <c r="A10" s="1" t="s">
        <v>25</v>
      </c>
      <c r="B10" s="2">
        <v>3000000</v>
      </c>
      <c r="G10" s="1" t="s">
        <v>26</v>
      </c>
      <c r="H10" s="1">
        <v>1</v>
      </c>
      <c r="I10" s="2">
        <v>500000</v>
      </c>
    </row>
    <row r="11" spans="1:9" ht="15" customHeight="1">
      <c r="A11" s="1" t="s">
        <v>27</v>
      </c>
      <c r="B11" s="2">
        <v>300000</v>
      </c>
      <c r="G11" s="1" t="s">
        <v>28</v>
      </c>
      <c r="H11" s="1">
        <v>1</v>
      </c>
      <c r="I11" s="2">
        <v>300000</v>
      </c>
    </row>
    <row r="12" spans="1:9" ht="15" customHeight="1">
      <c r="A12" s="1" t="s">
        <v>29</v>
      </c>
      <c r="B12" s="2">
        <v>200000</v>
      </c>
      <c r="G12" s="1" t="s">
        <v>30</v>
      </c>
      <c r="H12" s="1">
        <v>1</v>
      </c>
      <c r="I12" s="2">
        <v>300000</v>
      </c>
    </row>
    <row r="13" spans="1:9" ht="15" customHeight="1">
      <c r="A13" s="1" t="s">
        <v>31</v>
      </c>
      <c r="B13" s="2">
        <v>150000</v>
      </c>
      <c r="G13" s="1" t="s">
        <v>32</v>
      </c>
      <c r="H13" s="1">
        <v>1</v>
      </c>
      <c r="I13" s="2">
        <v>1500000</v>
      </c>
    </row>
    <row r="14" spans="1:9" ht="15" customHeight="1">
      <c r="A14" s="1" t="s">
        <v>33</v>
      </c>
      <c r="B14" s="2">
        <v>120000</v>
      </c>
      <c r="G14" s="1" t="s">
        <v>19</v>
      </c>
      <c r="I14" s="3">
        <f>SUBTOTAL(109,Table6[Costo Total])</f>
        <v>2600000</v>
      </c>
    </row>
    <row r="15" spans="1:9" ht="15" customHeight="1">
      <c r="A15" s="1" t="s">
        <v>19</v>
      </c>
      <c r="B15" s="3">
        <f>SUBTOTAL(109,Table2[Costo Mensual])</f>
        <v>3770000</v>
      </c>
    </row>
    <row r="17" spans="1:9" ht="15" customHeight="1">
      <c r="A17" s="14" t="s">
        <v>34</v>
      </c>
      <c r="B17" s="14"/>
      <c r="G17" s="11" t="s">
        <v>35</v>
      </c>
      <c r="H17" s="11"/>
      <c r="I17" s="11"/>
    </row>
    <row r="18" spans="1:9" ht="15" customHeight="1">
      <c r="A18" s="1" t="s">
        <v>36</v>
      </c>
      <c r="B18" s="1" t="s">
        <v>23</v>
      </c>
      <c r="G18" s="1" t="s">
        <v>37</v>
      </c>
      <c r="H18" s="1" t="s">
        <v>7</v>
      </c>
      <c r="I18" s="1" t="s">
        <v>5</v>
      </c>
    </row>
    <row r="19" spans="1:9" ht="15" customHeight="1">
      <c r="A19" s="1" t="s">
        <v>38</v>
      </c>
      <c r="B19" s="2">
        <v>150000</v>
      </c>
      <c r="G19" s="1" t="s">
        <v>39</v>
      </c>
      <c r="H19" s="1">
        <v>1</v>
      </c>
      <c r="I19" s="2">
        <v>9000000</v>
      </c>
    </row>
    <row r="20" spans="1:9" ht="15" customHeight="1">
      <c r="A20" s="1" t="s">
        <v>40</v>
      </c>
      <c r="B20" s="2">
        <v>1900000</v>
      </c>
      <c r="G20" s="1" t="s">
        <v>19</v>
      </c>
      <c r="I20" s="3">
        <f>SUBTOTAL(109,Table8[Costo Total])</f>
        <v>9000000</v>
      </c>
    </row>
    <row r="21" spans="1:9" ht="15" customHeight="1">
      <c r="A21" s="1" t="s">
        <v>19</v>
      </c>
      <c r="B21" s="3">
        <f>SUBTOTAL(109,Table3[Costo Mensual])</f>
        <v>2050000</v>
      </c>
    </row>
    <row r="23" spans="1:9" ht="15" customHeight="1">
      <c r="A23" s="14" t="s">
        <v>41</v>
      </c>
      <c r="B23" s="14"/>
      <c r="C23" s="14"/>
      <c r="G23" s="11" t="s">
        <v>42</v>
      </c>
      <c r="H23" s="11"/>
    </row>
    <row r="24" spans="1:9" ht="15" customHeight="1">
      <c r="A24" s="1" t="s">
        <v>43</v>
      </c>
      <c r="B24" s="1" t="s">
        <v>23</v>
      </c>
      <c r="C24" s="1" t="s">
        <v>44</v>
      </c>
      <c r="G24" s="1" t="s">
        <v>45</v>
      </c>
      <c r="H24" s="1" t="s">
        <v>5</v>
      </c>
    </row>
    <row r="25" spans="1:9" ht="15" customHeight="1">
      <c r="A25" s="1" t="str">
        <f>Table1[[#Headers],[Costos Directos]]</f>
        <v>Costos Directos</v>
      </c>
      <c r="B25" s="2">
        <f>Table1[[#Totals],[Costo Total]]</f>
        <v>2690000</v>
      </c>
      <c r="C25" s="2">
        <f>Table4[[#This Row],[Costo Mensual]]</f>
        <v>2690000</v>
      </c>
      <c r="G25" s="1" t="str">
        <f>Table5[[#Headers],[Costos Directos Inversión]]</f>
        <v>Costos Directos Inversión</v>
      </c>
      <c r="H25" s="2">
        <f>Table5[[#Totals],[Costo Total]]</f>
        <v>6500000</v>
      </c>
    </row>
    <row r="26" spans="1:9" ht="15" customHeight="1">
      <c r="A26" s="1" t="str">
        <f>Table2[[#Headers],[Costos Fijos]]</f>
        <v>Costos Fijos</v>
      </c>
      <c r="B26" s="2">
        <f>Table2[[#Totals],[Costo Mensual]]</f>
        <v>3770000</v>
      </c>
      <c r="C26" s="2">
        <f>Table4[[#This Row],[Costo Mensual]]-3000000-300000-150000</f>
        <v>320000</v>
      </c>
      <c r="G26" s="1" t="str">
        <f>Table6[[#Headers],[Costos Indirectos Inversión]]</f>
        <v>Costos Indirectos Inversión</v>
      </c>
      <c r="H26" s="2">
        <f>Table6[[#Totals],[Costo Total]]</f>
        <v>2600000</v>
      </c>
    </row>
    <row r="27" spans="1:9" ht="15" customHeight="1">
      <c r="A27" s="1" t="str">
        <f>Table3[[#Headers],[Gastos Generales]]</f>
        <v>Gastos Generales</v>
      </c>
      <c r="B27" s="2">
        <f>Table3[[#Totals],[Costo Mensual]]</f>
        <v>2050000</v>
      </c>
      <c r="C27" s="2">
        <f>Table4[[#This Row],[Costo Mensual]]-Table3[[#Totals],[Costo Mensual]]</f>
        <v>0</v>
      </c>
      <c r="G27" s="1" t="str">
        <f>Table8[[#Headers],[Capital]]</f>
        <v>Capital</v>
      </c>
      <c r="H27" s="2">
        <f>Table8[[#Totals],[Costo Total]]</f>
        <v>9000000</v>
      </c>
    </row>
    <row r="28" spans="1:9" ht="15" customHeight="1">
      <c r="A28" s="1" t="s">
        <v>19</v>
      </c>
      <c r="B28" s="2">
        <f>SUBTOTAL(109,Table4[Costo Mensual])</f>
        <v>8510000</v>
      </c>
      <c r="C28" s="2">
        <f>SUBTOTAL(109,Table4[Costo Mensual Ajustado])</f>
        <v>3010000</v>
      </c>
      <c r="G28" s="1" t="s">
        <v>19</v>
      </c>
      <c r="H28" s="2">
        <f>SUBTOTAL(109,Table9[Costo Total])</f>
        <v>18100000</v>
      </c>
    </row>
    <row r="31" spans="1:9" ht="15" customHeight="1">
      <c r="A31" s="12" t="s">
        <v>46</v>
      </c>
      <c r="B31" s="12"/>
      <c r="C31" s="12"/>
    </row>
    <row r="32" spans="1:9" ht="15" customHeight="1">
      <c r="A32" s="4" t="s">
        <v>47</v>
      </c>
      <c r="B32" s="4"/>
      <c r="C32" s="4"/>
    </row>
    <row r="33" spans="1:3" ht="15" customHeight="1">
      <c r="A33" s="4" t="s">
        <v>48</v>
      </c>
      <c r="B33" s="4"/>
      <c r="C33" s="5">
        <f>Table4[[#Totals],[Costo Mensual Ajustado]]/100</f>
        <v>30100</v>
      </c>
    </row>
    <row r="35" spans="1:3" ht="15" customHeight="1">
      <c r="A35" s="12" t="s">
        <v>49</v>
      </c>
      <c r="B35" s="12"/>
      <c r="C35" s="12"/>
    </row>
    <row r="36" spans="1:3" ht="15" customHeight="1">
      <c r="A36" s="4" t="s">
        <v>50</v>
      </c>
      <c r="B36" s="4"/>
      <c r="C36" s="4"/>
    </row>
    <row r="37" spans="1:3" ht="15" customHeight="1">
      <c r="A37" s="4" t="s">
        <v>51</v>
      </c>
      <c r="B37" s="4"/>
      <c r="C37" s="6">
        <f>C33*1.5</f>
        <v>45150</v>
      </c>
    </row>
    <row r="39" spans="1:3" ht="15" customHeight="1">
      <c r="A39" s="12" t="s">
        <v>52</v>
      </c>
      <c r="B39" s="12"/>
      <c r="C39" s="12"/>
    </row>
    <row r="40" spans="1:3" ht="15" customHeight="1">
      <c r="A40" s="4" t="s">
        <v>53</v>
      </c>
      <c r="B40" s="4"/>
      <c r="C40" s="4"/>
    </row>
    <row r="41" spans="1:3" ht="15" customHeight="1">
      <c r="A41" s="4" t="s">
        <v>54</v>
      </c>
      <c r="B41" s="4"/>
      <c r="C41" s="6">
        <f>150*C37</f>
        <v>6772500</v>
      </c>
    </row>
    <row r="43" spans="1:3" ht="15" customHeight="1">
      <c r="A43" s="12" t="s">
        <v>55</v>
      </c>
      <c r="B43" s="12"/>
      <c r="C43" s="12"/>
    </row>
    <row r="44" spans="1:3" ht="15" customHeight="1">
      <c r="A44" s="4" t="s">
        <v>56</v>
      </c>
      <c r="B44" s="4"/>
      <c r="C44" s="6">
        <f>C41-Table4[[#Totals],[Costo Mensual Ajustado]]</f>
        <v>3762500</v>
      </c>
    </row>
    <row r="47" spans="1:3" ht="15" customHeight="1">
      <c r="A47" s="15" t="s">
        <v>57</v>
      </c>
      <c r="B47" s="15"/>
      <c r="C47" s="15"/>
    </row>
    <row r="48" spans="1:3" ht="15" customHeight="1">
      <c r="A48" s="7" t="s">
        <v>58</v>
      </c>
      <c r="B48" s="7"/>
      <c r="C48" s="8">
        <f>Table9[[#Totals],[Costo Total]]</f>
        <v>18100000</v>
      </c>
    </row>
    <row r="49" spans="1:7" ht="15" customHeight="1">
      <c r="A49" s="7" t="s">
        <v>59</v>
      </c>
      <c r="B49" s="7"/>
      <c r="C49" s="8">
        <f>C44</f>
        <v>3762500</v>
      </c>
    </row>
    <row r="50" spans="1:7" ht="15" customHeight="1">
      <c r="A50" s="7" t="s">
        <v>60</v>
      </c>
      <c r="B50" s="7"/>
      <c r="C50" s="10">
        <f>C48/C49</f>
        <v>4.8106312292358808</v>
      </c>
      <c r="D50" s="1" t="s">
        <v>61</v>
      </c>
    </row>
    <row r="51" spans="1:7" ht="76.5" customHeight="1">
      <c r="A51" s="13" t="s">
        <v>62</v>
      </c>
      <c r="B51" s="13"/>
      <c r="C51" s="13"/>
    </row>
    <row r="52" spans="1:7" ht="36.75" customHeight="1">
      <c r="A52" s="13" t="s">
        <v>63</v>
      </c>
      <c r="B52" s="13"/>
      <c r="C52" s="13"/>
      <c r="D52" s="9"/>
      <c r="E52" s="9"/>
      <c r="F52" s="9"/>
      <c r="G52" s="9"/>
    </row>
    <row r="53" spans="1:7" ht="18" customHeight="1">
      <c r="A53" s="13" t="s">
        <v>64</v>
      </c>
      <c r="B53" s="13"/>
      <c r="C53" s="13"/>
      <c r="D53" s="9"/>
      <c r="E53" s="9"/>
      <c r="F53" s="9"/>
      <c r="G53" s="9"/>
    </row>
    <row r="54" spans="1:7" ht="36.75" customHeight="1">
      <c r="A54" s="13" t="s">
        <v>65</v>
      </c>
      <c r="B54" s="13"/>
      <c r="C54" s="13"/>
      <c r="D54" s="9"/>
      <c r="E54" s="9"/>
      <c r="F54" s="9"/>
      <c r="G54" s="9"/>
    </row>
    <row r="55" spans="1:7" ht="33.75" customHeight="1">
      <c r="A55" s="13" t="s">
        <v>66</v>
      </c>
      <c r="B55" s="13"/>
      <c r="C55" s="13"/>
      <c r="D55" s="9"/>
      <c r="E55" s="9"/>
      <c r="F55" s="9"/>
      <c r="G55" s="9"/>
    </row>
    <row r="56" spans="1:7" ht="33" customHeight="1">
      <c r="A56" s="13" t="s">
        <v>67</v>
      </c>
      <c r="B56" s="13"/>
      <c r="C56" s="13"/>
      <c r="D56" s="9"/>
      <c r="E56" s="9"/>
      <c r="F56" s="9"/>
      <c r="G56" s="9"/>
    </row>
  </sheetData>
  <mergeCells count="19">
    <mergeCell ref="A52:C52"/>
    <mergeCell ref="A53:C53"/>
    <mergeCell ref="A54:C54"/>
    <mergeCell ref="A55:C55"/>
    <mergeCell ref="A56:C56"/>
    <mergeCell ref="A51:C51"/>
    <mergeCell ref="A1:D1"/>
    <mergeCell ref="A8:B8"/>
    <mergeCell ref="A17:B17"/>
    <mergeCell ref="A23:C23"/>
    <mergeCell ref="A35:C35"/>
    <mergeCell ref="A39:C39"/>
    <mergeCell ref="A43:C43"/>
    <mergeCell ref="A47:C47"/>
    <mergeCell ref="G23:H23"/>
    <mergeCell ref="G17:I17"/>
    <mergeCell ref="G8:I8"/>
    <mergeCell ref="G1:I1"/>
    <mergeCell ref="A31:C31"/>
  </mergeCells>
  <pageMargins left="0.7" right="0.7" top="0.75" bottom="0.75" header="0.3" footer="0.3"/>
  <pageSetup orientation="portrait" verticalDpi="0" r:id="rId1"/>
  <drawing r:id="rId2"/>
  <legacyDrawing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F8309D30C14F48B6F14FAF4FAB2EEB" ma:contentTypeVersion="15" ma:contentTypeDescription="Crear nuevo documento." ma:contentTypeScope="" ma:versionID="68247d96ddffd9ba6a4dea6952295416">
  <xsd:schema xmlns:xsd="http://www.w3.org/2001/XMLSchema" xmlns:xs="http://www.w3.org/2001/XMLSchema" xmlns:p="http://schemas.microsoft.com/office/2006/metadata/properties" xmlns:ns3="305cc596-cb95-4fa1-8bea-13bfa5afd04d" xmlns:ns4="16fcec25-4e40-489d-b31c-aaa51cf4f3fa" targetNamespace="http://schemas.microsoft.com/office/2006/metadata/properties" ma:root="true" ma:fieldsID="ad9c5553b515cd405d4fa9a0d0636216" ns3:_="" ns4:_="">
    <xsd:import namespace="305cc596-cb95-4fa1-8bea-13bfa5afd04d"/>
    <xsd:import namespace="16fcec25-4e40-489d-b31c-aaa51cf4f3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cc596-cb95-4fa1-8bea-13bfa5afd0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cec25-4e40-489d-b31c-aaa51cf4f3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5cc596-cb95-4fa1-8bea-13bfa5afd0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6B2BD-4FE5-4599-BE9D-4158957958D6}"/>
</file>

<file path=customXml/itemProps2.xml><?xml version="1.0" encoding="utf-8"?>
<ds:datastoreItem xmlns:ds="http://schemas.openxmlformats.org/officeDocument/2006/customXml" ds:itemID="{44B60C98-4271-4D77-BBE6-2B02401E4B03}"/>
</file>

<file path=customXml/itemProps3.xml><?xml version="1.0" encoding="utf-8"?>
<ds:datastoreItem xmlns:ds="http://schemas.openxmlformats.org/officeDocument/2006/customXml" ds:itemID="{FDFF48A9-AF2B-4935-8395-3BA4E3045D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Hollman Lukas Santiago Bocanegra Quitian</dc:creator>
  <cp:keywords/>
  <dc:description/>
  <cp:lastModifiedBy>Usuario invitado</cp:lastModifiedBy>
  <cp:revision/>
  <dcterms:created xsi:type="dcterms:W3CDTF">2024-11-21T02:27:39Z</dcterms:created>
  <dcterms:modified xsi:type="dcterms:W3CDTF">2024-11-23T22:08:54Z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0x010100F1F8309D30C14F48B6F14FAF4FAB2EEB</vt:lpwstr>
  </property>
</Properties>
</file>