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Jasmin Mendez\Desktop\MAESTRIA\seminario investi maestria vf\"/>
    </mc:Choice>
  </mc:AlternateContent>
  <bookViews>
    <workbookView xWindow="0" yWindow="0" windowWidth="19425" windowHeight="540" tabRatio="703" activeTab="6"/>
  </bookViews>
  <sheets>
    <sheet name="Menú" sheetId="7" r:id="rId1"/>
    <sheet name="1" sheetId="1" r:id="rId2"/>
    <sheet name="2" sheetId="4" r:id="rId3"/>
    <sheet name="3" sheetId="3" r:id="rId4"/>
    <sheet name="4" sheetId="5" r:id="rId5"/>
    <sheet name="5" sheetId="6" r:id="rId6"/>
    <sheet name="Cálculo Tarifas" sheetId="9" r:id="rId7"/>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9" l="1"/>
  <c r="E18" i="9" l="1"/>
  <c r="F18" i="9" s="1"/>
  <c r="E42" i="9" l="1"/>
  <c r="C42" i="9" s="1"/>
  <c r="F21" i="4"/>
  <c r="F19" i="4"/>
  <c r="F20" i="4"/>
  <c r="F18" i="4"/>
  <c r="E40" i="9"/>
  <c r="C52" i="9"/>
  <c r="D14" i="9"/>
  <c r="E43" i="9"/>
  <c r="C43" i="9" s="1"/>
  <c r="F41" i="9"/>
  <c r="F40" i="9"/>
  <c r="C41" i="9"/>
  <c r="C40" i="9"/>
  <c r="D35" i="9"/>
  <c r="E33" i="9"/>
  <c r="E34" i="9"/>
  <c r="E32" i="9"/>
  <c r="D26" i="9"/>
  <c r="D25" i="9"/>
  <c r="E25" i="9" s="1"/>
  <c r="F25" i="9" s="1"/>
  <c r="D19" i="9"/>
  <c r="E19" i="9" s="1"/>
  <c r="H55" i="6"/>
  <c r="H54" i="6"/>
  <c r="D20" i="9" l="1"/>
  <c r="E35" i="9"/>
  <c r="F13" i="9" s="1"/>
  <c r="E13" i="9" s="1"/>
  <c r="E44" i="9"/>
  <c r="F42" i="9"/>
  <c r="F44" i="9" s="1"/>
  <c r="F45" i="9" s="1"/>
  <c r="F19" i="9"/>
  <c r="F20" i="9" s="1"/>
  <c r="F11" i="9" s="1"/>
  <c r="E20" i="9"/>
  <c r="C44" i="9"/>
  <c r="D49" i="9" s="1"/>
  <c r="D17" i="1" s="1"/>
  <c r="D27" i="9"/>
  <c r="E26" i="9"/>
  <c r="B40" i="6"/>
  <c r="B41" i="6" s="1"/>
  <c r="B42" i="6" s="1"/>
  <c r="B43" i="6" s="1"/>
  <c r="B44" i="6" s="1"/>
  <c r="B45" i="6" s="1"/>
  <c r="B46" i="6" s="1"/>
  <c r="B47" i="6" s="1"/>
  <c r="B48" i="6" s="1"/>
  <c r="C40" i="6"/>
  <c r="C42" i="6"/>
  <c r="C43" i="6"/>
  <c r="C44" i="6"/>
  <c r="C45" i="6"/>
  <c r="C46" i="6"/>
  <c r="C47" i="6"/>
  <c r="C48" i="6"/>
  <c r="C39" i="6"/>
  <c r="D50" i="9" l="1"/>
  <c r="D51" i="9"/>
  <c r="E27" i="9"/>
  <c r="E12" i="9" s="1"/>
  <c r="E14" i="9" s="1"/>
  <c r="F26" i="9"/>
  <c r="F27" i="9" s="1"/>
  <c r="F12" i="9" s="1"/>
  <c r="F14" i="9" s="1"/>
  <c r="F11" i="5"/>
  <c r="G11" i="5"/>
  <c r="E50" i="9" l="1"/>
  <c r="D18" i="1"/>
  <c r="E51" i="9"/>
  <c r="D19" i="1"/>
  <c r="E49" i="9"/>
  <c r="D52" i="9"/>
  <c r="E11" i="5"/>
  <c r="D11" i="5"/>
  <c r="C11" i="5"/>
  <c r="E52" i="9" l="1"/>
  <c r="J16" i="6"/>
  <c r="J17" i="6"/>
  <c r="J18" i="6"/>
  <c r="J19" i="6"/>
  <c r="J20" i="6"/>
  <c r="J21" i="6"/>
  <c r="J22" i="6"/>
  <c r="J23" i="6"/>
  <c r="J24" i="6"/>
  <c r="J15" i="6"/>
  <c r="H16" i="6"/>
  <c r="H18" i="6"/>
  <c r="H19" i="6"/>
  <c r="H20" i="6"/>
  <c r="H21" i="6"/>
  <c r="H22" i="6"/>
  <c r="H23" i="6"/>
  <c r="H24" i="6"/>
  <c r="H15" i="6"/>
  <c r="D33" i="6"/>
  <c r="G16" i="6"/>
  <c r="G17" i="6" s="1"/>
  <c r="G18" i="6" s="1"/>
  <c r="G19" i="6" s="1"/>
  <c r="G20" i="6" s="1"/>
  <c r="G21" i="6" s="1"/>
  <c r="G22" i="6" s="1"/>
  <c r="G23" i="6" s="1"/>
  <c r="G24" i="6" s="1"/>
  <c r="G25" i="6" s="1"/>
  <c r="C16"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3" i="1"/>
  <c r="B26" i="5"/>
  <c r="B48" i="5" s="1"/>
  <c r="B50" i="5" s="1"/>
  <c r="C24" i="5"/>
  <c r="E12" i="5"/>
  <c r="F12" i="5" s="1"/>
  <c r="D25" i="5"/>
  <c r="D49" i="5" s="1"/>
  <c r="C31" i="1"/>
  <c r="L2" i="1"/>
  <c r="L16" i="1" s="1"/>
  <c r="S25" i="1"/>
  <c r="S21" i="1"/>
  <c r="W21" i="1" s="1"/>
  <c r="V21" i="1"/>
  <c r="S19" i="1"/>
  <c r="V12" i="1"/>
  <c r="V10" i="1"/>
  <c r="V6" i="1"/>
  <c r="V3" i="1"/>
  <c r="V11" i="1"/>
  <c r="V7"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10" i="1"/>
  <c r="T3" i="1"/>
  <c r="T10" i="1"/>
  <c r="T6" i="1"/>
  <c r="U11" i="1"/>
  <c r="U7" i="1"/>
  <c r="U3" i="1"/>
  <c r="U12" i="1"/>
  <c r="T12" i="1"/>
  <c r="T8" i="1"/>
  <c r="T4" i="1"/>
  <c r="T11" i="1"/>
  <c r="M9" i="1"/>
  <c r="M8" i="1"/>
  <c r="T7" i="1"/>
  <c r="M4" i="1"/>
  <c r="D5" i="5" l="1"/>
  <c r="D20" i="5" s="1"/>
  <c r="E7" i="6" s="1"/>
  <c r="E10" i="3"/>
  <c r="C43" i="5"/>
  <c r="G12" i="5"/>
  <c r="F25" i="5"/>
  <c r="J2" i="1"/>
  <c r="B31" i="4" s="1"/>
  <c r="B30" i="4"/>
  <c r="M2" i="1"/>
  <c r="B29" i="4"/>
  <c r="A21" i="1"/>
  <c r="F24" i="1"/>
  <c r="F21" i="1"/>
  <c r="F25" i="1"/>
  <c r="F18" i="1"/>
  <c r="F22" i="1"/>
  <c r="F26" i="1"/>
  <c r="F19" i="1"/>
  <c r="F23" i="1"/>
  <c r="F17" i="1"/>
  <c r="F20" i="1"/>
  <c r="B33" i="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D43" i="5" l="1"/>
  <c r="E5" i="5"/>
  <c r="E20" i="5" s="1"/>
  <c r="F7" i="6" s="1"/>
  <c r="E11" i="3"/>
  <c r="G25" i="5"/>
  <c r="D8" i="3"/>
  <c r="D12" i="3" s="1"/>
  <c r="D14" i="3" s="1"/>
  <c r="C8" i="6" s="1"/>
  <c r="M16" i="1"/>
  <c r="N2" i="1"/>
  <c r="C7" i="5"/>
  <c r="F27"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V27" i="1"/>
  <c r="E33" i="1" s="1"/>
  <c r="F7" i="5" s="1"/>
  <c r="W27" i="1"/>
  <c r="E26" i="5"/>
  <c r="E48" i="5" s="1"/>
  <c r="E50" i="5" s="1"/>
  <c r="G49" i="5"/>
  <c r="D7" i="5"/>
  <c r="E7" i="5"/>
  <c r="F31" i="1"/>
  <c r="E13" i="3" s="1"/>
  <c r="F43" i="5" l="1"/>
  <c r="J8" i="3"/>
  <c r="B31" i="5" s="1"/>
  <c r="B32" i="5" s="1"/>
  <c r="F33" i="1"/>
  <c r="G7" i="5" s="1"/>
  <c r="G48" i="5"/>
  <c r="G50" i="5" s="1"/>
  <c r="F48" i="5"/>
  <c r="F50" i="5" s="1"/>
  <c r="G5" i="5"/>
  <c r="G20" i="5" s="1"/>
  <c r="H7" i="6" s="1"/>
  <c r="B38" i="5" l="1"/>
  <c r="B22" i="5" s="1"/>
  <c r="B44" i="5" s="1"/>
  <c r="B46" i="5" s="1"/>
  <c r="B52" i="5" s="1"/>
  <c r="I9" i="3"/>
  <c r="F9" i="3"/>
  <c r="G9" i="3" s="1"/>
  <c r="C14" i="5" s="1"/>
  <c r="G43" i="5"/>
  <c r="B27" i="5" l="1"/>
  <c r="H9" i="3"/>
  <c r="J9" i="3" s="1"/>
  <c r="I10" i="3" s="1"/>
  <c r="B39" i="5" l="1"/>
  <c r="H53" i="6"/>
  <c r="H52" i="6"/>
  <c r="F10" i="3"/>
  <c r="G10" i="3" s="1"/>
  <c r="D14" i="5" s="1"/>
  <c r="C31" i="5"/>
  <c r="H10" i="3" l="1"/>
  <c r="J10" i="3" s="1"/>
  <c r="D31" i="5" s="1"/>
  <c r="I11" i="3" l="1"/>
  <c r="F11" i="3"/>
  <c r="G11" i="3" s="1"/>
  <c r="E14" i="5" s="1"/>
  <c r="H11" i="3" l="1"/>
  <c r="J11" i="3" s="1"/>
  <c r="I12" i="3" s="1"/>
  <c r="E31" i="5" l="1"/>
  <c r="F12" i="3"/>
  <c r="G12" i="3" s="1"/>
  <c r="F14" i="5" s="1"/>
  <c r="H12" i="3" l="1"/>
  <c r="J12" i="3" s="1"/>
  <c r="F13" i="3" s="1"/>
  <c r="G13" i="3" s="1"/>
  <c r="G14" i="5" s="1"/>
  <c r="F31" i="5" l="1"/>
  <c r="I13" i="3"/>
  <c r="H13" i="3" s="1"/>
  <c r="J13" i="3" s="1"/>
  <c r="G31" i="5" s="1"/>
  <c r="C9" i="6" l="1"/>
  <c r="P5" i="1"/>
  <c r="Q5" i="1" s="1"/>
  <c r="C41" i="6"/>
  <c r="C17" i="6"/>
  <c r="E5" i="1"/>
  <c r="E13" i="1" s="1"/>
  <c r="F12" i="1" s="1"/>
  <c r="D24" i="6" s="1"/>
  <c r="E24" i="6" s="1"/>
  <c r="H17" i="6"/>
  <c r="U5" i="1" l="1"/>
  <c r="U13" i="1" s="1"/>
  <c r="D32" i="1" s="1"/>
  <c r="R5" i="1"/>
  <c r="F4" i="1"/>
  <c r="D16" i="6" s="1"/>
  <c r="E16" i="6" s="1"/>
  <c r="F9" i="1"/>
  <c r="D21" i="6" s="1"/>
  <c r="E21" i="6" s="1"/>
  <c r="T5" i="1"/>
  <c r="T13" i="1" s="1"/>
  <c r="C32" i="1" s="1"/>
  <c r="F10" i="1"/>
  <c r="D22" i="6" s="1"/>
  <c r="E22" i="6" s="1"/>
  <c r="F3" i="1"/>
  <c r="F8" i="1"/>
  <c r="D20" i="6" s="1"/>
  <c r="E20" i="6" s="1"/>
  <c r="B32" i="1"/>
  <c r="F5" i="1"/>
  <c r="D17" i="6" s="1"/>
  <c r="E17" i="6" s="1"/>
  <c r="F7" i="1"/>
  <c r="D19" i="6" s="1"/>
  <c r="E19" i="6" s="1"/>
  <c r="F11" i="1"/>
  <c r="D23" i="6" s="1"/>
  <c r="E23" i="6" s="1"/>
  <c r="F6" i="1"/>
  <c r="D18" i="6" s="1"/>
  <c r="E18" i="6" s="1"/>
  <c r="D6" i="5" l="1"/>
  <c r="D8" i="5" s="1"/>
  <c r="D13" i="5" s="1"/>
  <c r="C34" i="1"/>
  <c r="V5" i="1"/>
  <c r="V13" i="1" s="1"/>
  <c r="E32" i="1" s="1"/>
  <c r="S5" i="1"/>
  <c r="W5" i="1" s="1"/>
  <c r="W13" i="1" s="1"/>
  <c r="F32" i="1" s="1"/>
  <c r="F13" i="1"/>
  <c r="D15" i="6"/>
  <c r="E15" i="6" s="1"/>
  <c r="E27" i="6" s="1"/>
  <c r="E28" i="6" s="1"/>
  <c r="B34" i="1"/>
  <c r="C6" i="5"/>
  <c r="C8" i="5" s="1"/>
  <c r="C13" i="5" s="1"/>
  <c r="E6" i="5"/>
  <c r="E8" i="5" s="1"/>
  <c r="E13" i="5" s="1"/>
  <c r="D34" i="1"/>
  <c r="C15" i="5" l="1"/>
  <c r="C55" i="5"/>
  <c r="F6" i="5"/>
  <c r="F8" i="5" s="1"/>
  <c r="F13" i="5" s="1"/>
  <c r="E34" i="1"/>
  <c r="G6" i="5"/>
  <c r="G8" i="5" s="1"/>
  <c r="G13" i="5" s="1"/>
  <c r="F34" i="1"/>
  <c r="F18" i="6"/>
  <c r="D42" i="6" s="1"/>
  <c r="E42" i="6" s="1"/>
  <c r="F22" i="6"/>
  <c r="D46" i="6" s="1"/>
  <c r="E46" i="6" s="1"/>
  <c r="F23" i="6"/>
  <c r="D47" i="6" s="1"/>
  <c r="E47" i="6" s="1"/>
  <c r="F20" i="6"/>
  <c r="D44" i="6" s="1"/>
  <c r="E44" i="6" s="1"/>
  <c r="F17" i="6"/>
  <c r="D41" i="6" s="1"/>
  <c r="E41" i="6" s="1"/>
  <c r="F16" i="6"/>
  <c r="D40" i="6" s="1"/>
  <c r="E40" i="6" s="1"/>
  <c r="F21" i="6"/>
  <c r="D45" i="6" s="1"/>
  <c r="E45" i="6" s="1"/>
  <c r="F15" i="6"/>
  <c r="F24" i="6"/>
  <c r="D48" i="6" s="1"/>
  <c r="E48" i="6" s="1"/>
  <c r="F19" i="6"/>
  <c r="D43" i="6" s="1"/>
  <c r="E43" i="6" s="1"/>
  <c r="E15" i="5"/>
  <c r="E55" i="5"/>
  <c r="D55" i="5"/>
  <c r="D15" i="5"/>
  <c r="D34" i="6" l="1"/>
  <c r="D39" i="6"/>
  <c r="E39" i="6" s="1"/>
  <c r="E49" i="6" s="1"/>
  <c r="E29" i="6" s="1"/>
  <c r="E34" i="6"/>
  <c r="F34" i="6" s="1"/>
  <c r="F25" i="6"/>
  <c r="B34" i="6" s="1"/>
  <c r="B35" i="6" s="1"/>
  <c r="G55" i="5"/>
  <c r="G15" i="5"/>
  <c r="D16" i="5"/>
  <c r="D29" i="5" s="1"/>
  <c r="F15" i="5"/>
  <c r="F55" i="5"/>
  <c r="D56" i="5"/>
  <c r="D57" i="5" s="1"/>
  <c r="C56" i="5"/>
  <c r="C57" i="5" s="1"/>
  <c r="E56" i="5"/>
  <c r="E57" i="5" s="1"/>
  <c r="E16" i="5"/>
  <c r="E29" i="5" s="1"/>
  <c r="C16" i="5"/>
  <c r="C29" i="5" s="1"/>
  <c r="E17" i="5" l="1"/>
  <c r="E35" i="5" s="1"/>
  <c r="E36" i="5" s="1"/>
  <c r="C17" i="5"/>
  <c r="C35" i="5" s="1"/>
  <c r="C36" i="5" s="1"/>
  <c r="I22" i="6"/>
  <c r="I16" i="6"/>
  <c r="I20" i="6"/>
  <c r="I21" i="6"/>
  <c r="I17" i="6"/>
  <c r="I15" i="6"/>
  <c r="I18" i="6"/>
  <c r="I19" i="6"/>
  <c r="I24" i="6"/>
  <c r="I23" i="6"/>
  <c r="C45" i="5"/>
  <c r="C30" i="5"/>
  <c r="C32" i="5" s="1"/>
  <c r="F16" i="5"/>
  <c r="F29" i="5" s="1"/>
  <c r="D30" i="5"/>
  <c r="D32" i="5" s="1"/>
  <c r="D45" i="5"/>
  <c r="D17" i="5"/>
  <c r="D35" i="5" s="1"/>
  <c r="D36" i="5" s="1"/>
  <c r="G16" i="5"/>
  <c r="G29" i="5" s="1"/>
  <c r="G56" i="5"/>
  <c r="G57" i="5" s="1"/>
  <c r="E30" i="5"/>
  <c r="E32" i="5" s="1"/>
  <c r="E45" i="5"/>
  <c r="F56" i="5"/>
  <c r="F57" i="5" s="1"/>
  <c r="C38" i="5" l="1"/>
  <c r="C22" i="5" s="1"/>
  <c r="C27" i="5" s="1"/>
  <c r="C39" i="5" s="1"/>
  <c r="E38" i="5"/>
  <c r="E22" i="5" s="1"/>
  <c r="E27" i="5" s="1"/>
  <c r="E39" i="5" s="1"/>
  <c r="G17" i="5"/>
  <c r="G35" i="5" s="1"/>
  <c r="G36" i="5" s="1"/>
  <c r="F45" i="5"/>
  <c r="F30" i="5"/>
  <c r="F32" i="5" s="1"/>
  <c r="G30" i="5"/>
  <c r="G32" i="5" s="1"/>
  <c r="G45" i="5"/>
  <c r="D38" i="5"/>
  <c r="D22" i="5" s="1"/>
  <c r="F17" i="5"/>
  <c r="F35" i="5" s="1"/>
  <c r="F36" i="5" s="1"/>
  <c r="D35" i="6"/>
  <c r="E35" i="6"/>
  <c r="F35" i="6" s="1"/>
  <c r="C44" i="5" l="1"/>
  <c r="C46" i="5" s="1"/>
  <c r="C52" i="5" s="1"/>
  <c r="C58" i="5" s="1"/>
  <c r="C59" i="5" s="1"/>
  <c r="D8" i="6" s="1"/>
  <c r="D9" i="6" s="1"/>
  <c r="E44" i="5"/>
  <c r="E46" i="5" s="1"/>
  <c r="E52" i="5" s="1"/>
  <c r="G38" i="5"/>
  <c r="G22" i="5" s="1"/>
  <c r="G44" i="5" s="1"/>
  <c r="G46" i="5" s="1"/>
  <c r="G52" i="5" s="1"/>
  <c r="F38" i="5"/>
  <c r="F22" i="5" s="1"/>
  <c r="D44" i="5"/>
  <c r="D46" i="5" s="1"/>
  <c r="D52" i="5" s="1"/>
  <c r="D27" i="5"/>
  <c r="D39" i="5" s="1"/>
  <c r="D58" i="5" l="1"/>
  <c r="D59" i="5" s="1"/>
  <c r="E8" i="6" s="1"/>
  <c r="E9" i="6" s="1"/>
  <c r="G27" i="5"/>
  <c r="G39" i="5" s="1"/>
  <c r="F44" i="5"/>
  <c r="F46" i="5" s="1"/>
  <c r="F52" i="5" s="1"/>
  <c r="F58" i="5" s="1"/>
  <c r="F59" i="5" s="1"/>
  <c r="G8" i="6" s="1"/>
  <c r="G9" i="6" s="1"/>
  <c r="F27" i="5"/>
  <c r="F39" i="5" s="1"/>
  <c r="E58" i="5"/>
  <c r="E59" i="5" s="1"/>
  <c r="F8" i="6" s="1"/>
  <c r="F9" i="6" s="1"/>
  <c r="G58" i="5" l="1"/>
  <c r="G59" i="5" s="1"/>
  <c r="H8" i="6" s="1"/>
  <c r="H9" i="6" s="1"/>
  <c r="H11" i="6" s="1"/>
  <c r="D11" i="6" l="1"/>
  <c r="D10" i="6"/>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text>
        <r>
          <rPr>
            <b/>
            <sz val="9"/>
            <color indexed="81"/>
            <rFont val="Tahoma"/>
            <family val="2"/>
          </rPr>
          <t>DARIO MAURICIO REYES GIRALDO:</t>
        </r>
        <r>
          <rPr>
            <sz val="9"/>
            <color indexed="81"/>
            <rFont val="Tahoma"/>
            <family val="2"/>
          </rPr>
          <t xml:space="preserve">
Escoja un valor entre 1 y 5.</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comments5.xml><?xml version="1.0" encoding="utf-8"?>
<comments xmlns="http://schemas.openxmlformats.org/spreadsheetml/2006/main">
  <authors>
    <author>DARIO MAURICIO REYES GIRALDO</author>
  </authors>
  <commentList>
    <comment ref="C11"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B49"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List>
</comments>
</file>

<file path=xl/sharedStrings.xml><?xml version="1.0" encoding="utf-8"?>
<sst xmlns="http://schemas.openxmlformats.org/spreadsheetml/2006/main" count="227" uniqueCount="198">
  <si>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</si>
  <si>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</si>
  <si>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</si>
  <si>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</si>
  <si>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</si>
  <si>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</si>
  <si>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</si>
  <si>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</si>
  <si>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</si>
  <si>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</si>
  <si>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</si>
  <si>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</si>
  <si>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</si>
  <si>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</si>
  <si>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</si>
  <si>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</si>
  <si>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</si>
  <si>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</si>
  <si>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</si>
  <si>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</si>
  <si>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</si>
  <si>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</si>
  <si>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</si>
  <si>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</si>
  <si>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</si>
  <si>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</si>
  <si>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</si>
  <si>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</si>
  <si>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</si>
  <si>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</si>
  <si>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</si>
  <si>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</si>
  <si>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</si>
  <si>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</si>
  <si>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</si>
  <si>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</si>
  <si>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</si>
  <si>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</si>
  <si>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</si>
  <si>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</si>
  <si>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</si>
  <si>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</si>
  <si>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</si>
  <si>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</si>
  <si>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</si>
  <si>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</si>
  <si>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</si>
  <si>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</si>
  <si>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</si>
  <si>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</si>
  <si>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</si>
  <si>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</si>
  <si>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</si>
  <si>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</si>
  <si>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</si>
  <si>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</si>
  <si>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</si>
  <si>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</si>
  <si>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</si>
  <si>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</si>
  <si>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</si>
  <si>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</si>
  <si>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</si>
  <si>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</si>
  <si>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</si>
  <si>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</si>
  <si>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</si>
  <si>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</si>
  <si>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</si>
  <si>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</si>
  <si>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</si>
  <si>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</si>
  <si>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</si>
  <si>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</si>
  <si>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</si>
  <si>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</si>
  <si>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</si>
  <si>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</si>
  <si>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</si>
  <si>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</si>
  <si>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</si>
  <si>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</si>
  <si>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</si>
  <si>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</si>
  <si>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</si>
  <si>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</si>
  <si>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</si>
  <si>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</si>
  <si>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</si>
  <si>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</si>
  <si>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</si>
  <si>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</si>
  <si>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</si>
  <si>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</si>
  <si>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</si>
  <si>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</si>
  <si>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</si>
  <si>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</si>
  <si>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</si>
  <si>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</si>
  <si>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</si>
  <si>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</si>
  <si>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</si>
  <si>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</si>
  <si>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</si>
  <si>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</si>
  <si>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</si>
  <si>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</si>
  <si>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</si>
  <si>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</si>
  <si>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</si>
  <si>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</si>
  <si>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</si>
  <si>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</si>
  <si>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</si>
  <si>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</si>
  <si>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</si>
  <si>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</si>
  <si>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</si>
  <si>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</si>
  <si>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</si>
  <si>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</si>
  <si>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</si>
  <si>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</si>
  <si>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</si>
  <si>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</si>
  <si>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</si>
  <si>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</si>
  <si>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</si>
  <si>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</si>
  <si>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</si>
  <si>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</si>
  <si>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</si>
  <si>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</si>
  <si>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</si>
  <si>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</si>
  <si>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</si>
  <si>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</si>
  <si>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</si>
  <si>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</si>
  <si>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</si>
  <si>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</si>
  <si>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</si>
  <si>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</si>
  <si>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</si>
  <si>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</si>
  <si>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</si>
  <si>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</si>
  <si>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</si>
  <si>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</si>
  <si>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</si>
  <si>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</si>
  <si>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</si>
  <si>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</si>
  <si>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</si>
  <si>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</si>
  <si>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</si>
  <si>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</si>
  <si>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</si>
  <si>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</si>
  <si>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Servicio de Consultoria en GP</t>
  </si>
  <si>
    <t>Servicio</t>
  </si>
  <si>
    <t>AsesorÍa en implementación de sofware especializado en GP</t>
  </si>
  <si>
    <t>Capacitaciones en temas espesíficos en la GP</t>
  </si>
  <si>
    <t>Consultor</t>
  </si>
  <si>
    <t>Director Técnico  PMP</t>
  </si>
  <si>
    <t>Profesional Senior Administrativo</t>
  </si>
  <si>
    <t>Tarifas  (pesos/hora)</t>
  </si>
  <si>
    <t>Horas efectivas de Consultoría al Mes</t>
  </si>
  <si>
    <t>Ventas mensuales</t>
  </si>
  <si>
    <t>Ventas anuales</t>
  </si>
  <si>
    <t>Servicio de Consultoría</t>
  </si>
  <si>
    <t>Servicio de Capacitación</t>
  </si>
  <si>
    <t>Servicio de Implementación de Software</t>
  </si>
  <si>
    <t>Informe de Consultoría</t>
  </si>
  <si>
    <t>Actividad/Entregable</t>
  </si>
  <si>
    <t>Capacitación uso de software</t>
  </si>
  <si>
    <t>Metodología de Implementación</t>
  </si>
  <si>
    <t>Cantidad</t>
  </si>
  <si>
    <t>Ventas unidad</t>
  </si>
  <si>
    <t>Ventas Mensuales</t>
  </si>
  <si>
    <t>Ventas Anual</t>
  </si>
  <si>
    <t xml:space="preserve">TOTAL VENTAS </t>
  </si>
  <si>
    <t>Insumo/actividad</t>
  </si>
  <si>
    <t>Computador</t>
  </si>
  <si>
    <t>Costo Fijo</t>
  </si>
  <si>
    <t>Costo variable /hora</t>
  </si>
  <si>
    <t>Otros (comida, transportes, etc)</t>
  </si>
  <si>
    <t>Afiliaciones Entidades de Proyectos</t>
  </si>
  <si>
    <t>Costo variable / año</t>
  </si>
  <si>
    <t>Total costos</t>
  </si>
  <si>
    <t>Costo variable / mes</t>
  </si>
  <si>
    <t>Nómina Consultores</t>
  </si>
  <si>
    <t>Horas/mes</t>
  </si>
  <si>
    <t>Costos mensuales</t>
  </si>
  <si>
    <t>Costo Mensuales</t>
  </si>
  <si>
    <t>Costo Anual</t>
  </si>
  <si>
    <t>El principal activo es el conocimiento y experiencia de los profesionales que desarrollan la actividad como 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</si>
</sst>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2" formatCode="_-&quot;$&quot;\ * #,##0_-;\-&quot;$&quot;\ * #,##0_-;_-&quot;$&quot;\ * &quot;-&quot;_-;_-@_-"/>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5">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8"/>
      <color theme="0"/>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21">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xf numFmtId="42" fontId="1" fillId="0" borderId="0" applyFont="0" applyFill="0" applyBorder="0" applyAlignment="0" applyProtection="0"/>
  </cellStyleXfs>
  <cellXfs count="201">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42" fontId="0" fillId="0" borderId="0" xfId="7" applyFont="1"/>
    <xf numFmtId="42" fontId="0" fillId="0" borderId="0" xfId="0" applyNumberFormat="1"/>
    <xf numFmtId="0" fontId="2" fillId="0" borderId="17" xfId="0" applyFont="1" applyBorder="1" applyAlignment="1">
      <alignment horizontal="center"/>
    </xf>
    <xf numFmtId="42" fontId="2" fillId="0" borderId="17" xfId="7" applyFont="1" applyBorder="1" applyAlignment="1">
      <alignment horizontal="center"/>
    </xf>
    <xf numFmtId="0" fontId="0" fillId="0" borderId="17" xfId="0" applyBorder="1" applyAlignment="1">
      <alignment horizontal="center"/>
    </xf>
    <xf numFmtId="42" fontId="0" fillId="0" borderId="17" xfId="7" applyFont="1" applyBorder="1" applyAlignment="1">
      <alignment horizontal="center"/>
    </xf>
    <xf numFmtId="42" fontId="0" fillId="0" borderId="17" xfId="0" applyNumberFormat="1" applyBorder="1" applyAlignment="1">
      <alignment horizontal="center"/>
    </xf>
    <xf numFmtId="0" fontId="29" fillId="4" borderId="17" xfId="0" applyFont="1" applyFill="1" applyBorder="1" applyAlignment="1" applyProtection="1">
      <alignment horizontal="center" vertical="center" wrapText="1"/>
      <protection locked="0"/>
    </xf>
    <xf numFmtId="0" fontId="0" fillId="0" borderId="0" xfId="0" applyAlignment="1">
      <alignment horizontal="center" vertical="center"/>
    </xf>
    <xf numFmtId="0" fontId="29" fillId="0" borderId="0" xfId="0" applyFont="1" applyFill="1" applyBorder="1" applyAlignment="1" applyProtection="1">
      <protection locked="0"/>
    </xf>
    <xf numFmtId="0" fontId="29" fillId="4" borderId="17" xfId="0" applyFont="1" applyFill="1" applyBorder="1" applyAlignment="1" applyProtection="1">
      <alignment horizontal="center" vertical="center"/>
      <protection locked="0"/>
    </xf>
    <xf numFmtId="42" fontId="0" fillId="0" borderId="17" xfId="0" applyNumberForma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horizontal="center" vertical="center" wrapText="1"/>
    </xf>
    <xf numFmtId="42" fontId="2" fillId="0" borderId="17" xfId="0" applyNumberFormat="1" applyFont="1" applyBorder="1" applyAlignment="1">
      <alignment horizontal="center" vertical="center"/>
    </xf>
    <xf numFmtId="9" fontId="29" fillId="4" borderId="0" xfId="2" applyNumberFormat="1" applyFont="1" applyFill="1" applyProtection="1">
      <protection locked="0"/>
    </xf>
    <xf numFmtId="42" fontId="2" fillId="0" borderId="17" xfId="0" applyNumberFormat="1" applyFont="1" applyBorder="1" applyAlignment="1">
      <alignment horizontal="center"/>
    </xf>
    <xf numFmtId="9" fontId="0" fillId="0" borderId="0" xfId="2" applyFont="1"/>
    <xf numFmtId="0" fontId="54" fillId="4" borderId="17" xfId="0" applyFont="1" applyFill="1" applyBorder="1" applyAlignment="1" applyProtection="1">
      <alignment horizontal="left" vertical="center"/>
      <protection locked="0"/>
    </xf>
    <xf numFmtId="0" fontId="54" fillId="4" borderId="17" xfId="0" applyFont="1" applyFill="1" applyBorder="1" applyAlignment="1" applyProtection="1">
      <alignment horizontal="left" vertical="center" wrapText="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29" fillId="4" borderId="18" xfId="0" applyFont="1" applyFill="1" applyBorder="1" applyAlignment="1" applyProtection="1">
      <alignment horizontal="center" vertical="center"/>
      <protection locked="0"/>
    </xf>
    <xf numFmtId="0" fontId="29" fillId="4" borderId="19" xfId="0" applyFont="1" applyFill="1" applyBorder="1" applyAlignment="1" applyProtection="1">
      <alignment horizontal="center" vertical="center"/>
      <protection locked="0"/>
    </xf>
    <xf numFmtId="0" fontId="29" fillId="4" borderId="20" xfId="0" applyFont="1" applyFill="1" applyBorder="1" applyAlignment="1" applyProtection="1">
      <alignment horizontal="center" vertical="center"/>
      <protection locked="0"/>
    </xf>
    <xf numFmtId="0" fontId="2" fillId="0" borderId="17" xfId="0" applyFont="1" applyBorder="1" applyAlignment="1">
      <alignment horizontal="center"/>
    </xf>
    <xf numFmtId="0" fontId="29" fillId="4" borderId="18" xfId="0" applyFont="1" applyFill="1" applyBorder="1" applyAlignment="1" applyProtection="1">
      <alignment horizontal="center"/>
      <protection locked="0"/>
    </xf>
    <xf numFmtId="0" fontId="29" fillId="4" borderId="19" xfId="0" applyFont="1" applyFill="1" applyBorder="1" applyAlignment="1" applyProtection="1">
      <alignment horizontal="center"/>
      <protection locked="0"/>
    </xf>
    <xf numFmtId="0" fontId="29" fillId="4" borderId="20" xfId="0" applyFont="1" applyFill="1" applyBorder="1" applyAlignment="1" applyProtection="1">
      <alignment horizontal="center"/>
      <protection locked="0"/>
    </xf>
  </cellXfs>
  <cellStyles count="8">
    <cellStyle name="Hipervínculo" xfId="5" builtinId="8"/>
    <cellStyle name="Millares" xfId="4" builtinId="3"/>
    <cellStyle name="Millares_Modelo Financiero ACME Final 2" xfId="3"/>
    <cellStyle name="Moneda" xfId="1" builtinId="4"/>
    <cellStyle name="Moneda [0]" xfId="7" builtinId="7"/>
    <cellStyle name="Normal" xfId="0" builtinId="0"/>
    <cellStyle name="Normal 2" xfId="6"/>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12.520995278123774</c:v>
                </c:pt>
                <c:pt idx="2">
                  <c:v>25.041990556247548</c:v>
                </c:pt>
              </c:numCache>
            </c:numRef>
          </c:cat>
          <c:val>
            <c:numRef>
              <c:f>'5'!$C$33:$C$35</c:f>
              <c:numCache>
                <c:formatCode>_("$"\ * #,##0.00_);_("$"\ * \(#,##0.00\);_("$"\ * "-"??_);_(@_)</c:formatCode>
                <c:ptCount val="3"/>
                <c:pt idx="0">
                  <c:v>36200000</c:v>
                </c:pt>
                <c:pt idx="1">
                  <c:v>36200000</c:v>
                </c:pt>
                <c:pt idx="2">
                  <c:v>36200000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12.520995278123774</c:v>
                </c:pt>
                <c:pt idx="2">
                  <c:v>25.041990556247548</c:v>
                </c:pt>
              </c:numCache>
            </c:numRef>
          </c:cat>
          <c:val>
            <c:numRef>
              <c:f>'5'!$D$33:$D$35</c:f>
              <c:numCache>
                <c:formatCode>_("$"\ * #,##0.00_);_("$"\ * \(#,##0.00\);_("$"\ * "-"??_);_(@_)</c:formatCode>
                <c:ptCount val="3"/>
                <c:pt idx="0" formatCode="General">
                  <c:v>0</c:v>
                </c:pt>
                <c:pt idx="1">
                  <c:v>124756647.09865466</c:v>
                </c:pt>
                <c:pt idx="2">
                  <c:v>249513294.19730932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12.520995278123774</c:v>
                </c:pt>
                <c:pt idx="2">
                  <c:v>25.041990556247548</c:v>
                </c:pt>
              </c:numCache>
            </c:numRef>
          </c:cat>
          <c:val>
            <c:numRef>
              <c:f>'5'!$F$33:$F$35</c:f>
              <c:numCache>
                <c:formatCode>_("$"\ * #,##0.00_);_("$"\ * \(#,##0.00\);_("$"\ * "-"??_);_(@_)</c:formatCode>
                <c:ptCount val="3"/>
                <c:pt idx="0">
                  <c:v>36200000</c:v>
                </c:pt>
                <c:pt idx="1">
                  <c:v>124756647.09865467</c:v>
                </c:pt>
                <c:pt idx="2">
                  <c:v>213313294.19730935</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n-U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showGridLines="0" showRowColHeaders="0" view="pageBreakPreview" zoomScaleNormal="100" zoomScaleSheetLayoutView="100" workbookViewId="0">
      <selection activeCell="H33" sqref="H33"/>
    </sheetView>
  </sheetViews>
  <sheetFormatPr baseColWidth="10" defaultRowHeight="15"/>
  <sheetData>
    <row r="23" spans="7:8" ht="20.25">
      <c r="G23" s="169" t="s">
        <v>135</v>
      </c>
      <c r="H23" s="16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zoomScale="80" zoomScaleNormal="80" workbookViewId="0">
      <selection activeCell="D18" sqref="D18"/>
    </sheetView>
  </sheetViews>
  <sheetFormatPr baseColWidth="10" defaultRowHeight="15"/>
  <cols>
    <col min="1" max="1" width="22.5703125" style="15" customWidth="1"/>
    <col min="2" max="2" width="34.5703125" style="15" bestFit="1" customWidth="1"/>
    <col min="3" max="6" width="26" style="15" bestFit="1"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c r="A1" s="171" t="s">
        <v>5</v>
      </c>
      <c r="B1" s="171"/>
      <c r="C1" s="171"/>
      <c r="D1" s="171"/>
      <c r="E1" s="171"/>
      <c r="G1" s="172" t="s">
        <v>12</v>
      </c>
      <c r="H1" s="172"/>
      <c r="I1" s="172"/>
      <c r="J1" s="172"/>
      <c r="P1" s="15" t="s">
        <v>16</v>
      </c>
      <c r="Y1" s="16" t="s">
        <v>9</v>
      </c>
      <c r="Z1" s="51">
        <v>2021</v>
      </c>
      <c r="AA1" s="17"/>
    </row>
    <row r="2" spans="1:29" ht="32.25" customHeight="1" thickBot="1">
      <c r="B2" s="18" t="s">
        <v>4</v>
      </c>
      <c r="C2" s="19" t="s">
        <v>0</v>
      </c>
      <c r="D2" s="18" t="s">
        <v>7</v>
      </c>
      <c r="E2" s="19" t="s">
        <v>1</v>
      </c>
      <c r="F2" s="20" t="s">
        <v>27</v>
      </c>
      <c r="G2" s="21">
        <f>'1'!Z1+1</f>
        <v>2022</v>
      </c>
      <c r="H2" s="21">
        <f>G2+1</f>
        <v>2023</v>
      </c>
      <c r="I2" s="21">
        <f t="shared" ref="I2:J2" si="0">H2+1</f>
        <v>2024</v>
      </c>
      <c r="J2" s="21">
        <f t="shared" si="0"/>
        <v>2025</v>
      </c>
      <c r="L2" s="15">
        <f>G2</f>
        <v>2022</v>
      </c>
      <c r="M2" s="15">
        <f>H2</f>
        <v>2023</v>
      </c>
      <c r="N2" s="15">
        <f>M2+1</f>
        <v>2024</v>
      </c>
      <c r="O2" s="15">
        <f>N2+1</f>
        <v>2025</v>
      </c>
      <c r="P2" s="15" t="s">
        <v>13</v>
      </c>
      <c r="Q2" s="15" t="s">
        <v>11</v>
      </c>
      <c r="R2" s="15" t="s">
        <v>23</v>
      </c>
      <c r="S2" s="15" t="s">
        <v>24</v>
      </c>
      <c r="T2" s="15" t="s">
        <v>17</v>
      </c>
      <c r="U2" s="15" t="s">
        <v>18</v>
      </c>
      <c r="V2" s="15" t="s">
        <v>25</v>
      </c>
      <c r="W2" s="15" t="s">
        <v>26</v>
      </c>
      <c r="Y2" s="17"/>
      <c r="Z2" s="17"/>
      <c r="AA2" s="17"/>
    </row>
    <row r="3" spans="1:29" ht="24" thickBot="1">
      <c r="A3" s="22">
        <v>1</v>
      </c>
      <c r="B3" s="13" t="s">
        <v>160</v>
      </c>
      <c r="C3" s="57">
        <v>12</v>
      </c>
      <c r="D3" s="14">
        <v>13600000</v>
      </c>
      <c r="E3" s="23">
        <f>C3*D3</f>
        <v>163200000</v>
      </c>
      <c r="F3" s="24">
        <f>IF($E$13=0,0,E3/$E$13)</f>
        <v>0.56349699606380776</v>
      </c>
      <c r="G3" s="164">
        <v>0.01</v>
      </c>
      <c r="H3" s="164">
        <v>0.02</v>
      </c>
      <c r="I3" s="164">
        <v>0.03</v>
      </c>
      <c r="J3" s="164">
        <v>0.05</v>
      </c>
      <c r="K3" s="25"/>
      <c r="L3" s="15">
        <f t="shared" ref="L3:L12" si="1">C3*(1+G3)</f>
        <v>12.120000000000001</v>
      </c>
      <c r="M3" s="15">
        <f>L3*(1+H3)</f>
        <v>12.362400000000001</v>
      </c>
      <c r="N3" s="15">
        <f t="shared" ref="N3:O3" si="2">M3*(1+I3)</f>
        <v>12.733272000000001</v>
      </c>
      <c r="O3" s="15">
        <f t="shared" si="2"/>
        <v>13.369935600000002</v>
      </c>
      <c r="P3" s="26">
        <f>D3*(1+'1'!$Z$4)</f>
        <v>14062400</v>
      </c>
      <c r="Q3" s="26">
        <f>P3*(1+'1'!$AA$4)</f>
        <v>14554583.999999998</v>
      </c>
      <c r="R3" s="26">
        <f>Q3*(1+'1'!$AB$4)</f>
        <v>15063994.439999998</v>
      </c>
      <c r="S3" s="26">
        <f>R3*(1+'1'!$AC$4)</f>
        <v>15591234.245399997</v>
      </c>
      <c r="T3" s="27">
        <f>L3*P3</f>
        <v>170436288</v>
      </c>
      <c r="U3" s="27">
        <f>M3*Q3</f>
        <v>179929589.24159998</v>
      </c>
      <c r="V3" s="27">
        <f>N3*R3</f>
        <v>191813938.61100766</v>
      </c>
      <c r="W3" s="27">
        <f>O3*S3</f>
        <v>208453797.78551257</v>
      </c>
      <c r="X3" s="27"/>
      <c r="Y3" s="28" t="s">
        <v>10</v>
      </c>
      <c r="Z3" s="29">
        <f>G2</f>
        <v>2022</v>
      </c>
      <c r="AA3" s="29">
        <f>Z3+1</f>
        <v>2023</v>
      </c>
      <c r="AB3" s="29">
        <f t="shared" ref="AB3:AC3" si="3">AA3+1</f>
        <v>2024</v>
      </c>
      <c r="AC3" s="30">
        <f t="shared" si="3"/>
        <v>2025</v>
      </c>
    </row>
    <row r="4" spans="1:29" ht="23.25">
      <c r="A4" s="22">
        <f>A3+1</f>
        <v>2</v>
      </c>
      <c r="B4" s="13" t="s">
        <v>162</v>
      </c>
      <c r="C4" s="57">
        <v>12</v>
      </c>
      <c r="D4" s="14">
        <v>5375000</v>
      </c>
      <c r="E4" s="23">
        <f>C4*D4</f>
        <v>64500000</v>
      </c>
      <c r="F4" s="24">
        <f t="shared" ref="F4:F12" si="4">IF($E$13=0,0,E4/$E$13)</f>
        <v>0.22270561425315932</v>
      </c>
      <c r="G4" s="164">
        <v>0.01</v>
      </c>
      <c r="H4" s="164">
        <v>0.02</v>
      </c>
      <c r="I4" s="164">
        <v>0.03</v>
      </c>
      <c r="J4" s="164">
        <v>0.05</v>
      </c>
      <c r="K4" s="25"/>
      <c r="L4" s="15">
        <f t="shared" si="1"/>
        <v>12.120000000000001</v>
      </c>
      <c r="M4" s="15">
        <f t="shared" ref="M4:M12" si="5">L4*(1+H4)</f>
        <v>12.362400000000001</v>
      </c>
      <c r="N4" s="15">
        <f t="shared" ref="N4:N12" si="6">M4*(1+I4)</f>
        <v>12.733272000000001</v>
      </c>
      <c r="O4" s="15">
        <f t="shared" ref="O4:O12" si="7">N4*(1+J4)</f>
        <v>13.369935600000002</v>
      </c>
      <c r="P4" s="26">
        <f>D4*(1+'1'!$Z$4)</f>
        <v>5557750</v>
      </c>
      <c r="Q4" s="26">
        <f>P4*(1+'1'!$AA$4)</f>
        <v>5752271.25</v>
      </c>
      <c r="R4" s="26">
        <f>Q4*(1+'1'!$AB$4)</f>
        <v>5953600.7437499994</v>
      </c>
      <c r="S4" s="26">
        <f>R4*(1+'1'!$AC$4)</f>
        <v>6161976.7697812486</v>
      </c>
      <c r="T4" s="27">
        <f t="shared" ref="T4:T12" si="8">L4*P4</f>
        <v>67359930</v>
      </c>
      <c r="U4" s="27">
        <f t="shared" ref="U4:U12" si="9">M4*Q4</f>
        <v>71111878.101000011</v>
      </c>
      <c r="V4" s="27">
        <f t="shared" ref="V4:V12" si="10">N4*R4</f>
        <v>75808817.649571046</v>
      </c>
      <c r="W4" s="27">
        <f t="shared" ref="W4:W12" si="11">O4*S4</f>
        <v>82385232.580671325</v>
      </c>
      <c r="X4" s="27"/>
      <c r="Y4" s="129" t="s">
        <v>14</v>
      </c>
      <c r="Z4" s="52">
        <v>3.4000000000000002E-2</v>
      </c>
      <c r="AA4" s="52">
        <v>3.5000000000000003E-2</v>
      </c>
      <c r="AB4" s="52">
        <v>3.5000000000000003E-2</v>
      </c>
      <c r="AC4" s="53">
        <v>3.5000000000000003E-2</v>
      </c>
    </row>
    <row r="5" spans="1:29" ht="24" thickBot="1">
      <c r="A5" s="22">
        <f t="shared" ref="A5:A12" si="12">A4+1</f>
        <v>3</v>
      </c>
      <c r="B5" s="13" t="s">
        <v>163</v>
      </c>
      <c r="C5" s="57">
        <v>12</v>
      </c>
      <c r="D5" s="14">
        <v>5160000</v>
      </c>
      <c r="E5" s="23">
        <f t="shared" ref="E5:E12" si="13">C5*D5</f>
        <v>61920000</v>
      </c>
      <c r="F5" s="24">
        <f t="shared" si="4"/>
        <v>0.21379738968303294</v>
      </c>
      <c r="G5" s="164">
        <v>0.01</v>
      </c>
      <c r="H5" s="164">
        <v>0.02</v>
      </c>
      <c r="I5" s="164">
        <v>0.03</v>
      </c>
      <c r="J5" s="164">
        <v>0.05</v>
      </c>
      <c r="K5" s="25"/>
      <c r="L5" s="15">
        <f t="shared" si="1"/>
        <v>12.120000000000001</v>
      </c>
      <c r="M5" s="15">
        <f t="shared" si="5"/>
        <v>12.362400000000001</v>
      </c>
      <c r="N5" s="15">
        <f t="shared" si="6"/>
        <v>12.733272000000001</v>
      </c>
      <c r="O5" s="15">
        <f t="shared" si="7"/>
        <v>13.369935600000002</v>
      </c>
      <c r="P5" s="26">
        <f>D5*(1+'1'!$Z$4)</f>
        <v>5335440</v>
      </c>
      <c r="Q5" s="26">
        <f>P5*(1+'1'!$AA$4)</f>
        <v>5522180.3999999994</v>
      </c>
      <c r="R5" s="26">
        <f>Q5*(1+'1'!$AB$4)</f>
        <v>5715456.7139999988</v>
      </c>
      <c r="S5" s="26">
        <f>R5*(1+'1'!$AC$4)</f>
        <v>5915497.6989899985</v>
      </c>
      <c r="T5" s="27">
        <f t="shared" si="8"/>
        <v>64665532.800000004</v>
      </c>
      <c r="U5" s="27">
        <f t="shared" si="9"/>
        <v>68267402.976960003</v>
      </c>
      <c r="V5" s="27">
        <f t="shared" si="10"/>
        <v>72776464.943588197</v>
      </c>
      <c r="W5" s="27">
        <f t="shared" si="11"/>
        <v>79089823.277444482</v>
      </c>
      <c r="X5" s="27"/>
      <c r="Y5" s="130" t="s">
        <v>15</v>
      </c>
      <c r="Z5" s="54">
        <v>0</v>
      </c>
      <c r="AA5" s="54">
        <v>0</v>
      </c>
      <c r="AB5" s="54">
        <v>0</v>
      </c>
      <c r="AC5" s="55">
        <v>0</v>
      </c>
    </row>
    <row r="6" spans="1:29" ht="15.75" thickBot="1">
      <c r="A6" s="22">
        <f t="shared" si="12"/>
        <v>4</v>
      </c>
      <c r="B6" s="13"/>
      <c r="C6" s="57">
        <v>0</v>
      </c>
      <c r="D6" s="14">
        <v>0</v>
      </c>
      <c r="E6" s="23">
        <f>C6*D6</f>
        <v>0</v>
      </c>
      <c r="F6" s="24">
        <f t="shared" si="4"/>
        <v>0</v>
      </c>
      <c r="G6" s="50">
        <v>0</v>
      </c>
      <c r="H6" s="50">
        <v>0</v>
      </c>
      <c r="I6" s="50">
        <v>0</v>
      </c>
      <c r="J6" s="50">
        <v>0</v>
      </c>
      <c r="K6" s="25"/>
      <c r="L6" s="15">
        <f t="shared" si="1"/>
        <v>0</v>
      </c>
      <c r="M6" s="15">
        <f t="shared" si="5"/>
        <v>0</v>
      </c>
      <c r="N6" s="15">
        <f t="shared" si="6"/>
        <v>0</v>
      </c>
      <c r="O6" s="15">
        <f t="shared" si="7"/>
        <v>0</v>
      </c>
      <c r="P6" s="26">
        <f>D6*(1+'1'!$Z$4)</f>
        <v>0</v>
      </c>
      <c r="Q6" s="26">
        <f>P6*(1+'1'!$AA$4)</f>
        <v>0</v>
      </c>
      <c r="R6" s="26">
        <f>Q6*(1+'1'!$AB$4)</f>
        <v>0</v>
      </c>
      <c r="S6" s="26">
        <f>R6*(1+'1'!$AC$4)</f>
        <v>0</v>
      </c>
      <c r="T6" s="27">
        <f t="shared" si="8"/>
        <v>0</v>
      </c>
      <c r="U6" s="27">
        <f t="shared" si="9"/>
        <v>0</v>
      </c>
      <c r="V6" s="27">
        <f t="shared" si="10"/>
        <v>0</v>
      </c>
      <c r="W6" s="27">
        <f t="shared" si="11"/>
        <v>0</v>
      </c>
      <c r="X6" s="27"/>
    </row>
    <row r="7" spans="1:29" ht="24" thickBot="1">
      <c r="A7" s="22">
        <f t="shared" si="12"/>
        <v>5</v>
      </c>
      <c r="B7" s="13"/>
      <c r="C7" s="57">
        <v>0</v>
      </c>
      <c r="D7" s="14">
        <v>0</v>
      </c>
      <c r="E7" s="23">
        <f t="shared" si="13"/>
        <v>0</v>
      </c>
      <c r="F7" s="24">
        <f t="shared" si="4"/>
        <v>0</v>
      </c>
      <c r="G7" s="50">
        <v>0</v>
      </c>
      <c r="H7" s="50">
        <v>0</v>
      </c>
      <c r="I7" s="50">
        <v>0</v>
      </c>
      <c r="J7" s="50">
        <v>0</v>
      </c>
      <c r="K7" s="25"/>
      <c r="L7" s="15">
        <f t="shared" si="1"/>
        <v>0</v>
      </c>
      <c r="M7" s="15">
        <f t="shared" si="5"/>
        <v>0</v>
      </c>
      <c r="N7" s="15">
        <f t="shared" si="6"/>
        <v>0</v>
      </c>
      <c r="O7" s="15">
        <f t="shared" si="7"/>
        <v>0</v>
      </c>
      <c r="P7" s="26">
        <f>D7*(1+'1'!$Z$4)</f>
        <v>0</v>
      </c>
      <c r="Q7" s="26">
        <f>P7*(1+'1'!$AA$4)</f>
        <v>0</v>
      </c>
      <c r="R7" s="26">
        <f>Q7*(1+'1'!$AB$4)</f>
        <v>0</v>
      </c>
      <c r="S7" s="26">
        <f>R7*(1+'1'!$AC$4)</f>
        <v>0</v>
      </c>
      <c r="T7" s="27">
        <f t="shared" si="8"/>
        <v>0</v>
      </c>
      <c r="U7" s="27">
        <f t="shared" si="9"/>
        <v>0</v>
      </c>
      <c r="V7" s="27">
        <f t="shared" si="10"/>
        <v>0</v>
      </c>
      <c r="W7" s="27">
        <f t="shared" si="11"/>
        <v>0</v>
      </c>
      <c r="X7" s="27"/>
      <c r="Y7" s="31" t="s">
        <v>91</v>
      </c>
      <c r="Z7" s="32"/>
      <c r="AA7" s="32"/>
      <c r="AB7" s="56">
        <v>0.31</v>
      </c>
      <c r="AC7" s="33"/>
    </row>
    <row r="8" spans="1:29">
      <c r="A8" s="22">
        <f t="shared" si="12"/>
        <v>6</v>
      </c>
      <c r="B8" s="13"/>
      <c r="C8" s="57">
        <v>0</v>
      </c>
      <c r="D8" s="14">
        <v>0</v>
      </c>
      <c r="E8" s="23">
        <f t="shared" si="13"/>
        <v>0</v>
      </c>
      <c r="F8" s="24">
        <f t="shared" si="4"/>
        <v>0</v>
      </c>
      <c r="G8" s="50">
        <v>0</v>
      </c>
      <c r="H8" s="50">
        <v>0</v>
      </c>
      <c r="I8" s="50">
        <v>0</v>
      </c>
      <c r="J8" s="50">
        <v>0</v>
      </c>
      <c r="K8" s="25"/>
      <c r="L8" s="15">
        <f t="shared" si="1"/>
        <v>0</v>
      </c>
      <c r="M8" s="15">
        <f t="shared" si="5"/>
        <v>0</v>
      </c>
      <c r="N8" s="15">
        <f t="shared" si="6"/>
        <v>0</v>
      </c>
      <c r="O8" s="15">
        <f t="shared" si="7"/>
        <v>0</v>
      </c>
      <c r="P8" s="26">
        <f>D8*(1+'1'!$Z$4)</f>
        <v>0</v>
      </c>
      <c r="Q8" s="26">
        <f>P8*(1+'1'!$AA$4)</f>
        <v>0</v>
      </c>
      <c r="R8" s="26">
        <f>Q8*(1+'1'!$AB$4)</f>
        <v>0</v>
      </c>
      <c r="S8" s="26">
        <f>R8*(1+'1'!$AC$4)</f>
        <v>0</v>
      </c>
      <c r="T8" s="27">
        <f t="shared" si="8"/>
        <v>0</v>
      </c>
      <c r="U8" s="27">
        <f t="shared" si="9"/>
        <v>0</v>
      </c>
      <c r="V8" s="27">
        <f t="shared" si="10"/>
        <v>0</v>
      </c>
      <c r="W8" s="27">
        <f t="shared" si="11"/>
        <v>0</v>
      </c>
      <c r="X8" s="27"/>
    </row>
    <row r="9" spans="1:29">
      <c r="A9" s="22">
        <f t="shared" si="12"/>
        <v>7</v>
      </c>
      <c r="B9" s="13"/>
      <c r="C9" s="57">
        <v>0</v>
      </c>
      <c r="D9" s="14">
        <v>0</v>
      </c>
      <c r="E9" s="23">
        <f t="shared" si="13"/>
        <v>0</v>
      </c>
      <c r="F9" s="24">
        <f t="shared" si="4"/>
        <v>0</v>
      </c>
      <c r="G9" s="50">
        <v>0</v>
      </c>
      <c r="H9" s="50">
        <v>0</v>
      </c>
      <c r="I9" s="50">
        <v>0</v>
      </c>
      <c r="J9" s="50">
        <v>0</v>
      </c>
      <c r="K9" s="25"/>
      <c r="L9" s="15">
        <f t="shared" si="1"/>
        <v>0</v>
      </c>
      <c r="M9" s="15">
        <f t="shared" si="5"/>
        <v>0</v>
      </c>
      <c r="N9" s="15">
        <f t="shared" si="6"/>
        <v>0</v>
      </c>
      <c r="O9" s="15">
        <f t="shared" si="7"/>
        <v>0</v>
      </c>
      <c r="P9" s="26">
        <f>D9*(1+'1'!$Z$4)</f>
        <v>0</v>
      </c>
      <c r="Q9" s="26">
        <f>P9*(1+'1'!$AA$4)</f>
        <v>0</v>
      </c>
      <c r="R9" s="26">
        <f>Q9*(1+'1'!$AB$4)</f>
        <v>0</v>
      </c>
      <c r="S9" s="26">
        <f>R9*(1+'1'!$AC$4)</f>
        <v>0</v>
      </c>
      <c r="T9" s="27">
        <f t="shared" si="8"/>
        <v>0</v>
      </c>
      <c r="U9" s="27">
        <f t="shared" si="9"/>
        <v>0</v>
      </c>
      <c r="V9" s="27">
        <f t="shared" si="10"/>
        <v>0</v>
      </c>
      <c r="W9" s="27">
        <f t="shared" si="11"/>
        <v>0</v>
      </c>
      <c r="X9" s="27"/>
    </row>
    <row r="10" spans="1:29">
      <c r="A10" s="22">
        <f t="shared" si="12"/>
        <v>8</v>
      </c>
      <c r="B10" s="13"/>
      <c r="C10" s="57">
        <v>0</v>
      </c>
      <c r="D10" s="14">
        <v>0</v>
      </c>
      <c r="E10" s="23">
        <f t="shared" si="13"/>
        <v>0</v>
      </c>
      <c r="F10" s="24">
        <f t="shared" si="4"/>
        <v>0</v>
      </c>
      <c r="G10" s="50">
        <v>0</v>
      </c>
      <c r="H10" s="50">
        <v>0</v>
      </c>
      <c r="I10" s="50">
        <v>0</v>
      </c>
      <c r="J10" s="50">
        <v>0</v>
      </c>
      <c r="K10" s="25"/>
      <c r="L10" s="15">
        <f t="shared" si="1"/>
        <v>0</v>
      </c>
      <c r="M10" s="15">
        <f t="shared" si="5"/>
        <v>0</v>
      </c>
      <c r="N10" s="15">
        <f t="shared" si="6"/>
        <v>0</v>
      </c>
      <c r="O10" s="15">
        <f t="shared" si="7"/>
        <v>0</v>
      </c>
      <c r="P10" s="26">
        <f>D10*(1+'1'!$Z$4)</f>
        <v>0</v>
      </c>
      <c r="Q10" s="26">
        <f>P10*(1+'1'!$AA$4)</f>
        <v>0</v>
      </c>
      <c r="R10" s="26">
        <f>Q10*(1+'1'!$AB$4)</f>
        <v>0</v>
      </c>
      <c r="S10" s="26">
        <f>R10*(1+'1'!$AC$4)</f>
        <v>0</v>
      </c>
      <c r="T10" s="27">
        <f t="shared" si="8"/>
        <v>0</v>
      </c>
      <c r="U10" s="27">
        <f t="shared" si="9"/>
        <v>0</v>
      </c>
      <c r="V10" s="27">
        <f t="shared" si="10"/>
        <v>0</v>
      </c>
      <c r="W10" s="27">
        <f t="shared" si="11"/>
        <v>0</v>
      </c>
      <c r="X10" s="27"/>
    </row>
    <row r="11" spans="1:29">
      <c r="A11" s="22">
        <f t="shared" si="12"/>
        <v>9</v>
      </c>
      <c r="B11" s="13"/>
      <c r="C11" s="57">
        <v>0</v>
      </c>
      <c r="D11" s="14">
        <v>0</v>
      </c>
      <c r="E11" s="23">
        <f t="shared" si="13"/>
        <v>0</v>
      </c>
      <c r="F11" s="24">
        <f t="shared" si="4"/>
        <v>0</v>
      </c>
      <c r="G11" s="50">
        <v>0</v>
      </c>
      <c r="H11" s="50">
        <v>0</v>
      </c>
      <c r="I11" s="50">
        <v>0</v>
      </c>
      <c r="J11" s="50">
        <v>0</v>
      </c>
      <c r="K11" s="25"/>
      <c r="L11" s="15">
        <f t="shared" si="1"/>
        <v>0</v>
      </c>
      <c r="M11" s="15">
        <f t="shared" si="5"/>
        <v>0</v>
      </c>
      <c r="N11" s="15">
        <f t="shared" si="6"/>
        <v>0</v>
      </c>
      <c r="O11" s="15">
        <f t="shared" si="7"/>
        <v>0</v>
      </c>
      <c r="P11" s="26">
        <f>D11*(1+'1'!$Z$4)</f>
        <v>0</v>
      </c>
      <c r="Q11" s="26">
        <f>P11*(1+'1'!$AA$4)</f>
        <v>0</v>
      </c>
      <c r="R11" s="26">
        <f>Q11*(1+'1'!$AB$4)</f>
        <v>0</v>
      </c>
      <c r="S11" s="26">
        <f>R11*(1+'1'!$AC$4)</f>
        <v>0</v>
      </c>
      <c r="T11" s="27">
        <f t="shared" si="8"/>
        <v>0</v>
      </c>
      <c r="U11" s="27">
        <f t="shared" si="9"/>
        <v>0</v>
      </c>
      <c r="V11" s="27">
        <f t="shared" si="10"/>
        <v>0</v>
      </c>
      <c r="W11" s="27">
        <f t="shared" si="11"/>
        <v>0</v>
      </c>
      <c r="X11" s="27"/>
    </row>
    <row r="12" spans="1:29">
      <c r="A12" s="22">
        <f t="shared" si="12"/>
        <v>10</v>
      </c>
      <c r="B12" s="13"/>
      <c r="C12" s="57">
        <v>0</v>
      </c>
      <c r="D12" s="14">
        <v>0</v>
      </c>
      <c r="E12" s="23">
        <f t="shared" si="13"/>
        <v>0</v>
      </c>
      <c r="F12" s="24">
        <f t="shared" si="4"/>
        <v>0</v>
      </c>
      <c r="G12" s="50">
        <v>0</v>
      </c>
      <c r="H12" s="50">
        <v>0</v>
      </c>
      <c r="I12" s="50">
        <v>0</v>
      </c>
      <c r="J12" s="50">
        <v>0</v>
      </c>
      <c r="K12" s="25"/>
      <c r="L12" s="15">
        <f t="shared" si="1"/>
        <v>0</v>
      </c>
      <c r="M12" s="15">
        <f t="shared" si="5"/>
        <v>0</v>
      </c>
      <c r="N12" s="15">
        <f t="shared" si="6"/>
        <v>0</v>
      </c>
      <c r="O12" s="15">
        <f t="shared" si="7"/>
        <v>0</v>
      </c>
      <c r="P12" s="26">
        <f>D12*(1+'1'!$Z$4)</f>
        <v>0</v>
      </c>
      <c r="Q12" s="26">
        <f>P12*(1+'1'!$AA$4)</f>
        <v>0</v>
      </c>
      <c r="R12" s="26">
        <f>Q12*(1+'1'!$AB$4)</f>
        <v>0</v>
      </c>
      <c r="S12" s="26">
        <f>R12*(1+'1'!$AC$4)</f>
        <v>0</v>
      </c>
      <c r="T12" s="27">
        <f t="shared" si="8"/>
        <v>0</v>
      </c>
      <c r="U12" s="27">
        <f t="shared" si="9"/>
        <v>0</v>
      </c>
      <c r="V12" s="27">
        <f t="shared" si="10"/>
        <v>0</v>
      </c>
      <c r="W12" s="27">
        <f t="shared" si="11"/>
        <v>0</v>
      </c>
      <c r="X12" s="27"/>
    </row>
    <row r="13" spans="1:29">
      <c r="D13" s="15" t="s">
        <v>8</v>
      </c>
      <c r="E13" s="34">
        <f>SUM(E3:E12)</f>
        <v>289620000</v>
      </c>
      <c r="F13" s="35">
        <f>SUM(F3:F12)</f>
        <v>1</v>
      </c>
      <c r="T13" s="36">
        <f>SUM(T3:T12)</f>
        <v>302461750.80000001</v>
      </c>
      <c r="U13" s="36">
        <f>SUM(U3:U12)</f>
        <v>319308870.31955999</v>
      </c>
      <c r="V13" s="36">
        <f>SUM(V3:V12)</f>
        <v>340399221.20416689</v>
      </c>
      <c r="W13" s="36">
        <f>SUM(W3:W12)</f>
        <v>369928853.64362836</v>
      </c>
      <c r="X13" s="27"/>
    </row>
    <row r="15" spans="1:29" ht="23.25" customHeight="1">
      <c r="A15" s="171" t="s">
        <v>6</v>
      </c>
      <c r="B15" s="171"/>
      <c r="C15" s="171"/>
      <c r="D15" s="171"/>
      <c r="E15" s="171"/>
      <c r="G15" s="37"/>
    </row>
    <row r="16" spans="1:29" ht="25.5" customHeight="1">
      <c r="B16" s="18" t="s">
        <v>3</v>
      </c>
      <c r="C16" s="38" t="s">
        <v>0</v>
      </c>
      <c r="D16" s="122" t="s">
        <v>137</v>
      </c>
      <c r="E16" s="19" t="s">
        <v>2</v>
      </c>
      <c r="L16" s="15">
        <f>L2</f>
        <v>2022</v>
      </c>
      <c r="M16" s="15">
        <f t="shared" ref="M16:W16" si="14">M2</f>
        <v>2023</v>
      </c>
      <c r="N16" s="15">
        <f t="shared" si="14"/>
        <v>2024</v>
      </c>
      <c r="O16" s="15">
        <f t="shared" si="14"/>
        <v>2025</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2">
        <f>A3</f>
        <v>1</v>
      </c>
      <c r="B17" s="98" t="str">
        <f>B3</f>
        <v>Servicio de Consultoria en GP</v>
      </c>
      <c r="C17" s="40">
        <f>C3</f>
        <v>12</v>
      </c>
      <c r="D17" s="14">
        <f>'Cálculo Tarifas'!D49</f>
        <v>9047222.222222222</v>
      </c>
      <c r="E17" s="23">
        <f>C17*D17</f>
        <v>108566666.66666666</v>
      </c>
      <c r="F17" s="24">
        <f>IF($E$27=0,0,E17/$E$27)</f>
        <v>0.5</v>
      </c>
      <c r="L17" s="15">
        <f t="shared" ref="L17:L26" si="15">C17*(1+G3)</f>
        <v>12.120000000000001</v>
      </c>
      <c r="M17" s="15">
        <f>L17*(1+H3)</f>
        <v>12.362400000000001</v>
      </c>
      <c r="N17" s="15">
        <f t="shared" ref="N17:O17" si="16">M17*(1+I3)</f>
        <v>12.733272000000001</v>
      </c>
      <c r="O17" s="15">
        <f t="shared" si="16"/>
        <v>13.369935600000002</v>
      </c>
      <c r="P17" s="41">
        <f>D17*(1+'1'!$Z$5)</f>
        <v>9047222.222222222</v>
      </c>
      <c r="Q17" s="26">
        <f>P17*(1+'1'!$AA$5)</f>
        <v>9047222.222222222</v>
      </c>
      <c r="R17" s="26">
        <f>Q17*(1+'1'!$AB$5)</f>
        <v>9047222.222222222</v>
      </c>
      <c r="S17" s="26">
        <f>R17*(1+'1'!$AC$5)</f>
        <v>9047222.222222222</v>
      </c>
      <c r="T17" s="41">
        <f t="shared" ref="T17:U19" si="17">L17*P17</f>
        <v>109652333.33333334</v>
      </c>
      <c r="U17" s="27">
        <f t="shared" si="17"/>
        <v>111845380</v>
      </c>
      <c r="V17" s="27">
        <f t="shared" ref="V17:W17" si="18">N17*R17</f>
        <v>115200741.40000001</v>
      </c>
      <c r="W17" s="27">
        <f t="shared" si="18"/>
        <v>120960778.47000001</v>
      </c>
      <c r="X17" s="27"/>
    </row>
    <row r="18" spans="1:24">
      <c r="A18" s="22">
        <f t="shared" ref="A18:B25" si="19">A4</f>
        <v>2</v>
      </c>
      <c r="B18" s="42" t="str">
        <f t="shared" si="19"/>
        <v>AsesorÍa en implementación de sofware especializado en GP</v>
      </c>
      <c r="C18" s="40">
        <f t="shared" ref="C18:C26" si="20">C4</f>
        <v>12</v>
      </c>
      <c r="D18" s="14">
        <f>'Cálculo Tarifas'!D50</f>
        <v>4523611.111111111</v>
      </c>
      <c r="E18" s="23">
        <f t="shared" ref="E18:E26" si="21">C18*D18</f>
        <v>54283333.333333328</v>
      </c>
      <c r="F18" s="24">
        <f t="shared" ref="F18:F26" si="22">IF($E$27=0,0,E18/$E$27)</f>
        <v>0.25</v>
      </c>
      <c r="L18" s="15">
        <f t="shared" si="15"/>
        <v>12.120000000000001</v>
      </c>
      <c r="M18" s="15">
        <f t="shared" ref="M18:M26" si="23">L18*(1+H4)</f>
        <v>12.362400000000001</v>
      </c>
      <c r="N18" s="15">
        <f t="shared" ref="N18:N26" si="24">M18*(1+I4)</f>
        <v>12.733272000000001</v>
      </c>
      <c r="O18" s="15">
        <f t="shared" ref="O18:O26" si="25">N18*(1+J4)</f>
        <v>13.369935600000002</v>
      </c>
      <c r="P18" s="41">
        <f>D18*(1+'1'!$Z$5)</f>
        <v>4523611.111111111</v>
      </c>
      <c r="Q18" s="26">
        <f>P18*(1+'1'!$AA$5)</f>
        <v>4523611.111111111</v>
      </c>
      <c r="R18" s="26">
        <f>Q18*(1+'1'!$AB$5)</f>
        <v>4523611.111111111</v>
      </c>
      <c r="S18" s="26">
        <f>R18*(1+'1'!$AC$5)</f>
        <v>4523611.111111111</v>
      </c>
      <c r="T18" s="41">
        <f t="shared" si="17"/>
        <v>54826166.666666672</v>
      </c>
      <c r="U18" s="27">
        <f t="shared" si="17"/>
        <v>55922690</v>
      </c>
      <c r="V18" s="27">
        <f t="shared" ref="V18:V26" si="26">N18*R18</f>
        <v>57600370.700000003</v>
      </c>
      <c r="W18" s="27">
        <f t="shared" ref="W18:W26" si="27">O18*S18</f>
        <v>60480389.235000007</v>
      </c>
      <c r="X18" s="27"/>
    </row>
    <row r="19" spans="1:24">
      <c r="A19" s="22">
        <f t="shared" si="19"/>
        <v>3</v>
      </c>
      <c r="B19" s="42" t="str">
        <f t="shared" si="19"/>
        <v>Capacitaciones en temas espesíficos en la GP</v>
      </c>
      <c r="C19" s="40">
        <f t="shared" si="20"/>
        <v>12</v>
      </c>
      <c r="D19" s="14">
        <f>'Cálculo Tarifas'!D51</f>
        <v>4523611.111111111</v>
      </c>
      <c r="E19" s="23">
        <f t="shared" si="21"/>
        <v>54283333.333333328</v>
      </c>
      <c r="F19" s="24">
        <f t="shared" si="22"/>
        <v>0.25</v>
      </c>
      <c r="L19" s="15">
        <f t="shared" si="15"/>
        <v>12.120000000000001</v>
      </c>
      <c r="M19" s="15">
        <f t="shared" si="23"/>
        <v>12.362400000000001</v>
      </c>
      <c r="N19" s="15">
        <f t="shared" si="24"/>
        <v>12.733272000000001</v>
      </c>
      <c r="O19" s="15">
        <f t="shared" si="25"/>
        <v>13.369935600000002</v>
      </c>
      <c r="P19" s="41">
        <f>D19*(1+'1'!$Z$5)</f>
        <v>4523611.111111111</v>
      </c>
      <c r="Q19" s="26">
        <f>P19*(1+'1'!$AA$5)</f>
        <v>4523611.111111111</v>
      </c>
      <c r="R19" s="26">
        <f>Q19*(1+'1'!$AB$5)</f>
        <v>4523611.111111111</v>
      </c>
      <c r="S19" s="26">
        <f>R19*(1+'1'!$AC$5)</f>
        <v>4523611.111111111</v>
      </c>
      <c r="T19" s="41">
        <f t="shared" si="17"/>
        <v>54826166.666666672</v>
      </c>
      <c r="U19" s="27">
        <f t="shared" si="17"/>
        <v>55922690</v>
      </c>
      <c r="V19" s="27">
        <f t="shared" si="26"/>
        <v>57600370.700000003</v>
      </c>
      <c r="W19" s="27">
        <f t="shared" si="27"/>
        <v>60480389.235000007</v>
      </c>
      <c r="X19" s="27"/>
    </row>
    <row r="20" spans="1:24">
      <c r="A20" s="22">
        <f t="shared" si="19"/>
        <v>4</v>
      </c>
      <c r="B20" s="42">
        <f t="shared" si="19"/>
        <v>0</v>
      </c>
      <c r="C20" s="40">
        <f t="shared" si="20"/>
        <v>0</v>
      </c>
      <c r="D20" s="14">
        <v>0</v>
      </c>
      <c r="E20" s="23">
        <f t="shared" si="21"/>
        <v>0</v>
      </c>
      <c r="F20" s="24">
        <f t="shared" si="22"/>
        <v>0</v>
      </c>
      <c r="L20" s="15">
        <f t="shared" si="15"/>
        <v>0</v>
      </c>
      <c r="M20" s="15">
        <f t="shared" si="23"/>
        <v>0</v>
      </c>
      <c r="N20" s="15">
        <f t="shared" si="24"/>
        <v>0</v>
      </c>
      <c r="O20" s="15">
        <f t="shared" si="25"/>
        <v>0</v>
      </c>
      <c r="P20" s="41">
        <f>D20*(1+'1'!$Z$5)</f>
        <v>0</v>
      </c>
      <c r="Q20" s="26">
        <f>P20*(1+'1'!$AA$5)</f>
        <v>0</v>
      </c>
      <c r="R20" s="26">
        <f>Q20*(1+'1'!$AB$5)</f>
        <v>0</v>
      </c>
      <c r="S20" s="26">
        <f>R20*(1+'1'!$AC$5)</f>
        <v>0</v>
      </c>
      <c r="T20" s="41">
        <f t="shared" ref="T20:T26" si="28">L20*P20</f>
        <v>0</v>
      </c>
      <c r="U20" s="27">
        <f t="shared" ref="U20:U26" si="29">M20*Q20</f>
        <v>0</v>
      </c>
      <c r="V20" s="27">
        <f t="shared" si="26"/>
        <v>0</v>
      </c>
      <c r="W20" s="27">
        <f t="shared" si="27"/>
        <v>0</v>
      </c>
      <c r="X20" s="27"/>
    </row>
    <row r="21" spans="1:24">
      <c r="A21" s="22">
        <f t="shared" si="19"/>
        <v>5</v>
      </c>
      <c r="B21" s="42">
        <f t="shared" si="19"/>
        <v>0</v>
      </c>
      <c r="C21" s="40">
        <f t="shared" si="20"/>
        <v>0</v>
      </c>
      <c r="D21" s="14">
        <v>0</v>
      </c>
      <c r="E21" s="23">
        <f t="shared" si="21"/>
        <v>0</v>
      </c>
      <c r="F21" s="24">
        <f t="shared" si="22"/>
        <v>0</v>
      </c>
      <c r="L21" s="15">
        <f t="shared" si="15"/>
        <v>0</v>
      </c>
      <c r="M21" s="15">
        <f t="shared" si="23"/>
        <v>0</v>
      </c>
      <c r="N21" s="15">
        <f t="shared" si="24"/>
        <v>0</v>
      </c>
      <c r="O21" s="15">
        <f t="shared" si="25"/>
        <v>0</v>
      </c>
      <c r="P21" s="41">
        <f>D21*(1+'1'!$Z$5)</f>
        <v>0</v>
      </c>
      <c r="Q21" s="26">
        <f>P21*(1+'1'!$AA$5)</f>
        <v>0</v>
      </c>
      <c r="R21" s="26">
        <f>Q21*(1+'1'!$AB$5)</f>
        <v>0</v>
      </c>
      <c r="S21" s="26">
        <f>R21*(1+'1'!$AC$5)</f>
        <v>0</v>
      </c>
      <c r="T21" s="41">
        <f t="shared" si="28"/>
        <v>0</v>
      </c>
      <c r="U21" s="27">
        <f t="shared" si="29"/>
        <v>0</v>
      </c>
      <c r="V21" s="27">
        <f t="shared" si="26"/>
        <v>0</v>
      </c>
      <c r="W21" s="27">
        <f t="shared" si="27"/>
        <v>0</v>
      </c>
      <c r="X21" s="27"/>
    </row>
    <row r="22" spans="1:24">
      <c r="A22" s="22">
        <f t="shared" si="19"/>
        <v>6</v>
      </c>
      <c r="B22" s="42">
        <f t="shared" si="19"/>
        <v>0</v>
      </c>
      <c r="C22" s="40">
        <f t="shared" si="20"/>
        <v>0</v>
      </c>
      <c r="D22" s="14">
        <v>0</v>
      </c>
      <c r="E22" s="23">
        <f t="shared" si="21"/>
        <v>0</v>
      </c>
      <c r="F22" s="24">
        <f t="shared" si="22"/>
        <v>0</v>
      </c>
      <c r="L22" s="15">
        <f t="shared" si="15"/>
        <v>0</v>
      </c>
      <c r="M22" s="15">
        <f t="shared" si="23"/>
        <v>0</v>
      </c>
      <c r="N22" s="15">
        <f t="shared" si="24"/>
        <v>0</v>
      </c>
      <c r="O22" s="15">
        <f t="shared" si="25"/>
        <v>0</v>
      </c>
      <c r="P22" s="41">
        <f>D22*(1+'1'!$Z$5)</f>
        <v>0</v>
      </c>
      <c r="Q22" s="26">
        <f>P22*(1+'1'!$AA$5)</f>
        <v>0</v>
      </c>
      <c r="R22" s="26">
        <f>Q22*(1+'1'!$AB$5)</f>
        <v>0</v>
      </c>
      <c r="S22" s="26">
        <f>R22*(1+'1'!$AC$5)</f>
        <v>0</v>
      </c>
      <c r="T22" s="41">
        <f t="shared" si="28"/>
        <v>0</v>
      </c>
      <c r="U22" s="27">
        <f t="shared" si="29"/>
        <v>0</v>
      </c>
      <c r="V22" s="27">
        <f t="shared" si="26"/>
        <v>0</v>
      </c>
      <c r="W22" s="27">
        <f t="shared" si="27"/>
        <v>0</v>
      </c>
      <c r="X22" s="27"/>
    </row>
    <row r="23" spans="1:24">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c r="D27" s="15" t="str">
        <f>D13</f>
        <v>TOTAL</v>
      </c>
      <c r="E27" s="34">
        <f>SUM(E17:E26)</f>
        <v>217133333.33333331</v>
      </c>
      <c r="F27" s="35">
        <f>SUM(F17:F26)</f>
        <v>1</v>
      </c>
      <c r="T27" s="36">
        <f>SUM(T17:T26)</f>
        <v>219304666.66666669</v>
      </c>
      <c r="U27" s="36">
        <f>SUM(U17:U26)</f>
        <v>223690760</v>
      </c>
      <c r="V27" s="36">
        <f t="shared" ref="V27:W27" si="31">SUM(V17:V26)</f>
        <v>230401482.80000001</v>
      </c>
      <c r="W27" s="36">
        <f t="shared" si="31"/>
        <v>241921556.94000003</v>
      </c>
      <c r="X27" s="27"/>
    </row>
    <row r="30" spans="1:24">
      <c r="A30" s="170" t="s">
        <v>19</v>
      </c>
      <c r="B30" s="170"/>
      <c r="C30" s="170"/>
      <c r="D30" s="170"/>
      <c r="E30" s="170"/>
      <c r="F30" s="170"/>
    </row>
    <row r="31" spans="1:24" ht="25.5">
      <c r="A31" s="43" t="s">
        <v>10</v>
      </c>
      <c r="B31" s="44">
        <f>'1'!Z1</f>
        <v>2021</v>
      </c>
      <c r="C31" s="44">
        <f>B31+1</f>
        <v>2022</v>
      </c>
      <c r="D31" s="44">
        <f>C31+1</f>
        <v>2023</v>
      </c>
      <c r="E31" s="44">
        <f>D31+1</f>
        <v>2024</v>
      </c>
      <c r="F31" s="44">
        <f>E31+1</f>
        <v>2025</v>
      </c>
      <c r="H31" s="45"/>
      <c r="I31" s="45"/>
      <c r="J31" s="45"/>
      <c r="K31" s="45"/>
      <c r="L31" s="45"/>
      <c r="M31" s="45"/>
      <c r="N31" s="45"/>
      <c r="O31" s="45"/>
      <c r="P31" s="45"/>
      <c r="Q31" s="45"/>
      <c r="R31" s="45"/>
      <c r="S31" s="45"/>
      <c r="T31" s="45"/>
      <c r="U31" s="45"/>
      <c r="V31" s="45"/>
    </row>
    <row r="32" spans="1:24">
      <c r="A32" s="46" t="s">
        <v>20</v>
      </c>
      <c r="B32" s="47">
        <f>'1'!E13</f>
        <v>289620000</v>
      </c>
      <c r="C32" s="48">
        <f>'1'!T13</f>
        <v>302461750.80000001</v>
      </c>
      <c r="D32" s="48">
        <f>'1'!U13</f>
        <v>319308870.31955999</v>
      </c>
      <c r="E32" s="48">
        <f>'1'!V13</f>
        <v>340399221.20416689</v>
      </c>
      <c r="F32" s="48">
        <f>'1'!W13</f>
        <v>369928853.64362836</v>
      </c>
    </row>
    <row r="33" spans="1:6">
      <c r="A33" s="46" t="s">
        <v>21</v>
      </c>
      <c r="B33" s="47">
        <f>'1'!E27</f>
        <v>217133333.33333331</v>
      </c>
      <c r="C33" s="47">
        <f>'1'!T27</f>
        <v>219304666.66666669</v>
      </c>
      <c r="D33" s="47">
        <f>'1'!U27</f>
        <v>223690760</v>
      </c>
      <c r="E33" s="47">
        <f>'1'!V27</f>
        <v>230401482.80000001</v>
      </c>
      <c r="F33" s="47">
        <f>'1'!W27</f>
        <v>241921556.94000003</v>
      </c>
    </row>
    <row r="34" spans="1:6" ht="21" thickBot="1">
      <c r="A34" s="49" t="s">
        <v>22</v>
      </c>
      <c r="B34" s="128">
        <f>B32-B33</f>
        <v>72486666.666666687</v>
      </c>
      <c r="C34" s="128">
        <f t="shared" ref="C34:D34" si="32">C32-C33</f>
        <v>83157084.133333325</v>
      </c>
      <c r="D34" s="128">
        <f t="shared" si="32"/>
        <v>95618110.319559991</v>
      </c>
      <c r="E34" s="128">
        <f t="shared" ref="E34" si="33">E32-E33</f>
        <v>109997738.40416688</v>
      </c>
      <c r="F34" s="128">
        <f t="shared" ref="F34" si="34">F32-F33</f>
        <v>128007296.70362833</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workbookViewId="0">
      <pane ySplit="14" topLeftCell="A15" activePane="bottomLeft" state="frozenSplit"/>
      <selection activeCell="B40" sqref="B40"/>
      <selection pane="bottomLeft" activeCell="F18" sqref="F18"/>
    </sheetView>
  </sheetViews>
  <sheetFormatPr baseColWidth="10" defaultRowHeight="15"/>
  <cols>
    <col min="1" max="1" width="5.42578125" style="15" customWidth="1"/>
    <col min="2" max="2" width="29.42578125" style="15" bestFit="1" customWidth="1"/>
    <col min="3" max="3" width="20.28515625" style="15" customWidth="1"/>
    <col min="4" max="4" width="11.42578125" style="15"/>
    <col min="5" max="5" width="23.28515625" style="15" customWidth="1"/>
    <col min="6" max="6" width="17.7109375" style="15" bestFit="1" customWidth="1"/>
    <col min="7" max="7" width="15.5703125" style="15" bestFit="1" customWidth="1"/>
    <col min="8" max="16384" width="11.42578125" style="15"/>
  </cols>
  <sheetData>
    <row r="1" spans="2:8">
      <c r="B1" s="173" t="s">
        <v>133</v>
      </c>
      <c r="C1" s="173"/>
      <c r="D1" s="173"/>
      <c r="E1" s="173"/>
      <c r="F1" s="173"/>
      <c r="G1" s="173"/>
      <c r="H1" s="173"/>
    </row>
    <row r="2" spans="2:8" ht="3.75" customHeight="1">
      <c r="B2" s="173"/>
      <c r="C2" s="173"/>
      <c r="D2" s="173"/>
      <c r="E2" s="173"/>
      <c r="F2" s="173"/>
      <c r="G2" s="173"/>
      <c r="H2" s="173"/>
    </row>
    <row r="3" spans="2:8">
      <c r="C3" s="22" t="s">
        <v>51</v>
      </c>
      <c r="F3" s="75" t="s">
        <v>92</v>
      </c>
      <c r="G3" s="75"/>
    </row>
    <row r="4" spans="2:8">
      <c r="B4" s="49" t="s">
        <v>43</v>
      </c>
      <c r="C4" s="14">
        <v>0</v>
      </c>
      <c r="F4" s="75"/>
      <c r="G4" s="75"/>
    </row>
    <row r="5" spans="2:8">
      <c r="B5" s="49" t="s">
        <v>46</v>
      </c>
      <c r="C5" s="14">
        <v>0</v>
      </c>
      <c r="F5" s="75">
        <v>10</v>
      </c>
      <c r="G5" s="76">
        <f t="shared" ref="G5:G11" si="0">C5/F5</f>
        <v>0</v>
      </c>
    </row>
    <row r="6" spans="2:8">
      <c r="B6" s="49" t="s">
        <v>44</v>
      </c>
      <c r="C6" s="14">
        <v>1000000</v>
      </c>
      <c r="F6" s="75">
        <v>5</v>
      </c>
      <c r="G6" s="76">
        <f t="shared" si="0"/>
        <v>200000</v>
      </c>
    </row>
    <row r="7" spans="2:8">
      <c r="B7" s="49" t="s">
        <v>45</v>
      </c>
      <c r="C7" s="14">
        <v>1500000</v>
      </c>
      <c r="F7" s="75">
        <v>5</v>
      </c>
      <c r="G7" s="76">
        <f t="shared" si="0"/>
        <v>300000</v>
      </c>
    </row>
    <row r="8" spans="2:8">
      <c r="B8" s="49" t="s">
        <v>47</v>
      </c>
      <c r="C8" s="14">
        <v>0</v>
      </c>
      <c r="F8" s="75">
        <v>5</v>
      </c>
      <c r="G8" s="76">
        <f t="shared" si="0"/>
        <v>0</v>
      </c>
    </row>
    <row r="9" spans="2:8">
      <c r="B9" s="49" t="s">
        <v>48</v>
      </c>
      <c r="C9" s="14">
        <v>0</v>
      </c>
      <c r="F9" s="75">
        <v>5</v>
      </c>
      <c r="G9" s="76">
        <f t="shared" si="0"/>
        <v>0</v>
      </c>
    </row>
    <row r="10" spans="2:8">
      <c r="B10" s="127" t="s">
        <v>142</v>
      </c>
      <c r="C10" s="14">
        <v>0</v>
      </c>
      <c r="F10" s="75">
        <v>5</v>
      </c>
      <c r="G10" s="76">
        <f t="shared" si="0"/>
        <v>0</v>
      </c>
    </row>
    <row r="11" spans="2:8">
      <c r="B11" s="49" t="s">
        <v>49</v>
      </c>
      <c r="C11" s="14">
        <v>0</v>
      </c>
      <c r="F11" s="75">
        <v>5</v>
      </c>
      <c r="G11" s="76">
        <f t="shared" si="0"/>
        <v>0</v>
      </c>
    </row>
    <row r="12" spans="2:8" ht="16.5" thickBot="1">
      <c r="B12" s="77" t="s">
        <v>50</v>
      </c>
      <c r="C12" s="78">
        <f>SUM(C4:C11)</f>
        <v>2500000</v>
      </c>
      <c r="F12" s="75"/>
      <c r="G12" s="76">
        <f>SUM(G5:G11)</f>
        <v>500000</v>
      </c>
    </row>
    <row r="13" spans="2:8">
      <c r="B13" s="174" t="s">
        <v>42</v>
      </c>
      <c r="C13" s="175"/>
      <c r="D13" s="175"/>
      <c r="E13" s="175"/>
      <c r="F13" s="175"/>
      <c r="G13" s="175"/>
      <c r="H13" s="176"/>
    </row>
    <row r="14" spans="2:8" ht="15.75" thickBot="1">
      <c r="B14" s="177"/>
      <c r="C14" s="178"/>
      <c r="D14" s="178"/>
      <c r="E14" s="178"/>
      <c r="F14" s="178"/>
      <c r="G14" s="178"/>
      <c r="H14" s="179"/>
    </row>
    <row r="15" spans="2:8">
      <c r="B15" s="79"/>
      <c r="C15" s="79"/>
      <c r="D15" s="79"/>
      <c r="E15" s="79"/>
      <c r="F15" s="79"/>
      <c r="G15" s="79"/>
      <c r="H15" s="79"/>
    </row>
    <row r="16" spans="2:8">
      <c r="B16" s="77" t="s">
        <v>28</v>
      </c>
      <c r="E16" s="77" t="s">
        <v>34</v>
      </c>
      <c r="F16" s="39"/>
    </row>
    <row r="17" spans="2:6">
      <c r="C17" s="77" t="s">
        <v>30</v>
      </c>
      <c r="F17" s="77" t="str">
        <f>C17</f>
        <v>VALOR AÑO 1</v>
      </c>
    </row>
    <row r="18" spans="2:6">
      <c r="B18" s="80" t="s">
        <v>29</v>
      </c>
      <c r="C18" s="14">
        <v>1500000</v>
      </c>
      <c r="E18" s="124" t="s">
        <v>139</v>
      </c>
      <c r="F18" s="14">
        <f>2000000*12</f>
        <v>24000000</v>
      </c>
    </row>
    <row r="19" spans="2:6">
      <c r="C19" s="82"/>
      <c r="E19" s="81" t="s">
        <v>35</v>
      </c>
      <c r="F19" s="14">
        <f>300000*12</f>
        <v>3600000</v>
      </c>
    </row>
    <row r="20" spans="2:6">
      <c r="B20" s="80" t="s">
        <v>32</v>
      </c>
      <c r="C20" s="14">
        <v>0</v>
      </c>
      <c r="E20" s="81" t="s">
        <v>36</v>
      </c>
      <c r="F20" s="14">
        <f>100000*12</f>
        <v>1200000</v>
      </c>
    </row>
    <row r="21" spans="2:6">
      <c r="C21" s="82"/>
      <c r="E21" s="81" t="s">
        <v>37</v>
      </c>
      <c r="F21" s="14">
        <f>200000*12</f>
        <v>2400000</v>
      </c>
    </row>
    <row r="22" spans="2:6">
      <c r="B22" s="123" t="s">
        <v>138</v>
      </c>
      <c r="C22" s="14">
        <v>0</v>
      </c>
      <c r="E22" s="81" t="s">
        <v>38</v>
      </c>
      <c r="F22" s="14">
        <v>500000</v>
      </c>
    </row>
    <row r="23" spans="2:6" ht="15.75">
      <c r="B23" s="15" t="s">
        <v>56</v>
      </c>
      <c r="C23" s="78">
        <f>C18+C20+C22</f>
        <v>1500000</v>
      </c>
      <c r="E23" s="81" t="s">
        <v>39</v>
      </c>
      <c r="F23" s="14">
        <v>0</v>
      </c>
    </row>
    <row r="24" spans="2:6">
      <c r="E24" s="81" t="s">
        <v>40</v>
      </c>
      <c r="F24" s="14">
        <v>0</v>
      </c>
    </row>
    <row r="25" spans="2:6" ht="24.75">
      <c r="B25" s="81" t="s">
        <v>143</v>
      </c>
      <c r="C25" s="14">
        <v>3000000</v>
      </c>
      <c r="E25" s="126" t="s">
        <v>140</v>
      </c>
      <c r="F25" s="14">
        <v>0</v>
      </c>
    </row>
    <row r="26" spans="2:6">
      <c r="E26" s="126" t="s">
        <v>141</v>
      </c>
      <c r="F26" s="14">
        <v>0</v>
      </c>
    </row>
    <row r="27" spans="2:6">
      <c r="B27" s="104" t="s">
        <v>144</v>
      </c>
      <c r="C27" s="104"/>
      <c r="E27" s="106"/>
      <c r="F27" s="14">
        <v>0</v>
      </c>
    </row>
    <row r="28" spans="2:6">
      <c r="B28" s="125">
        <f>'1'!G2</f>
        <v>2022</v>
      </c>
      <c r="C28" s="14">
        <v>1000000</v>
      </c>
      <c r="E28" s="106"/>
      <c r="F28" s="14">
        <v>0</v>
      </c>
    </row>
    <row r="29" spans="2:6">
      <c r="B29" s="125">
        <f>'1'!H2</f>
        <v>2023</v>
      </c>
      <c r="C29" s="14">
        <v>1000000</v>
      </c>
      <c r="E29" s="106"/>
      <c r="F29" s="14">
        <v>0</v>
      </c>
    </row>
    <row r="30" spans="2:6">
      <c r="B30" s="125">
        <f>'1'!I2</f>
        <v>2024</v>
      </c>
      <c r="C30" s="14">
        <v>1000000</v>
      </c>
      <c r="E30" s="106"/>
      <c r="F30" s="14">
        <v>0</v>
      </c>
    </row>
    <row r="31" spans="2:6" ht="15.75">
      <c r="B31" s="125">
        <f>'1'!J2</f>
        <v>2025</v>
      </c>
      <c r="C31" s="14">
        <v>1000000</v>
      </c>
      <c r="E31" s="81" t="s">
        <v>41</v>
      </c>
      <c r="F31" s="78">
        <f>SUM(F18:F30)</f>
        <v>31700000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L16"/>
  <sheetViews>
    <sheetView showGridLines="0" workbookViewId="0">
      <selection activeCell="F19" sqref="F19"/>
    </sheetView>
  </sheetViews>
  <sheetFormatPr baseColWidth="10" defaultRowHeight="15"/>
  <cols>
    <col min="1" max="1" width="11.42578125" style="15"/>
    <col min="2" max="2" width="39" style="15" bestFit="1" customWidth="1"/>
    <col min="3" max="3" width="18.5703125" style="15" bestFit="1" customWidth="1"/>
    <col min="4" max="4" width="22.7109375" style="15" bestFit="1" customWidth="1"/>
    <col min="5" max="5" width="12.85546875" style="15" customWidth="1"/>
    <col min="6" max="6" width="16.85546875" style="15" bestFit="1" customWidth="1"/>
    <col min="7" max="7" width="14.42578125" style="15" bestFit="1" customWidth="1"/>
    <col min="8" max="8" width="15.5703125" style="15" bestFit="1" customWidth="1"/>
    <col min="9" max="9" width="17" style="15" bestFit="1" customWidth="1"/>
    <col min="10" max="10" width="16.85546875" style="15" bestFit="1" customWidth="1"/>
    <col min="11" max="16384" width="11.42578125" style="15"/>
  </cols>
  <sheetData>
    <row r="2" spans="2:12" ht="29.25" customHeight="1">
      <c r="B2" s="171" t="s">
        <v>115</v>
      </c>
      <c r="C2" s="171"/>
      <c r="D2" s="171"/>
      <c r="E2" s="171"/>
      <c r="F2" s="171"/>
      <c r="G2" s="171"/>
      <c r="H2" s="171"/>
      <c r="I2" s="171"/>
      <c r="J2" s="171"/>
    </row>
    <row r="3" spans="2:12">
      <c r="F3" s="181" t="s">
        <v>62</v>
      </c>
      <c r="G3" s="181"/>
    </row>
    <row r="4" spans="2:12" ht="15.75">
      <c r="B4" s="17" t="s">
        <v>50</v>
      </c>
      <c r="C4" s="78">
        <f>'2'!C12</f>
        <v>2500000</v>
      </c>
      <c r="F4" s="182">
        <v>0.1</v>
      </c>
      <c r="G4" s="182"/>
      <c r="I4" s="15" t="s">
        <v>150</v>
      </c>
      <c r="J4" s="142">
        <v>5</v>
      </c>
      <c r="L4" s="75">
        <v>1</v>
      </c>
    </row>
    <row r="5" spans="2:12">
      <c r="L5" s="75">
        <v>2</v>
      </c>
    </row>
    <row r="6" spans="2:12" ht="15.75" thickBot="1">
      <c r="B6" s="17" t="s">
        <v>52</v>
      </c>
      <c r="F6" s="180" t="s">
        <v>116</v>
      </c>
      <c r="G6" s="180"/>
      <c r="H6" s="180"/>
      <c r="I6" s="180"/>
      <c r="J6" s="180"/>
      <c r="L6" s="75">
        <v>3</v>
      </c>
    </row>
    <row r="7" spans="2:12">
      <c r="C7" s="83" t="s">
        <v>54</v>
      </c>
      <c r="D7" s="83" t="s">
        <v>55</v>
      </c>
      <c r="E7" s="131"/>
      <c r="F7" s="132" t="s">
        <v>145</v>
      </c>
      <c r="G7" s="132" t="s">
        <v>146</v>
      </c>
      <c r="H7" s="132" t="s">
        <v>147</v>
      </c>
      <c r="I7" s="132" t="s">
        <v>148</v>
      </c>
      <c r="J7" s="133" t="s">
        <v>149</v>
      </c>
      <c r="L7" s="75">
        <v>4</v>
      </c>
    </row>
    <row r="8" spans="2:12">
      <c r="B8" s="49" t="s">
        <v>53</v>
      </c>
      <c r="C8" s="58">
        <v>3</v>
      </c>
      <c r="D8" s="26">
        <f>('1'!B33/12)*C8</f>
        <v>54283333.333333328</v>
      </c>
      <c r="E8" s="134" t="s">
        <v>84</v>
      </c>
      <c r="F8" s="135"/>
      <c r="G8" s="135"/>
      <c r="H8" s="135"/>
      <c r="I8" s="135"/>
      <c r="J8" s="136">
        <f>D16</f>
        <v>36783333.333333328</v>
      </c>
      <c r="L8" s="75">
        <v>5</v>
      </c>
    </row>
    <row r="9" spans="2:12">
      <c r="B9" s="49" t="s">
        <v>57</v>
      </c>
      <c r="C9" s="58">
        <v>0</v>
      </c>
      <c r="D9" s="26">
        <f>('2'!C23/12)*C9</f>
        <v>0</v>
      </c>
      <c r="E9" s="134">
        <f>'1'!B31</f>
        <v>2021</v>
      </c>
      <c r="F9" s="138">
        <f t="shared" ref="F9:F13" si="0">IF(J8&gt;0,J8,0)</f>
        <v>36783333.333333328</v>
      </c>
      <c r="G9" s="138">
        <f>F9*$F$4</f>
        <v>3678333.333333333</v>
      </c>
      <c r="H9" s="138">
        <f>IF(J8&lt;1,0,(I9-G9))</f>
        <v>6025017.3352333838</v>
      </c>
      <c r="I9" s="138">
        <f>PMT(F4,J4,J8)*-1</f>
        <v>9703350.6685667168</v>
      </c>
      <c r="J9" s="139">
        <f>F9-H9</f>
        <v>30758315.998099945</v>
      </c>
    </row>
    <row r="10" spans="2:12">
      <c r="B10" s="49" t="s">
        <v>58</v>
      </c>
      <c r="C10" s="58">
        <v>0</v>
      </c>
      <c r="D10" s="26">
        <f>('2'!C25/12)*C10</f>
        <v>0</v>
      </c>
      <c r="E10" s="134">
        <f>'1'!C31</f>
        <v>2022</v>
      </c>
      <c r="F10" s="138">
        <f t="shared" si="0"/>
        <v>30758315.998099945</v>
      </c>
      <c r="G10" s="138">
        <f t="shared" ref="G10:G13" si="1">F10*$F$4</f>
        <v>3075831.5998099949</v>
      </c>
      <c r="H10" s="138">
        <f t="shared" ref="H10:H13" si="2">IF(J9&lt;1,0,(I10-G10))</f>
        <v>6627519.0687567219</v>
      </c>
      <c r="I10" s="138">
        <f>IF(J9&lt;1,0,(I9*(1+$K$7)))</f>
        <v>9703350.6685667168</v>
      </c>
      <c r="J10" s="139">
        <f t="shared" ref="J10:J13" si="3">F10-H10</f>
        <v>24130796.929343224</v>
      </c>
    </row>
    <row r="11" spans="2:12">
      <c r="B11" s="49" t="s">
        <v>33</v>
      </c>
      <c r="C11" s="58">
        <v>0</v>
      </c>
      <c r="D11" s="26">
        <f>('2'!F31/12)*C11</f>
        <v>0</v>
      </c>
      <c r="E11" s="134">
        <f>'1'!D31</f>
        <v>2023</v>
      </c>
      <c r="F11" s="138">
        <f t="shared" si="0"/>
        <v>24130796.929343224</v>
      </c>
      <c r="G11" s="138">
        <f t="shared" si="1"/>
        <v>2413079.6929343226</v>
      </c>
      <c r="H11" s="138">
        <f t="shared" si="2"/>
        <v>7290270.9756323937</v>
      </c>
      <c r="I11" s="138">
        <f t="shared" ref="I11:I13" si="4">IF(J10&lt;1,0,(I10*(1+$K$7)))</f>
        <v>9703350.6685667168</v>
      </c>
      <c r="J11" s="139">
        <f t="shared" si="3"/>
        <v>16840525.953710832</v>
      </c>
    </row>
    <row r="12" spans="2:12" ht="15.75">
      <c r="B12" s="84" t="s">
        <v>8</v>
      </c>
      <c r="C12" s="62"/>
      <c r="D12" s="85">
        <f>SUM(D8:D11)</f>
        <v>54283333.333333328</v>
      </c>
      <c r="E12" s="134">
        <f>'1'!E31</f>
        <v>2024</v>
      </c>
      <c r="F12" s="138">
        <f t="shared" si="0"/>
        <v>16840525.953710832</v>
      </c>
      <c r="G12" s="138">
        <f t="shared" si="1"/>
        <v>1684052.5953710834</v>
      </c>
      <c r="H12" s="138">
        <f t="shared" si="2"/>
        <v>8019298.0731956335</v>
      </c>
      <c r="I12" s="138">
        <f t="shared" si="4"/>
        <v>9703350.6685667168</v>
      </c>
      <c r="J12" s="139">
        <f t="shared" si="3"/>
        <v>8821227.8805151992</v>
      </c>
    </row>
    <row r="13" spans="2:12" ht="15.75" thickBot="1">
      <c r="E13" s="137">
        <f>'1'!F31</f>
        <v>2025</v>
      </c>
      <c r="F13" s="140">
        <f t="shared" si="0"/>
        <v>8821227.8805151992</v>
      </c>
      <c r="G13" s="140">
        <f t="shared" si="1"/>
        <v>882122.78805152001</v>
      </c>
      <c r="H13" s="140">
        <f t="shared" si="2"/>
        <v>8821227.8805151973</v>
      </c>
      <c r="I13" s="140">
        <f t="shared" si="4"/>
        <v>9703350.6685667168</v>
      </c>
      <c r="J13" s="141">
        <f t="shared" si="3"/>
        <v>0</v>
      </c>
    </row>
    <row r="14" spans="2:12" ht="15.75">
      <c r="B14" s="49" t="s">
        <v>59</v>
      </c>
      <c r="D14" s="78">
        <f>C4+D12</f>
        <v>56783333.333333328</v>
      </c>
    </row>
    <row r="15" spans="2:12">
      <c r="B15" s="49" t="s">
        <v>60</v>
      </c>
      <c r="D15" s="59">
        <v>20000000</v>
      </c>
    </row>
    <row r="16" spans="2:12" ht="15.75">
      <c r="B16" s="49" t="s">
        <v>61</v>
      </c>
      <c r="D16" s="86">
        <f>D14-D15</f>
        <v>36783333.333333328</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B66" sqref="B66"/>
    </sheetView>
  </sheetViews>
  <sheetFormatPr baseColWidth="10" defaultRowHeight="15"/>
  <cols>
    <col min="1" max="1" width="26.7109375" style="15" customWidth="1"/>
    <col min="2" max="2" width="25.85546875" style="15" bestFit="1" customWidth="1"/>
    <col min="3" max="3" width="21.7109375" style="15" bestFit="1" customWidth="1"/>
    <col min="4" max="7" width="18.42578125" style="15" bestFit="1" customWidth="1"/>
    <col min="8" max="16384" width="11.42578125" style="15"/>
  </cols>
  <sheetData>
    <row r="1" spans="1:7" ht="34.5" customHeight="1">
      <c r="A1" s="186" t="s">
        <v>117</v>
      </c>
      <c r="B1" s="186"/>
      <c r="C1" s="186"/>
      <c r="D1" s="186"/>
      <c r="E1" s="186"/>
      <c r="F1" s="186"/>
      <c r="G1" s="186"/>
    </row>
    <row r="2" spans="1:7" ht="23.25">
      <c r="A2" s="187" t="s">
        <v>132</v>
      </c>
      <c r="B2" s="187"/>
      <c r="C2" s="187"/>
      <c r="D2" s="187"/>
      <c r="E2" s="187"/>
      <c r="F2" s="187"/>
      <c r="G2" s="187"/>
    </row>
    <row r="3" spans="1:7" ht="8.25" customHeight="1">
      <c r="A3" s="60"/>
      <c r="B3" s="60"/>
      <c r="C3" s="60"/>
      <c r="D3" s="60"/>
      <c r="E3" s="60"/>
      <c r="F3" s="60"/>
      <c r="G3" s="60"/>
    </row>
    <row r="4" spans="1:7" ht="15.75">
      <c r="A4" s="185" t="s">
        <v>89</v>
      </c>
      <c r="B4" s="185"/>
      <c r="C4" s="185"/>
      <c r="D4" s="185"/>
      <c r="E4" s="185"/>
      <c r="F4" s="185"/>
      <c r="G4" s="185"/>
    </row>
    <row r="5" spans="1:7" ht="23.25">
      <c r="C5" s="64">
        <f>'1'!B31</f>
        <v>2021</v>
      </c>
      <c r="D5" s="64">
        <f>'1'!C31</f>
        <v>2022</v>
      </c>
      <c r="E5" s="64">
        <f>'1'!D31</f>
        <v>2023</v>
      </c>
      <c r="F5" s="64">
        <f>'1'!E31</f>
        <v>2024</v>
      </c>
      <c r="G5" s="64">
        <f>'1'!F31</f>
        <v>2025</v>
      </c>
    </row>
    <row r="6" spans="1:7">
      <c r="B6" s="15" t="s">
        <v>31</v>
      </c>
      <c r="C6" s="65">
        <f>'1'!B32</f>
        <v>289620000</v>
      </c>
      <c r="D6" s="65">
        <f>'1'!C32</f>
        <v>302461750.80000001</v>
      </c>
      <c r="E6" s="65">
        <f>'1'!D32</f>
        <v>319308870.31955999</v>
      </c>
      <c r="F6" s="65">
        <f>'1'!E32</f>
        <v>340399221.20416689</v>
      </c>
      <c r="G6" s="65">
        <f>'1'!F32</f>
        <v>369928853.64362836</v>
      </c>
    </row>
    <row r="7" spans="1:7">
      <c r="B7" s="15" t="s">
        <v>66</v>
      </c>
      <c r="C7" s="65">
        <f>'1'!B33</f>
        <v>217133333.33333331</v>
      </c>
      <c r="D7" s="65">
        <f>'1'!C33</f>
        <v>219304666.66666669</v>
      </c>
      <c r="E7" s="65">
        <f>'1'!D33</f>
        <v>223690760</v>
      </c>
      <c r="F7" s="65">
        <f>'1'!E33</f>
        <v>230401482.80000001</v>
      </c>
      <c r="G7" s="65">
        <f>'1'!F33</f>
        <v>241921556.94000003</v>
      </c>
    </row>
    <row r="8" spans="1:7" ht="15.75" thickBot="1">
      <c r="B8" s="66" t="s">
        <v>67</v>
      </c>
      <c r="C8" s="67">
        <f>C6-C7</f>
        <v>72486666.666666687</v>
      </c>
      <c r="D8" s="67">
        <f t="shared" ref="D8:G8" si="0">D6-D7</f>
        <v>83157084.133333325</v>
      </c>
      <c r="E8" s="67">
        <f t="shared" si="0"/>
        <v>95618110.319559991</v>
      </c>
      <c r="F8" s="67">
        <f t="shared" si="0"/>
        <v>109997738.40416688</v>
      </c>
      <c r="G8" s="67">
        <f t="shared" si="0"/>
        <v>128007296.70362833</v>
      </c>
    </row>
    <row r="9" spans="1:7" ht="15.75" thickTop="1">
      <c r="B9" s="15" t="s">
        <v>68</v>
      </c>
      <c r="C9" s="65">
        <f>'2'!C23</f>
        <v>1500000</v>
      </c>
      <c r="D9" s="65">
        <f>C9*(1+'1'!Z4)</f>
        <v>1551000</v>
      </c>
      <c r="E9" s="65">
        <f>D9*(1+'1'!AA4)</f>
        <v>1605284.9999999998</v>
      </c>
      <c r="F9" s="65">
        <f>E9*(1+'1'!AB4)</f>
        <v>1661469.9749999996</v>
      </c>
      <c r="G9" s="65">
        <f>F9*(1+'1'!AC4)</f>
        <v>1719621.4241249994</v>
      </c>
    </row>
    <row r="10" spans="1:7">
      <c r="B10" s="15" t="s">
        <v>134</v>
      </c>
      <c r="C10" s="65">
        <f>'2'!F31</f>
        <v>31700000</v>
      </c>
      <c r="D10" s="65">
        <f>C10*(1+'1'!Z4)</f>
        <v>32777800</v>
      </c>
      <c r="E10" s="65">
        <f>D10*(1+'1'!AA4)</f>
        <v>33925023</v>
      </c>
      <c r="F10" s="65">
        <f>E10*(1+'1'!AB4)</f>
        <v>35112398.805</v>
      </c>
      <c r="G10" s="65">
        <f>F10*(1+'1'!AC4)</f>
        <v>36341332.763174996</v>
      </c>
    </row>
    <row r="11" spans="1:7">
      <c r="B11" s="15" t="s">
        <v>69</v>
      </c>
      <c r="C11" s="65">
        <f>'2'!C25</f>
        <v>3000000</v>
      </c>
      <c r="D11" s="65">
        <f>'2'!C28</f>
        <v>1000000</v>
      </c>
      <c r="E11" s="65">
        <f>'2'!C29</f>
        <v>1000000</v>
      </c>
      <c r="F11" s="65">
        <f>'2'!C30</f>
        <v>1000000</v>
      </c>
      <c r="G11" s="65">
        <f>'2'!C31</f>
        <v>1000000</v>
      </c>
    </row>
    <row r="12" spans="1:7">
      <c r="B12" s="15" t="s">
        <v>86</v>
      </c>
      <c r="C12" s="65">
        <f>'2'!G12</f>
        <v>500000</v>
      </c>
      <c r="D12" s="65">
        <f>C12</f>
        <v>500000</v>
      </c>
      <c r="E12" s="65">
        <f t="shared" ref="E12:G12" si="1">D12</f>
        <v>500000</v>
      </c>
      <c r="F12" s="65">
        <f t="shared" si="1"/>
        <v>500000</v>
      </c>
      <c r="G12" s="65">
        <f t="shared" si="1"/>
        <v>500000</v>
      </c>
    </row>
    <row r="13" spans="1:7" ht="15.75" thickBot="1">
      <c r="B13" s="66" t="s">
        <v>70</v>
      </c>
      <c r="C13" s="68">
        <f>C8-C9-C10-C11-C12</f>
        <v>35786666.666666687</v>
      </c>
      <c r="D13" s="68">
        <f t="shared" ref="D13:G13" si="2">D8-D9-D10-D11-D12</f>
        <v>47328284.133333325</v>
      </c>
      <c r="E13" s="68">
        <f t="shared" si="2"/>
        <v>58587802.319559991</v>
      </c>
      <c r="F13" s="68">
        <f t="shared" si="2"/>
        <v>71723869.624166876</v>
      </c>
      <c r="G13" s="68">
        <f t="shared" si="2"/>
        <v>88446342.516328335</v>
      </c>
    </row>
    <row r="14" spans="1:7" ht="15.75" thickTop="1">
      <c r="B14" s="15" t="s">
        <v>71</v>
      </c>
      <c r="C14" s="65">
        <f>'3'!G9</f>
        <v>3678333.333333333</v>
      </c>
      <c r="D14" s="65">
        <f>'3'!G10</f>
        <v>3075831.5998099949</v>
      </c>
      <c r="E14" s="65">
        <f>'3'!G11</f>
        <v>2413079.6929343226</v>
      </c>
      <c r="F14" s="65">
        <f>'3'!G12</f>
        <v>1684052.5953710834</v>
      </c>
      <c r="G14" s="65">
        <f>'3'!G13</f>
        <v>882122.78805152001</v>
      </c>
    </row>
    <row r="15" spans="1:7" ht="15.75" thickBot="1">
      <c r="B15" s="66" t="s">
        <v>72</v>
      </c>
      <c r="C15" s="68">
        <f>C13-C14</f>
        <v>32108333.333333354</v>
      </c>
      <c r="D15" s="68">
        <f t="shared" ref="D15:G15" si="3">D13-D14</f>
        <v>44252452.533523329</v>
      </c>
      <c r="E15" s="68">
        <f t="shared" si="3"/>
        <v>56174722.626625672</v>
      </c>
      <c r="F15" s="68">
        <f t="shared" si="3"/>
        <v>70039817.028795794</v>
      </c>
      <c r="G15" s="68">
        <f t="shared" si="3"/>
        <v>87564219.728276819</v>
      </c>
    </row>
    <row r="16" spans="1:7" ht="15.75" thickTop="1">
      <c r="B16" s="15" t="s">
        <v>73</v>
      </c>
      <c r="C16" s="69">
        <f>IF(C15*'1'!$AB$7&lt;0,0,C15*'1'!$AB$7)</f>
        <v>9953583.3333333395</v>
      </c>
      <c r="D16" s="69">
        <f>IF(D15*'1'!$AB$7&lt;0,0,D15*'1'!$AB$7)</f>
        <v>13718260.285392232</v>
      </c>
      <c r="E16" s="69">
        <f>IF(E15*'1'!$AB$7&lt;0,0,E15*'1'!$AB$7)</f>
        <v>17414164.014253959</v>
      </c>
      <c r="F16" s="69">
        <f>IF(F15*'1'!$AB$7&lt;0,0,F15*'1'!$AB$7)</f>
        <v>21712343.278926697</v>
      </c>
      <c r="G16" s="69">
        <f>IF(G15*'1'!$AB$7&lt;0,0,G15*'1'!$AB$7)</f>
        <v>27144908.115765814</v>
      </c>
    </row>
    <row r="17" spans="1:8" ht="15.75" thickBot="1">
      <c r="B17" s="70" t="s">
        <v>74</v>
      </c>
      <c r="C17" s="71">
        <f>C15-C16</f>
        <v>22154750.000000015</v>
      </c>
      <c r="D17" s="71">
        <f t="shared" ref="D17:G17" si="4">D15-D16</f>
        <v>30534192.248131096</v>
      </c>
      <c r="E17" s="71">
        <f t="shared" si="4"/>
        <v>38760558.612371713</v>
      </c>
      <c r="F17" s="71">
        <f t="shared" si="4"/>
        <v>48327473.749869093</v>
      </c>
      <c r="G17" s="71">
        <f t="shared" si="4"/>
        <v>60419311.612511009</v>
      </c>
    </row>
    <row r="19" spans="1:8" ht="15.75">
      <c r="A19" s="185" t="s">
        <v>64</v>
      </c>
      <c r="B19" s="185"/>
      <c r="C19" s="185"/>
      <c r="D19" s="185"/>
      <c r="E19" s="185"/>
      <c r="F19" s="185"/>
      <c r="G19" s="185"/>
    </row>
    <row r="20" spans="1:8" ht="23.25">
      <c r="B20" s="72" t="s">
        <v>84</v>
      </c>
      <c r="C20" s="64">
        <f>C5</f>
        <v>2021</v>
      </c>
      <c r="D20" s="64">
        <f>D5</f>
        <v>2022</v>
      </c>
      <c r="E20" s="64">
        <f>E5</f>
        <v>2023</v>
      </c>
      <c r="F20" s="64">
        <f>F5</f>
        <v>2024</v>
      </c>
      <c r="G20" s="64">
        <f>G5</f>
        <v>2025</v>
      </c>
    </row>
    <row r="21" spans="1:8">
      <c r="A21" s="184" t="s">
        <v>65</v>
      </c>
      <c r="B21" s="184"/>
      <c r="C21" s="184"/>
      <c r="D21" s="184"/>
      <c r="E21" s="184"/>
      <c r="F21" s="184"/>
      <c r="G21" s="184"/>
    </row>
    <row r="22" spans="1:8">
      <c r="A22" s="15" t="s">
        <v>95</v>
      </c>
      <c r="B22" s="27">
        <f>B38-B26</f>
        <v>54283333.333333328</v>
      </c>
      <c r="C22" s="27">
        <f t="shared" ref="C22:G22" si="5">C38-C26</f>
        <v>80866649.331433296</v>
      </c>
      <c r="D22" s="27">
        <f t="shared" si="5"/>
        <v>86883249.462866545</v>
      </c>
      <c r="E22" s="27">
        <f t="shared" si="5"/>
        <v>92015248.580336511</v>
      </c>
      <c r="F22" s="27">
        <f t="shared" si="5"/>
        <v>98361044.909310997</v>
      </c>
      <c r="G22" s="27">
        <f t="shared" si="5"/>
        <v>107564219.72827682</v>
      </c>
    </row>
    <row r="23" spans="1:8">
      <c r="A23" s="15" t="s">
        <v>93</v>
      </c>
      <c r="B23" s="27">
        <f>'2'!C4</f>
        <v>0</v>
      </c>
      <c r="C23" s="27">
        <f>B23</f>
        <v>0</v>
      </c>
      <c r="D23" s="27">
        <f t="shared" ref="D23:G23" si="6">C23</f>
        <v>0</v>
      </c>
      <c r="E23" s="27">
        <f t="shared" si="6"/>
        <v>0</v>
      </c>
      <c r="F23" s="27">
        <f t="shared" si="6"/>
        <v>0</v>
      </c>
      <c r="G23" s="27">
        <f t="shared" si="6"/>
        <v>0</v>
      </c>
      <c r="H23" s="27"/>
    </row>
    <row r="24" spans="1:8">
      <c r="A24" s="15" t="s">
        <v>94</v>
      </c>
      <c r="B24" s="27">
        <f>'2'!C12-'2'!C4</f>
        <v>2500000</v>
      </c>
      <c r="C24" s="27">
        <f>B24</f>
        <v>2500000</v>
      </c>
      <c r="D24" s="27">
        <f t="shared" ref="D24:G24" si="7">C24</f>
        <v>2500000</v>
      </c>
      <c r="E24" s="27">
        <f t="shared" si="7"/>
        <v>2500000</v>
      </c>
      <c r="F24" s="27">
        <f t="shared" si="7"/>
        <v>2500000</v>
      </c>
      <c r="G24" s="27">
        <f t="shared" si="7"/>
        <v>2500000</v>
      </c>
      <c r="H24" s="27"/>
    </row>
    <row r="25" spans="1:8">
      <c r="A25" s="15" t="s">
        <v>87</v>
      </c>
      <c r="B25" s="27">
        <v>0</v>
      </c>
      <c r="C25" s="27">
        <f>C12</f>
        <v>500000</v>
      </c>
      <c r="D25" s="27">
        <f>D12+C12</f>
        <v>1000000</v>
      </c>
      <c r="E25" s="27">
        <f>E12+D12+C12</f>
        <v>1500000</v>
      </c>
      <c r="F25" s="27">
        <f>F12+E12+D12+C12</f>
        <v>2000000</v>
      </c>
      <c r="G25" s="27">
        <f>F25+G12</f>
        <v>2500000</v>
      </c>
      <c r="H25" s="27"/>
    </row>
    <row r="26" spans="1:8">
      <c r="A26" s="15" t="s">
        <v>88</v>
      </c>
      <c r="B26" s="27">
        <f>B23+(B24-B25)</f>
        <v>2500000</v>
      </c>
      <c r="C26" s="27">
        <f>C23+(C24-C25)</f>
        <v>2000000</v>
      </c>
      <c r="D26" s="27">
        <f t="shared" ref="D26:G26" si="8">D23+(D24-D25)</f>
        <v>1500000</v>
      </c>
      <c r="E26" s="27">
        <f t="shared" si="8"/>
        <v>1000000</v>
      </c>
      <c r="F26" s="27">
        <f t="shared" si="8"/>
        <v>500000</v>
      </c>
      <c r="G26" s="27">
        <f t="shared" si="8"/>
        <v>0</v>
      </c>
      <c r="H26" s="27"/>
    </row>
    <row r="27" spans="1:8" ht="15.75" thickBot="1">
      <c r="A27" s="66" t="s">
        <v>85</v>
      </c>
      <c r="B27" s="73">
        <f>B22+B26</f>
        <v>56783333.333333328</v>
      </c>
      <c r="C27" s="73">
        <f t="shared" ref="C27:G27" si="9">C22+C26</f>
        <v>82866649.331433296</v>
      </c>
      <c r="D27" s="73">
        <f t="shared" si="9"/>
        <v>88383249.462866545</v>
      </c>
      <c r="E27" s="73">
        <f t="shared" si="9"/>
        <v>93015248.580336511</v>
      </c>
      <c r="F27" s="73">
        <f t="shared" si="9"/>
        <v>98861044.909310997</v>
      </c>
      <c r="G27" s="73">
        <f t="shared" si="9"/>
        <v>107564219.72827682</v>
      </c>
      <c r="H27" s="27"/>
    </row>
    <row r="28" spans="1:8" ht="15.75" thickTop="1">
      <c r="A28" s="184" t="s">
        <v>75</v>
      </c>
      <c r="B28" s="184"/>
      <c r="C28" s="184"/>
      <c r="D28" s="184"/>
      <c r="E28" s="184"/>
      <c r="F28" s="184"/>
      <c r="G28" s="184"/>
    </row>
    <row r="29" spans="1:8">
      <c r="A29" s="15" t="s">
        <v>76</v>
      </c>
      <c r="B29" s="15">
        <v>0</v>
      </c>
      <c r="C29" s="69">
        <f>C16</f>
        <v>9953583.3333333395</v>
      </c>
      <c r="D29" s="69">
        <f>D16</f>
        <v>13718260.285392232</v>
      </c>
      <c r="E29" s="69">
        <f>E16</f>
        <v>17414164.014253959</v>
      </c>
      <c r="F29" s="69">
        <f>F16</f>
        <v>21712343.278926697</v>
      </c>
      <c r="G29" s="69">
        <f>G16</f>
        <v>27144908.115765814</v>
      </c>
    </row>
    <row r="30" spans="1:8">
      <c r="A30" s="15" t="s">
        <v>77</v>
      </c>
      <c r="B30" s="69">
        <f>B29</f>
        <v>0</v>
      </c>
      <c r="C30" s="69">
        <f t="shared" ref="C30:G30" si="10">C29</f>
        <v>9953583.3333333395</v>
      </c>
      <c r="D30" s="69">
        <f t="shared" si="10"/>
        <v>13718260.285392232</v>
      </c>
      <c r="E30" s="69">
        <f t="shared" si="10"/>
        <v>17414164.014253959</v>
      </c>
      <c r="F30" s="69">
        <f t="shared" si="10"/>
        <v>21712343.278926697</v>
      </c>
      <c r="G30" s="69">
        <f t="shared" si="10"/>
        <v>27144908.115765814</v>
      </c>
    </row>
    <row r="31" spans="1:8">
      <c r="A31" s="15" t="s">
        <v>78</v>
      </c>
      <c r="B31" s="26">
        <f>'3'!J8</f>
        <v>36783333.333333328</v>
      </c>
      <c r="C31" s="26">
        <f>'3'!J9</f>
        <v>30758315.998099945</v>
      </c>
      <c r="D31" s="26">
        <f>'3'!J10</f>
        <v>24130796.929343224</v>
      </c>
      <c r="E31" s="26">
        <f>'3'!J11</f>
        <v>16840525.953710832</v>
      </c>
      <c r="F31" s="26">
        <f>'3'!J12</f>
        <v>8821227.8805151992</v>
      </c>
      <c r="G31" s="26">
        <f>'3'!J13</f>
        <v>0</v>
      </c>
    </row>
    <row r="32" spans="1:8" ht="15.75" thickBot="1">
      <c r="A32" s="66" t="s">
        <v>75</v>
      </c>
      <c r="B32" s="73">
        <f>B30+B31</f>
        <v>36783333.333333328</v>
      </c>
      <c r="C32" s="73">
        <f t="shared" ref="C32:G32" si="11">C30+C31</f>
        <v>40711899.331433281</v>
      </c>
      <c r="D32" s="73">
        <f t="shared" si="11"/>
        <v>37849057.214735456</v>
      </c>
      <c r="E32" s="73">
        <f t="shared" si="11"/>
        <v>34254689.967964791</v>
      </c>
      <c r="F32" s="73">
        <f t="shared" si="11"/>
        <v>30533571.159441896</v>
      </c>
      <c r="G32" s="73">
        <f t="shared" si="11"/>
        <v>27144908.115765814</v>
      </c>
    </row>
    <row r="33" spans="1:7" ht="15.75" thickTop="1">
      <c r="A33" s="184" t="s">
        <v>79</v>
      </c>
      <c r="B33" s="184"/>
      <c r="C33" s="184"/>
      <c r="D33" s="184"/>
      <c r="E33" s="184"/>
      <c r="F33" s="184"/>
      <c r="G33" s="184"/>
    </row>
    <row r="34" spans="1:7">
      <c r="A34" s="15" t="s">
        <v>80</v>
      </c>
      <c r="B34" s="27">
        <f>'3'!D15</f>
        <v>20000000</v>
      </c>
      <c r="C34" s="27">
        <f>B34</f>
        <v>20000000</v>
      </c>
      <c r="D34" s="27">
        <f t="shared" ref="D34:G34" si="12">C34</f>
        <v>20000000</v>
      </c>
      <c r="E34" s="27">
        <f t="shared" si="12"/>
        <v>20000000</v>
      </c>
      <c r="F34" s="27">
        <f t="shared" si="12"/>
        <v>20000000</v>
      </c>
      <c r="G34" s="27">
        <f t="shared" si="12"/>
        <v>20000000</v>
      </c>
    </row>
    <row r="35" spans="1:7">
      <c r="A35" s="15" t="s">
        <v>81</v>
      </c>
      <c r="B35" s="15">
        <v>0</v>
      </c>
      <c r="C35" s="69">
        <f>C17</f>
        <v>22154750.000000015</v>
      </c>
      <c r="D35" s="69">
        <f>D17</f>
        <v>30534192.248131096</v>
      </c>
      <c r="E35" s="69">
        <f>E17</f>
        <v>38760558.612371713</v>
      </c>
      <c r="F35" s="69">
        <f>F17</f>
        <v>48327473.749869093</v>
      </c>
      <c r="G35" s="69">
        <f>G17</f>
        <v>60419311.612511009</v>
      </c>
    </row>
    <row r="36" spans="1:7" ht="15.75" thickBot="1">
      <c r="A36" s="66" t="s">
        <v>82</v>
      </c>
      <c r="B36" s="73">
        <f>B34+B35</f>
        <v>20000000</v>
      </c>
      <c r="C36" s="73">
        <f t="shared" ref="C36:G36" si="13">C34+C35</f>
        <v>42154750.000000015</v>
      </c>
      <c r="D36" s="73">
        <f t="shared" si="13"/>
        <v>50534192.248131096</v>
      </c>
      <c r="E36" s="73">
        <f t="shared" si="13"/>
        <v>58760558.612371713</v>
      </c>
      <c r="F36" s="73">
        <f t="shared" si="13"/>
        <v>68327473.749869093</v>
      </c>
      <c r="G36" s="73">
        <f t="shared" si="13"/>
        <v>80419311.612511009</v>
      </c>
    </row>
    <row r="37" spans="1:7" ht="15.75" thickTop="1"/>
    <row r="38" spans="1:7" ht="15.75" thickBot="1">
      <c r="A38" s="66" t="s">
        <v>83</v>
      </c>
      <c r="B38" s="73">
        <f>B32+B36</f>
        <v>56783333.333333328</v>
      </c>
      <c r="C38" s="73">
        <f t="shared" ref="C38:G38" si="14">C32+C36</f>
        <v>82866649.331433296</v>
      </c>
      <c r="D38" s="73">
        <f t="shared" si="14"/>
        <v>88383249.462866545</v>
      </c>
      <c r="E38" s="73">
        <f t="shared" si="14"/>
        <v>93015248.580336511</v>
      </c>
      <c r="F38" s="73">
        <f t="shared" si="14"/>
        <v>98861044.909310997</v>
      </c>
      <c r="G38" s="73">
        <f t="shared" si="14"/>
        <v>107564219.72827682</v>
      </c>
    </row>
    <row r="39" spans="1:7" ht="15.75" thickTop="1">
      <c r="A39" s="62" t="s">
        <v>90</v>
      </c>
      <c r="B39" s="74">
        <f>B27-B38</f>
        <v>0</v>
      </c>
      <c r="C39" s="74">
        <f t="shared" ref="C39:G39" si="15">C27-C38</f>
        <v>0</v>
      </c>
      <c r="D39" s="74">
        <f t="shared" si="15"/>
        <v>0</v>
      </c>
      <c r="E39" s="74">
        <f t="shared" si="15"/>
        <v>0</v>
      </c>
      <c r="F39" s="74">
        <f t="shared" si="15"/>
        <v>0</v>
      </c>
      <c r="G39" s="74">
        <f t="shared" si="15"/>
        <v>0</v>
      </c>
    </row>
    <row r="41" spans="1:7" ht="15.75">
      <c r="A41" s="185" t="s">
        <v>96</v>
      </c>
      <c r="B41" s="185"/>
      <c r="C41" s="185"/>
      <c r="D41" s="185"/>
      <c r="E41" s="185"/>
      <c r="F41" s="185"/>
      <c r="G41" s="185"/>
    </row>
    <row r="42" spans="1:7">
      <c r="A42" s="184" t="s">
        <v>97</v>
      </c>
      <c r="B42" s="184"/>
      <c r="C42" s="184"/>
      <c r="D42" s="184"/>
      <c r="E42" s="184"/>
      <c r="F42" s="184"/>
      <c r="G42" s="184"/>
    </row>
    <row r="43" spans="1:7" ht="23.25">
      <c r="A43" s="11"/>
      <c r="B43" s="72" t="s">
        <v>84</v>
      </c>
      <c r="C43" s="64">
        <f>C20</f>
        <v>2021</v>
      </c>
      <c r="D43" s="64">
        <f t="shared" ref="D43:G43" si="16">D20</f>
        <v>2022</v>
      </c>
      <c r="E43" s="64">
        <f t="shared" si="16"/>
        <v>2023</v>
      </c>
      <c r="F43" s="64">
        <f t="shared" si="16"/>
        <v>2024</v>
      </c>
      <c r="G43" s="64">
        <f t="shared" si="16"/>
        <v>2025</v>
      </c>
    </row>
    <row r="44" spans="1:7">
      <c r="A44" s="1" t="s">
        <v>98</v>
      </c>
      <c r="B44" s="2">
        <f>B22</f>
        <v>54283333.333333328</v>
      </c>
      <c r="C44" s="2">
        <f t="shared" ref="C44:G44" si="17">C22</f>
        <v>80866649.331433296</v>
      </c>
      <c r="D44" s="2">
        <f t="shared" si="17"/>
        <v>86883249.462866545</v>
      </c>
      <c r="E44" s="2">
        <f t="shared" si="17"/>
        <v>92015248.580336511</v>
      </c>
      <c r="F44" s="2">
        <f t="shared" si="17"/>
        <v>98361044.909310997</v>
      </c>
      <c r="G44" s="2">
        <f t="shared" si="17"/>
        <v>107564219.72827682</v>
      </c>
    </row>
    <row r="45" spans="1:7" ht="15.75" thickBot="1">
      <c r="A45" s="1" t="s">
        <v>99</v>
      </c>
      <c r="B45" s="3">
        <f>B29</f>
        <v>0</v>
      </c>
      <c r="C45" s="3">
        <f t="shared" ref="C45:G45" si="18">C29</f>
        <v>9953583.3333333395</v>
      </c>
      <c r="D45" s="3">
        <f t="shared" si="18"/>
        <v>13718260.285392232</v>
      </c>
      <c r="E45" s="3">
        <f t="shared" si="18"/>
        <v>17414164.014253959</v>
      </c>
      <c r="F45" s="3">
        <f t="shared" si="18"/>
        <v>21712343.278926697</v>
      </c>
      <c r="G45" s="3">
        <f t="shared" si="18"/>
        <v>27144908.115765814</v>
      </c>
    </row>
    <row r="46" spans="1:7" ht="15.75" thickTop="1">
      <c r="A46" s="4" t="s">
        <v>100</v>
      </c>
      <c r="B46" s="5">
        <f t="shared" ref="B46:G46" si="19">B44-B45</f>
        <v>54283333.333333328</v>
      </c>
      <c r="C46" s="5">
        <f t="shared" si="19"/>
        <v>70913065.998099953</v>
      </c>
      <c r="D46" s="5">
        <f t="shared" si="19"/>
        <v>73164989.17747432</v>
      </c>
      <c r="E46" s="5">
        <f t="shared" si="19"/>
        <v>74601084.566082552</v>
      </c>
      <c r="F46" s="5">
        <f t="shared" si="19"/>
        <v>76648701.630384296</v>
      </c>
      <c r="G46" s="5">
        <f t="shared" si="19"/>
        <v>80419311.612511009</v>
      </c>
    </row>
    <row r="47" spans="1:7">
      <c r="A47" s="1"/>
      <c r="B47" s="2"/>
      <c r="C47" s="2"/>
      <c r="D47" s="2"/>
      <c r="E47" s="2"/>
      <c r="F47" s="2"/>
      <c r="G47" s="2"/>
    </row>
    <row r="48" spans="1:7">
      <c r="A48" s="4" t="s">
        <v>101</v>
      </c>
      <c r="B48" s="2">
        <f>B26</f>
        <v>2500000</v>
      </c>
      <c r="C48" s="2">
        <f t="shared" ref="C48:G48" si="20">C26</f>
        <v>2000000</v>
      </c>
      <c r="D48" s="2">
        <f t="shared" si="20"/>
        <v>1500000</v>
      </c>
      <c r="E48" s="2">
        <f t="shared" si="20"/>
        <v>1000000</v>
      </c>
      <c r="F48" s="2">
        <f t="shared" si="20"/>
        <v>500000</v>
      </c>
      <c r="G48" s="2">
        <f t="shared" si="20"/>
        <v>0</v>
      </c>
    </row>
    <row r="49" spans="1:7" ht="15.75" thickBot="1">
      <c r="A49" s="1" t="s">
        <v>102</v>
      </c>
      <c r="B49" s="3">
        <f>B25</f>
        <v>0</v>
      </c>
      <c r="C49" s="3">
        <f t="shared" ref="C49:G49" si="21">C25</f>
        <v>500000</v>
      </c>
      <c r="D49" s="3">
        <f t="shared" si="21"/>
        <v>1000000</v>
      </c>
      <c r="E49" s="3">
        <f t="shared" si="21"/>
        <v>1500000</v>
      </c>
      <c r="F49" s="3">
        <f t="shared" si="21"/>
        <v>2000000</v>
      </c>
      <c r="G49" s="3">
        <f t="shared" si="21"/>
        <v>2500000</v>
      </c>
    </row>
    <row r="50" spans="1:7" ht="15.75" thickTop="1">
      <c r="A50" s="4" t="s">
        <v>103</v>
      </c>
      <c r="B50" s="5">
        <f t="shared" ref="B50:G50" si="22">B48+B49</f>
        <v>2500000</v>
      </c>
      <c r="C50" s="5">
        <f t="shared" si="22"/>
        <v>2500000</v>
      </c>
      <c r="D50" s="5">
        <f t="shared" si="22"/>
        <v>2500000</v>
      </c>
      <c r="E50" s="5">
        <f t="shared" si="22"/>
        <v>2500000</v>
      </c>
      <c r="F50" s="5">
        <f t="shared" si="22"/>
        <v>2500000</v>
      </c>
      <c r="G50" s="5">
        <f t="shared" si="22"/>
        <v>2500000</v>
      </c>
    </row>
    <row r="51" spans="1:7">
      <c r="A51" s="1"/>
      <c r="B51" s="2"/>
      <c r="C51" s="2"/>
      <c r="D51" s="2"/>
      <c r="E51" s="2"/>
      <c r="F51" s="2"/>
      <c r="G51" s="2"/>
    </row>
    <row r="52" spans="1:7" ht="15.75" thickBot="1">
      <c r="A52" s="12" t="s">
        <v>104</v>
      </c>
      <c r="B52" s="6">
        <f t="shared" ref="B52:G52" si="23">B46+B48</f>
        <v>56783333.333333328</v>
      </c>
      <c r="C52" s="6">
        <f t="shared" si="23"/>
        <v>72913065.998099953</v>
      </c>
      <c r="D52" s="6">
        <f t="shared" si="23"/>
        <v>74664989.17747432</v>
      </c>
      <c r="E52" s="6">
        <f t="shared" si="23"/>
        <v>75601084.566082552</v>
      </c>
      <c r="F52" s="6">
        <f t="shared" si="23"/>
        <v>77148701.630384296</v>
      </c>
      <c r="G52" s="6">
        <f t="shared" si="23"/>
        <v>80419311.612511009</v>
      </c>
    </row>
    <row r="53" spans="1:7" ht="15.75" thickTop="1">
      <c r="A53" s="7"/>
      <c r="B53" s="2"/>
      <c r="C53" s="2"/>
      <c r="D53" s="2"/>
      <c r="E53" s="2"/>
      <c r="F53" s="2"/>
      <c r="G53" s="2"/>
    </row>
    <row r="54" spans="1:7">
      <c r="A54" s="183" t="s">
        <v>105</v>
      </c>
      <c r="B54" s="183"/>
      <c r="C54" s="183"/>
      <c r="D54" s="183"/>
      <c r="E54" s="183"/>
      <c r="F54" s="183"/>
      <c r="G54" s="183"/>
    </row>
    <row r="55" spans="1:7">
      <c r="A55" s="1" t="s">
        <v>106</v>
      </c>
      <c r="B55" s="8"/>
      <c r="C55" s="9">
        <f>C13</f>
        <v>35786666.666666687</v>
      </c>
      <c r="D55" s="9">
        <f t="shared" ref="D55:G55" si="24">D13</f>
        <v>47328284.133333325</v>
      </c>
      <c r="E55" s="9">
        <f t="shared" si="24"/>
        <v>58587802.319559991</v>
      </c>
      <c r="F55" s="9">
        <f t="shared" si="24"/>
        <v>71723869.624166876</v>
      </c>
      <c r="G55" s="9">
        <f t="shared" si="24"/>
        <v>88446342.516328335</v>
      </c>
    </row>
    <row r="56" spans="1:7" ht="15.75" thickBot="1">
      <c r="A56" s="1" t="s">
        <v>107</v>
      </c>
      <c r="B56" s="8"/>
      <c r="C56" s="10">
        <f>C55*'1'!$AB$7</f>
        <v>11093866.666666673</v>
      </c>
      <c r="D56" s="10">
        <f>D55*'1'!$AB$7</f>
        <v>14671768.08133333</v>
      </c>
      <c r="E56" s="10">
        <f>E55*'1'!$AB$7</f>
        <v>18162218.719063599</v>
      </c>
      <c r="F56" s="10">
        <f>F55*'1'!$AB$7</f>
        <v>22234399.583491731</v>
      </c>
      <c r="G56" s="10">
        <f>G55*'1'!$AB$7</f>
        <v>27418366.180061784</v>
      </c>
    </row>
    <row r="57" spans="1:7" ht="15.75" thickTop="1">
      <c r="A57" s="4" t="s">
        <v>108</v>
      </c>
      <c r="B57" s="8"/>
      <c r="C57" s="9">
        <f>C55-C56</f>
        <v>24692800.000000015</v>
      </c>
      <c r="D57" s="9">
        <f>D55-D56</f>
        <v>32656516.051999994</v>
      </c>
      <c r="E57" s="9">
        <f>E55-E56</f>
        <v>40425583.600496396</v>
      </c>
      <c r="F57" s="9">
        <f>F55-F56</f>
        <v>49489470.040675148</v>
      </c>
      <c r="G57" s="9">
        <f>G55-G56</f>
        <v>61027976.336266547</v>
      </c>
    </row>
    <row r="58" spans="1:7" ht="15.75" thickBot="1">
      <c r="A58" s="1" t="s">
        <v>109</v>
      </c>
      <c r="B58" s="8"/>
      <c r="C58" s="10">
        <f>-(C52-B52)</f>
        <v>-16129732.664766625</v>
      </c>
      <c r="D58" s="10">
        <f t="shared" ref="D58:G58" si="25">-(D52-C52)</f>
        <v>-1751923.179374367</v>
      </c>
      <c r="E58" s="10">
        <f t="shared" si="25"/>
        <v>-936095.38860823214</v>
      </c>
      <c r="F58" s="10">
        <f t="shared" si="25"/>
        <v>-1547617.0643017441</v>
      </c>
      <c r="G58" s="10">
        <f t="shared" si="25"/>
        <v>-3270609.9821267128</v>
      </c>
    </row>
    <row r="59" spans="1:7" ht="16.5" thickTop="1" thickBot="1">
      <c r="A59" s="61" t="s">
        <v>110</v>
      </c>
      <c r="B59" s="62"/>
      <c r="C59" s="63">
        <f>SUM(C57:C58)</f>
        <v>8563067.3352333903</v>
      </c>
      <c r="D59" s="63">
        <f t="shared" ref="D59:G59" si="26">SUM(D57:D58)</f>
        <v>30904592.872625627</v>
      </c>
      <c r="E59" s="63">
        <f t="shared" si="26"/>
        <v>39489488.211888164</v>
      </c>
      <c r="F59" s="63">
        <f t="shared" si="26"/>
        <v>47941852.976373404</v>
      </c>
      <c r="G59" s="63">
        <f t="shared" si="26"/>
        <v>57757366.354139835</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66"/>
  <sheetViews>
    <sheetView showGridLines="0" zoomScale="80" zoomScaleNormal="80" workbookViewId="0">
      <selection activeCell="E3" sqref="E3:F4"/>
    </sheetView>
  </sheetViews>
  <sheetFormatPr baseColWidth="10" defaultRowHeight="15"/>
  <cols>
    <col min="1" max="1" width="11.42578125" style="15"/>
    <col min="2" max="2" width="32.5703125" style="15" customWidth="1"/>
    <col min="3" max="3" width="24.28515625" style="15" bestFit="1" customWidth="1"/>
    <col min="4" max="4" width="36.28515625" style="15" bestFit="1" customWidth="1"/>
    <col min="5" max="5" width="27.140625" style="15" bestFit="1" customWidth="1"/>
    <col min="6" max="6" width="26" style="15" customWidth="1"/>
    <col min="7" max="8" width="20.710937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c r="B2" s="171" t="s">
        <v>131</v>
      </c>
      <c r="C2" s="171"/>
      <c r="D2" s="171"/>
      <c r="E2" s="171"/>
      <c r="F2" s="171"/>
      <c r="G2" s="171"/>
      <c r="H2" s="171"/>
    </row>
    <row r="3" spans="2:16" ht="15.75" customHeight="1">
      <c r="B3" s="191" t="s">
        <v>159</v>
      </c>
      <c r="C3" s="191"/>
      <c r="D3" s="191"/>
      <c r="E3" s="192">
        <v>0.1</v>
      </c>
      <c r="F3" s="192"/>
    </row>
    <row r="4" spans="2:16" ht="16.5" customHeight="1">
      <c r="B4" s="191"/>
      <c r="C4" s="191"/>
      <c r="D4" s="191"/>
      <c r="E4" s="192"/>
      <c r="F4" s="192"/>
      <c r="O4" s="108"/>
    </row>
    <row r="5" spans="2:16" ht="16.5" customHeight="1">
      <c r="B5" s="189"/>
      <c r="C5" s="189"/>
      <c r="D5" s="189"/>
      <c r="E5" s="148"/>
      <c r="F5" s="148"/>
      <c r="O5" s="108"/>
    </row>
    <row r="6" spans="2:16" ht="15.75" thickBot="1">
      <c r="O6" s="108"/>
      <c r="P6" s="111"/>
    </row>
    <row r="7" spans="2:16" ht="23.25">
      <c r="B7" s="107" t="s">
        <v>111</v>
      </c>
      <c r="C7" s="87" t="s">
        <v>112</v>
      </c>
      <c r="D7" s="88">
        <f>'4'!C20</f>
        <v>2021</v>
      </c>
      <c r="E7" s="88">
        <f>'4'!D20</f>
        <v>2022</v>
      </c>
      <c r="F7" s="88">
        <f>'4'!E20</f>
        <v>2023</v>
      </c>
      <c r="G7" s="88">
        <f>'4'!F20</f>
        <v>2024</v>
      </c>
      <c r="H7" s="89">
        <f>'4'!G20</f>
        <v>2025</v>
      </c>
      <c r="O7" s="108"/>
      <c r="P7" s="110"/>
    </row>
    <row r="8" spans="2:16" ht="19.5" thickBot="1">
      <c r="B8" s="90"/>
      <c r="C8" s="117">
        <f>-'3'!D14</f>
        <v>-56783333.333333328</v>
      </c>
      <c r="D8" s="117">
        <f>'4'!C59</f>
        <v>8563067.3352333903</v>
      </c>
      <c r="E8" s="117">
        <f>'4'!D59</f>
        <v>30904592.872625627</v>
      </c>
      <c r="F8" s="117">
        <f>'4'!E59</f>
        <v>39489488.211888164</v>
      </c>
      <c r="G8" s="117">
        <f>'4'!F59</f>
        <v>47941852.976373404</v>
      </c>
      <c r="H8" s="118">
        <f>'4'!G59</f>
        <v>57757366.354139835</v>
      </c>
      <c r="O8" s="108"/>
      <c r="P8" s="110"/>
    </row>
    <row r="9" spans="2:16" ht="15.75" thickBot="1">
      <c r="C9" s="112">
        <f>C8/(1+$E$3)^0</f>
        <v>-56783333.333333328</v>
      </c>
      <c r="D9" s="112">
        <f>D8/(1+$E$3)^1</f>
        <v>7784606.668393991</v>
      </c>
      <c r="E9" s="112">
        <f>E8/(1+$E$3)^2</f>
        <v>25540985.845145144</v>
      </c>
      <c r="F9" s="112">
        <f>F8/(1+$E$3)^3</f>
        <v>29669036.973619949</v>
      </c>
      <c r="G9" s="112">
        <f>G8/(1+$E$3)^4</f>
        <v>32744930.65799699</v>
      </c>
      <c r="H9" s="112">
        <f>H8/(1+$E$3)^5</f>
        <v>35862780.33302483</v>
      </c>
      <c r="I9" s="119"/>
      <c r="O9" s="108"/>
      <c r="P9" s="110"/>
    </row>
    <row r="10" spans="2:16" ht="24" thickBot="1">
      <c r="B10" s="31" t="s">
        <v>113</v>
      </c>
      <c r="C10" s="32"/>
      <c r="D10" s="120">
        <f>NPV(E3,D8:H8)+$C$8</f>
        <v>74819007.144847572</v>
      </c>
      <c r="O10" s="108"/>
      <c r="P10" s="110"/>
    </row>
    <row r="11" spans="2:16" ht="27.75" thickBot="1">
      <c r="B11" s="116" t="s">
        <v>114</v>
      </c>
      <c r="C11" s="32"/>
      <c r="D11" s="121">
        <f>IF(ISERROR(IRR(C8:H8)),"NO_APLICA",(IRR(C8:H8)))</f>
        <v>0.42130230684824976</v>
      </c>
      <c r="F11" s="113" t="s">
        <v>136</v>
      </c>
      <c r="G11" s="32"/>
      <c r="H11" s="114">
        <f>IF(ISERROR(-C9/AVERAGE(D9:H9)),"NO_APLICA",(-C9/AVERAGE(D9:H9)))</f>
        <v>2.1573831106274191</v>
      </c>
      <c r="I11" s="115" t="s">
        <v>63</v>
      </c>
      <c r="P11" s="109"/>
    </row>
    <row r="13" spans="2:16" ht="18.75">
      <c r="B13" s="193" t="s">
        <v>118</v>
      </c>
      <c r="C13" s="193"/>
      <c r="D13" s="193"/>
      <c r="E13" s="193"/>
      <c r="F13" s="193"/>
      <c r="G13" s="193"/>
      <c r="H13" s="193"/>
    </row>
    <row r="14" spans="2:16" ht="36.75">
      <c r="B14" s="91" t="str">
        <f>'1'!B2</f>
        <v>NOMBRE DEL PRODUCTO O SERVICIO</v>
      </c>
      <c r="C14" s="91" t="s">
        <v>119</v>
      </c>
      <c r="D14" s="91" t="s">
        <v>120</v>
      </c>
      <c r="E14" s="91" t="s">
        <v>121</v>
      </c>
      <c r="F14" s="91" t="s">
        <v>123</v>
      </c>
      <c r="H14" s="75"/>
      <c r="I14" s="75"/>
      <c r="J14" s="75" t="s">
        <v>127</v>
      </c>
    </row>
    <row r="15" spans="2:16">
      <c r="B15" s="92" t="str">
        <f>'1'!B3</f>
        <v>Servicio de Consultoria en GP</v>
      </c>
      <c r="C15" s="93">
        <f>'1'!D3-'1'!D17</f>
        <v>4552777.777777778</v>
      </c>
      <c r="D15" s="94">
        <f>'1'!F3</f>
        <v>0.56349699606380776</v>
      </c>
      <c r="E15" s="95">
        <f>C15*D15</f>
        <v>2565476.6015238361</v>
      </c>
      <c r="F15" s="96">
        <f t="shared" ref="F15:F24" si="0">$E$28*D15</f>
        <v>7.0555432269518681</v>
      </c>
      <c r="G15" s="39" t="s">
        <v>122</v>
      </c>
      <c r="H15" s="76">
        <f>'1'!D3</f>
        <v>13600000</v>
      </c>
      <c r="I15" s="97">
        <f t="shared" ref="I15:I24" si="1">$B$35*D15</f>
        <v>14.111086453903736</v>
      </c>
      <c r="J15" s="76">
        <f>'1'!D17</f>
        <v>9047222.222222222</v>
      </c>
    </row>
    <row r="16" spans="2:16">
      <c r="B16" s="98" t="str">
        <f>'1'!B4</f>
        <v>AsesorÍa en implementación de sofware especializado en GP</v>
      </c>
      <c r="C16" s="93">
        <f>'1'!D4-'1'!D18</f>
        <v>851388.88888888899</v>
      </c>
      <c r="D16" s="94">
        <f>'1'!F4</f>
        <v>0.22270561425315932</v>
      </c>
      <c r="E16" s="95">
        <f t="shared" ref="E16:E24" si="2">C16*D16</f>
        <v>189609.08546831485</v>
      </c>
      <c r="F16" s="96">
        <f t="shared" si="0"/>
        <v>2.7884959444754625</v>
      </c>
      <c r="G16" s="39" t="str">
        <f>G15</f>
        <v>UNIDADES</v>
      </c>
      <c r="H16" s="76">
        <f>'1'!D4</f>
        <v>5375000</v>
      </c>
      <c r="I16" s="97">
        <f t="shared" si="1"/>
        <v>5.5769918889509249</v>
      </c>
      <c r="J16" s="76">
        <f>'1'!D18</f>
        <v>4523611.111111111</v>
      </c>
    </row>
    <row r="17" spans="2:10">
      <c r="B17" s="98" t="str">
        <f>'1'!B5</f>
        <v>Capacitaciones en temas espesíficos en la GP</v>
      </c>
      <c r="C17" s="93">
        <f>'1'!D5-'1'!D19</f>
        <v>636388.88888888899</v>
      </c>
      <c r="D17" s="94">
        <f>'1'!F5</f>
        <v>0.21379738968303294</v>
      </c>
      <c r="E17" s="95">
        <f t="shared" si="2"/>
        <v>136058.28326773015</v>
      </c>
      <c r="F17" s="96">
        <f t="shared" si="0"/>
        <v>2.6769561066964438</v>
      </c>
      <c r="G17" s="39" t="str">
        <f t="shared" ref="G17:G24" si="3">G16</f>
        <v>UNIDADES</v>
      </c>
      <c r="H17" s="76">
        <f>'1'!D5</f>
        <v>5160000</v>
      </c>
      <c r="I17" s="97">
        <f t="shared" si="1"/>
        <v>5.3539122133928876</v>
      </c>
      <c r="J17" s="76">
        <f>'1'!D19</f>
        <v>4523611.111111111</v>
      </c>
    </row>
    <row r="18" spans="2:10">
      <c r="B18" s="98">
        <f>'1'!B6</f>
        <v>0</v>
      </c>
      <c r="C18" s="93">
        <f>'1'!D6-'1'!D20</f>
        <v>0</v>
      </c>
      <c r="D18" s="94">
        <f>'1'!F6</f>
        <v>0</v>
      </c>
      <c r="E18" s="95">
        <f t="shared" si="2"/>
        <v>0</v>
      </c>
      <c r="F18" s="96">
        <f t="shared" si="0"/>
        <v>0</v>
      </c>
      <c r="G18" s="39" t="str">
        <f t="shared" si="3"/>
        <v>UNIDADES</v>
      </c>
      <c r="H18" s="76">
        <f>'1'!D6</f>
        <v>0</v>
      </c>
      <c r="I18" s="97">
        <f t="shared" si="1"/>
        <v>0</v>
      </c>
      <c r="J18" s="76">
        <f>'1'!D20</f>
        <v>0</v>
      </c>
    </row>
    <row r="19" spans="2:10">
      <c r="B19" s="98">
        <f>'1'!B7</f>
        <v>0</v>
      </c>
      <c r="C19" s="93">
        <f>'1'!D7-'1'!D21</f>
        <v>0</v>
      </c>
      <c r="D19" s="94">
        <f>'1'!F7</f>
        <v>0</v>
      </c>
      <c r="E19" s="95">
        <f t="shared" si="2"/>
        <v>0</v>
      </c>
      <c r="F19" s="96">
        <f t="shared" si="0"/>
        <v>0</v>
      </c>
      <c r="G19" s="39" t="str">
        <f t="shared" si="3"/>
        <v>UNIDADES</v>
      </c>
      <c r="H19" s="76">
        <f>'1'!D7</f>
        <v>0</v>
      </c>
      <c r="I19" s="97">
        <f t="shared" si="1"/>
        <v>0</v>
      </c>
      <c r="J19" s="76">
        <f>'1'!D21</f>
        <v>0</v>
      </c>
    </row>
    <row r="20" spans="2:10">
      <c r="B20" s="98">
        <f>'1'!B8</f>
        <v>0</v>
      </c>
      <c r="C20" s="93">
        <f>'1'!D8-'1'!D22</f>
        <v>0</v>
      </c>
      <c r="D20" s="94">
        <f>'1'!F8</f>
        <v>0</v>
      </c>
      <c r="E20" s="95">
        <f t="shared" si="2"/>
        <v>0</v>
      </c>
      <c r="F20" s="96">
        <f t="shared" si="0"/>
        <v>0</v>
      </c>
      <c r="G20" s="39" t="str">
        <f t="shared" si="3"/>
        <v>UNIDADES</v>
      </c>
      <c r="H20" s="76">
        <f>'1'!D8</f>
        <v>0</v>
      </c>
      <c r="I20" s="97">
        <f t="shared" si="1"/>
        <v>0</v>
      </c>
      <c r="J20" s="76">
        <f>'1'!D22</f>
        <v>0</v>
      </c>
    </row>
    <row r="21" spans="2:10">
      <c r="B21" s="98">
        <f>'1'!B9</f>
        <v>0</v>
      </c>
      <c r="C21" s="93">
        <f>'1'!D9-'1'!D23</f>
        <v>0</v>
      </c>
      <c r="D21" s="94">
        <f>'1'!F9</f>
        <v>0</v>
      </c>
      <c r="E21" s="95">
        <f t="shared" si="2"/>
        <v>0</v>
      </c>
      <c r="F21" s="96">
        <f t="shared" si="0"/>
        <v>0</v>
      </c>
      <c r="G21" s="39" t="str">
        <f t="shared" si="3"/>
        <v>UNIDADES</v>
      </c>
      <c r="H21" s="76">
        <f>'1'!D9</f>
        <v>0</v>
      </c>
      <c r="I21" s="97">
        <f t="shared" si="1"/>
        <v>0</v>
      </c>
      <c r="J21" s="76">
        <f>'1'!D23</f>
        <v>0</v>
      </c>
    </row>
    <row r="22" spans="2:10">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6.25">
      <c r="B25" s="99"/>
      <c r="C25" s="100"/>
      <c r="D25" s="101"/>
      <c r="E25" s="27"/>
      <c r="F25" s="102">
        <f>SUM(F15:F24)</f>
        <v>12.520995278123774</v>
      </c>
      <c r="G25" s="15" t="str">
        <f>G24</f>
        <v>UNIDADES</v>
      </c>
      <c r="H25" s="76"/>
      <c r="I25" s="97"/>
      <c r="J25" s="76"/>
    </row>
    <row r="26" spans="2:10" ht="12.75" customHeight="1">
      <c r="B26" s="99"/>
      <c r="C26" s="100"/>
      <c r="D26" s="101"/>
      <c r="E26" s="27"/>
      <c r="F26" s="102"/>
      <c r="H26" s="76"/>
      <c r="I26" s="97"/>
      <c r="J26" s="76"/>
    </row>
    <row r="27" spans="2:10" ht="21" customHeight="1">
      <c r="B27" s="190" t="s">
        <v>130</v>
      </c>
      <c r="C27" s="190"/>
      <c r="D27" s="190"/>
      <c r="E27" s="103">
        <f>SUM(E15:E24)</f>
        <v>2891143.9702598816</v>
      </c>
      <c r="H27" s="75"/>
      <c r="I27" s="75"/>
      <c r="J27" s="75"/>
    </row>
    <row r="28" spans="2:10" ht="19.5" customHeight="1">
      <c r="B28" s="190" t="s">
        <v>129</v>
      </c>
      <c r="C28" s="190"/>
      <c r="D28" s="190"/>
      <c r="E28" s="102">
        <f>IF(E27=0,0,('2'!C23+'2'!F31+'2'!C25)/'5'!E27)</f>
        <v>12.520995278123774</v>
      </c>
      <c r="F28" s="104" t="s">
        <v>122</v>
      </c>
      <c r="H28" s="105"/>
    </row>
    <row r="29" spans="2:10" ht="26.25">
      <c r="B29" s="190" t="s">
        <v>153</v>
      </c>
      <c r="C29" s="190"/>
      <c r="D29" s="190"/>
      <c r="E29" s="103">
        <f>E49</f>
        <v>124756647.09865466</v>
      </c>
    </row>
    <row r="30" spans="2:10">
      <c r="B30" s="143"/>
      <c r="C30" s="143"/>
      <c r="D30" s="143"/>
      <c r="E30" s="143"/>
      <c r="F30" s="143"/>
      <c r="G30" s="143"/>
    </row>
    <row r="31" spans="2:10" s="75" customFormat="1"/>
    <row r="32" spans="2:10" s="75" customFormat="1">
      <c r="C32" s="75" t="s">
        <v>124</v>
      </c>
      <c r="D32" s="75" t="s">
        <v>125</v>
      </c>
      <c r="E32" s="75" t="s">
        <v>128</v>
      </c>
      <c r="F32" s="75" t="s">
        <v>126</v>
      </c>
    </row>
    <row r="33" spans="2:6" s="75" customFormat="1">
      <c r="B33" s="75">
        <v>0</v>
      </c>
      <c r="C33" s="76">
        <f>'2'!C25+'2'!F31+'2'!C23</f>
        <v>36200000</v>
      </c>
      <c r="D33" s="75">
        <f>0</f>
        <v>0</v>
      </c>
      <c r="E33" s="75">
        <v>0</v>
      </c>
      <c r="F33" s="76">
        <f>C33+E33</f>
        <v>36200000</v>
      </c>
    </row>
    <row r="34" spans="2:6" s="75" customFormat="1">
      <c r="B34" s="97">
        <f>F25</f>
        <v>12.520995278123774</v>
      </c>
      <c r="C34" s="76">
        <f>C33</f>
        <v>36200000</v>
      </c>
      <c r="D34" s="144">
        <f>SUMPRODUCT(F15:F24,H15:H24)</f>
        <v>124756647.09865466</v>
      </c>
      <c r="E34" s="144">
        <f>SUMPRODUCT(F15:F24,J15:J24)</f>
        <v>88556647.098654673</v>
      </c>
      <c r="F34" s="76">
        <f t="shared" ref="F34:F35" si="4">C34+E34</f>
        <v>124756647.09865467</v>
      </c>
    </row>
    <row r="35" spans="2:6" s="75" customFormat="1">
      <c r="B35" s="97">
        <f>B34*2</f>
        <v>25.041990556247548</v>
      </c>
      <c r="C35" s="76">
        <f>C34</f>
        <v>36200000</v>
      </c>
      <c r="D35" s="144">
        <f>SUMPRODUCT(H15:H24,I15:I24)</f>
        <v>249513294.19730932</v>
      </c>
      <c r="E35" s="144">
        <f>SUMPRODUCT(I15:I24,J15:J24)</f>
        <v>177113294.19730935</v>
      </c>
      <c r="F35" s="76">
        <f t="shared" si="4"/>
        <v>213313294.19730935</v>
      </c>
    </row>
    <row r="36" spans="2:6" s="75" customFormat="1">
      <c r="C36" s="76"/>
    </row>
    <row r="37" spans="2:6" s="75" customFormat="1">
      <c r="C37" s="76"/>
    </row>
    <row r="38" spans="2:6" s="75" customFormat="1">
      <c r="C38" s="145" t="s">
        <v>151</v>
      </c>
      <c r="D38" s="75" t="s">
        <v>122</v>
      </c>
      <c r="E38" s="75" t="s">
        <v>152</v>
      </c>
    </row>
    <row r="39" spans="2:6" s="75" customFormat="1">
      <c r="B39" s="75">
        <v>1</v>
      </c>
      <c r="C39" s="76">
        <f>'1'!D3</f>
        <v>13600000</v>
      </c>
      <c r="D39" s="97">
        <f>F15</f>
        <v>7.0555432269518681</v>
      </c>
      <c r="E39" s="75">
        <f>C39*D39</f>
        <v>95955387.886545405</v>
      </c>
    </row>
    <row r="40" spans="2:6" s="75" customFormat="1">
      <c r="B40" s="75">
        <f>B39+1</f>
        <v>2</v>
      </c>
      <c r="C40" s="76">
        <f>'1'!D4</f>
        <v>5375000</v>
      </c>
      <c r="D40" s="97">
        <f t="shared" ref="D40:D48" si="5">F16</f>
        <v>2.7884959444754625</v>
      </c>
      <c r="E40" s="75">
        <f t="shared" ref="E40:E48" si="6">C40*D40</f>
        <v>14988165.701555612</v>
      </c>
    </row>
    <row r="41" spans="2:6" s="75" customFormat="1">
      <c r="B41" s="75">
        <f t="shared" ref="B41:B48" si="7">B40+1</f>
        <v>3</v>
      </c>
      <c r="C41" s="76">
        <f>'1'!D5</f>
        <v>5160000</v>
      </c>
      <c r="D41" s="97">
        <f t="shared" si="5"/>
        <v>2.6769561066964438</v>
      </c>
      <c r="E41" s="75">
        <f t="shared" si="6"/>
        <v>13813093.510553651</v>
      </c>
    </row>
    <row r="42" spans="2:6" s="75" customFormat="1">
      <c r="B42" s="75">
        <f t="shared" si="7"/>
        <v>4</v>
      </c>
      <c r="C42" s="76">
        <f>'1'!D6</f>
        <v>0</v>
      </c>
      <c r="D42" s="97">
        <f t="shared" si="5"/>
        <v>0</v>
      </c>
      <c r="E42" s="75">
        <f t="shared" si="6"/>
        <v>0</v>
      </c>
    </row>
    <row r="43" spans="2:6" s="75" customFormat="1">
      <c r="B43" s="75">
        <f t="shared" si="7"/>
        <v>5</v>
      </c>
      <c r="C43" s="76">
        <f>'1'!D7</f>
        <v>0</v>
      </c>
      <c r="D43" s="97">
        <f t="shared" si="5"/>
        <v>0</v>
      </c>
      <c r="E43" s="75">
        <f t="shared" si="6"/>
        <v>0</v>
      </c>
    </row>
    <row r="44" spans="2:6" s="75" customFormat="1">
      <c r="B44" s="75">
        <f t="shared" si="7"/>
        <v>6</v>
      </c>
      <c r="C44" s="76">
        <f>'1'!D8</f>
        <v>0</v>
      </c>
      <c r="D44" s="97">
        <f t="shared" si="5"/>
        <v>0</v>
      </c>
      <c r="E44" s="75">
        <f t="shared" si="6"/>
        <v>0</v>
      </c>
    </row>
    <row r="45" spans="2:6" s="75" customFormat="1">
      <c r="B45" s="75">
        <f t="shared" si="7"/>
        <v>7</v>
      </c>
      <c r="C45" s="76">
        <f>'1'!D9</f>
        <v>0</v>
      </c>
      <c r="D45" s="97">
        <f t="shared" si="5"/>
        <v>0</v>
      </c>
      <c r="E45" s="75">
        <f t="shared" si="6"/>
        <v>0</v>
      </c>
    </row>
    <row r="46" spans="2:6" s="75" customFormat="1">
      <c r="B46" s="75">
        <f t="shared" si="7"/>
        <v>8</v>
      </c>
      <c r="C46" s="76">
        <f>'1'!D10</f>
        <v>0</v>
      </c>
      <c r="D46" s="97">
        <f t="shared" si="5"/>
        <v>0</v>
      </c>
      <c r="E46" s="75">
        <f t="shared" si="6"/>
        <v>0</v>
      </c>
    </row>
    <row r="47" spans="2:6" s="75" customFormat="1">
      <c r="B47" s="75">
        <f t="shared" si="7"/>
        <v>9</v>
      </c>
      <c r="C47" s="76">
        <f>'1'!D11</f>
        <v>0</v>
      </c>
      <c r="D47" s="97">
        <f t="shared" si="5"/>
        <v>0</v>
      </c>
      <c r="E47" s="75">
        <f t="shared" si="6"/>
        <v>0</v>
      </c>
    </row>
    <row r="48" spans="2:6" s="75" customFormat="1">
      <c r="B48" s="75">
        <f t="shared" si="7"/>
        <v>10</v>
      </c>
      <c r="C48" s="76">
        <f>'1'!D12</f>
        <v>0</v>
      </c>
      <c r="D48" s="97">
        <f t="shared" si="5"/>
        <v>0</v>
      </c>
      <c r="E48" s="75">
        <f t="shared" si="6"/>
        <v>0</v>
      </c>
    </row>
    <row r="49" spans="2:8" s="75" customFormat="1">
      <c r="C49" s="76"/>
      <c r="E49" s="146">
        <f>SUM(E39:E48)</f>
        <v>124756647.09865466</v>
      </c>
    </row>
    <row r="50" spans="2:8" s="75" customFormat="1"/>
    <row r="51" spans="2:8" s="75" customFormat="1">
      <c r="C51" s="76"/>
    </row>
    <row r="52" spans="2:8" s="75" customFormat="1">
      <c r="B52" s="188"/>
      <c r="C52" s="188"/>
      <c r="D52" s="188"/>
      <c r="G52" s="75" t="s">
        <v>154</v>
      </c>
      <c r="H52" s="147">
        <f>'4'!B32/'4'!B27</f>
        <v>0.64778397417082478</v>
      </c>
    </row>
    <row r="53" spans="2:8" s="75" customFormat="1">
      <c r="C53" s="76"/>
      <c r="G53" s="75" t="s">
        <v>155</v>
      </c>
      <c r="H53" s="147">
        <f>'4'!B36/'4'!B27</f>
        <v>0.35221602582917527</v>
      </c>
    </row>
    <row r="54" spans="2:8" s="75" customFormat="1">
      <c r="G54" s="75" t="s">
        <v>156</v>
      </c>
      <c r="H54" s="75">
        <f>'1'!AB7</f>
        <v>0.31</v>
      </c>
    </row>
    <row r="55" spans="2:8" s="75" customFormat="1">
      <c r="G55" s="75" t="s">
        <v>157</v>
      </c>
      <c r="H55" s="147">
        <f>'3'!F4</f>
        <v>0.1</v>
      </c>
    </row>
    <row r="56" spans="2:8" s="75" customFormat="1">
      <c r="G56" s="75" t="s">
        <v>158</v>
      </c>
    </row>
    <row r="57" spans="2:8" s="75" customFormat="1"/>
    <row r="58" spans="2:8" s="75" customFormat="1"/>
    <row r="59" spans="2:8" s="75" customFormat="1"/>
    <row r="60" spans="2:8" s="75" customFormat="1"/>
    <row r="61" spans="2:8" s="75" customFormat="1"/>
    <row r="62" spans="2:8">
      <c r="B62" s="143"/>
      <c r="C62" s="143"/>
      <c r="D62" s="143"/>
      <c r="E62" s="143"/>
      <c r="F62" s="143"/>
      <c r="G62" s="143"/>
    </row>
    <row r="63" spans="2:8">
      <c r="B63" s="143"/>
      <c r="C63" s="143"/>
      <c r="D63" s="143"/>
      <c r="E63" s="143"/>
      <c r="F63" s="143"/>
      <c r="G63" s="143"/>
    </row>
    <row r="64" spans="2:8">
      <c r="B64" s="143"/>
      <c r="C64" s="143"/>
      <c r="D64" s="143"/>
      <c r="E64" s="143"/>
      <c r="F64" s="143"/>
      <c r="G64" s="143"/>
    </row>
    <row r="65" spans="2:7">
      <c r="B65" s="143"/>
      <c r="C65" s="143"/>
      <c r="D65" s="143"/>
      <c r="E65" s="143"/>
      <c r="F65" s="143"/>
      <c r="G65" s="143"/>
    </row>
    <row r="66" spans="2:7">
      <c r="B66" s="143"/>
      <c r="C66" s="143"/>
      <c r="D66" s="143"/>
      <c r="E66" s="143"/>
      <c r="F66" s="143"/>
      <c r="G66" s="143"/>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5:Q59"/>
  <sheetViews>
    <sheetView tabSelected="1" topLeftCell="A16" zoomScale="130" zoomScaleNormal="130" workbookViewId="0">
      <selection activeCell="E18" sqref="E18"/>
    </sheetView>
  </sheetViews>
  <sheetFormatPr baseColWidth="10" defaultRowHeight="15"/>
  <cols>
    <col min="2" max="2" width="32.85546875" customWidth="1"/>
    <col min="3" max="3" width="28.140625" customWidth="1"/>
    <col min="4" max="4" width="25.28515625" bestFit="1" customWidth="1"/>
    <col min="5" max="5" width="15.85546875" customWidth="1"/>
    <col min="6" max="6" width="20.140625" bestFit="1" customWidth="1"/>
    <col min="8" max="8" width="19.42578125" customWidth="1"/>
    <col min="9" max="9" width="27.140625" customWidth="1"/>
    <col min="10" max="10" width="28.7109375" customWidth="1"/>
    <col min="11" max="11" width="36.7109375" customWidth="1"/>
    <col min="12" max="12" width="14" bestFit="1" customWidth="1"/>
    <col min="13" max="13" width="12.7109375" bestFit="1" customWidth="1"/>
    <col min="14" max="14" width="13.7109375" bestFit="1" customWidth="1"/>
    <col min="15" max="15" width="11.28515625" bestFit="1" customWidth="1"/>
    <col min="16" max="16" width="12.28515625" bestFit="1" customWidth="1"/>
    <col min="17" max="17" width="12.7109375" bestFit="1" customWidth="1"/>
  </cols>
  <sheetData>
    <row r="5" spans="2:11">
      <c r="B5" t="s">
        <v>197</v>
      </c>
    </row>
    <row r="10" spans="2:11" ht="26.25" customHeight="1">
      <c r="C10" s="156" t="s">
        <v>161</v>
      </c>
      <c r="D10" s="156" t="s">
        <v>193</v>
      </c>
      <c r="E10" s="156" t="s">
        <v>180</v>
      </c>
      <c r="F10" s="156" t="s">
        <v>181</v>
      </c>
      <c r="K10" s="149"/>
    </row>
    <row r="11" spans="2:11">
      <c r="C11" s="167" t="s">
        <v>160</v>
      </c>
      <c r="D11" s="153">
        <v>80</v>
      </c>
      <c r="E11" s="160">
        <f>+E20</f>
        <v>13600000</v>
      </c>
      <c r="F11" s="160">
        <f>+F20</f>
        <v>163200000</v>
      </c>
    </row>
    <row r="12" spans="2:11" ht="22.5">
      <c r="C12" s="168" t="s">
        <v>162</v>
      </c>
      <c r="D12" s="153">
        <v>40</v>
      </c>
      <c r="E12" s="160">
        <f>+E27</f>
        <v>5160000</v>
      </c>
      <c r="F12" s="160">
        <f>+F27</f>
        <v>61920000</v>
      </c>
      <c r="K12" s="149"/>
    </row>
    <row r="13" spans="2:11" ht="22.5">
      <c r="C13" s="168" t="s">
        <v>163</v>
      </c>
      <c r="D13" s="153">
        <v>40</v>
      </c>
      <c r="E13" s="160">
        <f>+F13/12</f>
        <v>5375000</v>
      </c>
      <c r="F13" s="160">
        <f>+E35</f>
        <v>64500000</v>
      </c>
      <c r="K13" s="149"/>
    </row>
    <row r="14" spans="2:11">
      <c r="C14" s="161" t="s">
        <v>182</v>
      </c>
      <c r="D14" s="153">
        <f>SUM(D11:D13)</f>
        <v>160</v>
      </c>
      <c r="E14" s="163">
        <f>SUM(E11:E13)</f>
        <v>24135000</v>
      </c>
      <c r="F14" s="163">
        <f>SUM(F11:F13)</f>
        <v>289620000</v>
      </c>
      <c r="H14" s="149"/>
    </row>
    <row r="15" spans="2:11">
      <c r="H15" s="149"/>
    </row>
    <row r="16" spans="2:11">
      <c r="B16" s="198" t="s">
        <v>171</v>
      </c>
      <c r="C16" s="199"/>
      <c r="D16" s="199"/>
      <c r="E16" s="199"/>
      <c r="F16" s="200"/>
      <c r="H16" s="149"/>
    </row>
    <row r="17" spans="2:17" s="157" customFormat="1" ht="28.5">
      <c r="B17" s="156" t="s">
        <v>164</v>
      </c>
      <c r="C17" s="156" t="s">
        <v>167</v>
      </c>
      <c r="D17" s="156" t="s">
        <v>168</v>
      </c>
      <c r="E17" s="156" t="s">
        <v>169</v>
      </c>
      <c r="F17" s="156" t="s">
        <v>170</v>
      </c>
    </row>
    <row r="18" spans="2:17">
      <c r="B18" s="153" t="s">
        <v>165</v>
      </c>
      <c r="C18" s="154">
        <v>200000</v>
      </c>
      <c r="D18" s="153">
        <v>56</v>
      </c>
      <c r="E18" s="155">
        <f>+D18*C18</f>
        <v>11200000</v>
      </c>
      <c r="F18" s="154">
        <f>+E18*12</f>
        <v>134400000</v>
      </c>
      <c r="L18" s="149"/>
    </row>
    <row r="19" spans="2:17">
      <c r="B19" s="153" t="s">
        <v>166</v>
      </c>
      <c r="C19" s="154">
        <v>100000</v>
      </c>
      <c r="D19" s="153">
        <f>80*0.3</f>
        <v>24</v>
      </c>
      <c r="E19" s="155">
        <f>+D19*C19</f>
        <v>2400000</v>
      </c>
      <c r="F19" s="154">
        <f>+E19*12</f>
        <v>28800000</v>
      </c>
      <c r="L19" s="149"/>
    </row>
    <row r="20" spans="2:17">
      <c r="B20" s="197" t="s">
        <v>8</v>
      </c>
      <c r="C20" s="197"/>
      <c r="D20" s="151">
        <f>SUM(D18:D19)</f>
        <v>80</v>
      </c>
      <c r="E20" s="152">
        <f t="shared" ref="E20:F20" si="0">SUM(E18:E19)</f>
        <v>13600000</v>
      </c>
      <c r="F20" s="152">
        <f t="shared" si="0"/>
        <v>163200000</v>
      </c>
      <c r="L20" s="150"/>
    </row>
    <row r="21" spans="2:17">
      <c r="L21" s="149"/>
    </row>
    <row r="22" spans="2:17">
      <c r="K22" s="149"/>
    </row>
    <row r="23" spans="2:17">
      <c r="B23" s="198" t="s">
        <v>172</v>
      </c>
      <c r="C23" s="199"/>
      <c r="D23" s="199"/>
      <c r="E23" s="199"/>
      <c r="F23" s="200"/>
    </row>
    <row r="24" spans="2:17" ht="28.5">
      <c r="B24" s="156" t="s">
        <v>164</v>
      </c>
      <c r="C24" s="156" t="s">
        <v>167</v>
      </c>
      <c r="D24" s="156" t="s">
        <v>168</v>
      </c>
      <c r="E24" s="156" t="s">
        <v>169</v>
      </c>
      <c r="F24" s="156" t="s">
        <v>170</v>
      </c>
      <c r="L24" s="157"/>
      <c r="M24" s="157"/>
      <c r="N24" s="157"/>
      <c r="O24" s="157"/>
      <c r="P24" s="157"/>
    </row>
    <row r="25" spans="2:17">
      <c r="B25" s="153" t="s">
        <v>165</v>
      </c>
      <c r="C25" s="154">
        <v>150000</v>
      </c>
      <c r="D25" s="153">
        <f>40*0.7</f>
        <v>28</v>
      </c>
      <c r="E25" s="155">
        <f>+D25*C25</f>
        <v>4200000</v>
      </c>
      <c r="F25" s="154">
        <f>+E25*12</f>
        <v>50400000</v>
      </c>
      <c r="L25" s="149"/>
    </row>
    <row r="26" spans="2:17">
      <c r="B26" s="153" t="s">
        <v>166</v>
      </c>
      <c r="C26" s="154">
        <v>80000</v>
      </c>
      <c r="D26" s="153">
        <f>40*0.3</f>
        <v>12</v>
      </c>
      <c r="E26" s="155">
        <f>+D26*C26</f>
        <v>960000</v>
      </c>
      <c r="F26" s="154">
        <f>+E26*12</f>
        <v>11520000</v>
      </c>
      <c r="J26" s="157"/>
      <c r="K26" s="157"/>
      <c r="L26" s="149"/>
    </row>
    <row r="27" spans="2:17">
      <c r="B27" s="197" t="s">
        <v>8</v>
      </c>
      <c r="C27" s="197"/>
      <c r="D27" s="151">
        <f>SUM(D25:D26)</f>
        <v>40</v>
      </c>
      <c r="E27" s="152">
        <f t="shared" ref="E27" si="1">SUM(E25:E26)</f>
        <v>5160000</v>
      </c>
      <c r="F27" s="152">
        <f t="shared" ref="F27" si="2">SUM(F25:F26)</f>
        <v>61920000</v>
      </c>
      <c r="I27" s="149"/>
      <c r="L27" s="150"/>
    </row>
    <row r="28" spans="2:17">
      <c r="I28" s="149"/>
      <c r="L28" s="149"/>
    </row>
    <row r="29" spans="2:17">
      <c r="L29" s="157"/>
      <c r="M29" s="157"/>
      <c r="N29" s="157"/>
      <c r="O29" s="157"/>
      <c r="P29" s="157"/>
    </row>
    <row r="30" spans="2:17">
      <c r="B30" s="198" t="s">
        <v>173</v>
      </c>
      <c r="C30" s="199"/>
      <c r="D30" s="199"/>
      <c r="E30" s="199"/>
      <c r="F30" s="158"/>
      <c r="I30" s="149"/>
      <c r="K30" s="149"/>
      <c r="L30" s="149"/>
    </row>
    <row r="31" spans="2:17">
      <c r="B31" s="156" t="s">
        <v>175</v>
      </c>
      <c r="C31" s="156" t="s">
        <v>178</v>
      </c>
      <c r="D31" s="156" t="s">
        <v>179</v>
      </c>
      <c r="E31" s="156" t="s">
        <v>170</v>
      </c>
      <c r="I31" s="149"/>
      <c r="Q31" s="149"/>
    </row>
    <row r="32" spans="2:17">
      <c r="B32" s="153" t="s">
        <v>174</v>
      </c>
      <c r="C32" s="153">
        <v>3</v>
      </c>
      <c r="D32" s="155">
        <v>5000000</v>
      </c>
      <c r="E32" s="155">
        <f>+D32*C32</f>
        <v>15000000</v>
      </c>
      <c r="Q32" s="149"/>
    </row>
    <row r="33" spans="2:17">
      <c r="B33" s="153" t="s">
        <v>177</v>
      </c>
      <c r="C33" s="153">
        <v>3</v>
      </c>
      <c r="D33" s="155">
        <v>15000000</v>
      </c>
      <c r="E33" s="155">
        <f t="shared" ref="E33:E34" si="3">+D33*C33</f>
        <v>45000000</v>
      </c>
      <c r="Q33" s="149"/>
    </row>
    <row r="34" spans="2:17">
      <c r="B34" s="153" t="s">
        <v>176</v>
      </c>
      <c r="C34" s="153">
        <v>3</v>
      </c>
      <c r="D34" s="155">
        <v>1500000</v>
      </c>
      <c r="E34" s="155">
        <f t="shared" si="3"/>
        <v>4500000</v>
      </c>
      <c r="J34" s="157"/>
      <c r="K34" s="157"/>
      <c r="L34" s="157"/>
      <c r="M34" s="157"/>
      <c r="N34" s="157"/>
      <c r="Q34" s="149"/>
    </row>
    <row r="35" spans="2:17">
      <c r="B35" s="197" t="s">
        <v>8</v>
      </c>
      <c r="C35" s="197"/>
      <c r="D35" s="152">
        <f>SUM(D32:D34)</f>
        <v>21500000</v>
      </c>
      <c r="E35" s="152">
        <f>SUM(E32:E34)</f>
        <v>64500000</v>
      </c>
      <c r="L35" s="149"/>
      <c r="Q35" s="149"/>
    </row>
    <row r="36" spans="2:17">
      <c r="L36" s="149"/>
      <c r="Q36" s="149"/>
    </row>
    <row r="37" spans="2:17">
      <c r="L37" s="150"/>
    </row>
    <row r="38" spans="2:17">
      <c r="K38" s="149"/>
    </row>
    <row r="39" spans="2:17" ht="28.5">
      <c r="B39" s="156" t="s">
        <v>183</v>
      </c>
      <c r="C39" s="156" t="s">
        <v>186</v>
      </c>
      <c r="D39" s="156" t="s">
        <v>185</v>
      </c>
      <c r="E39" s="156" t="s">
        <v>189</v>
      </c>
      <c r="F39" s="156" t="s">
        <v>191</v>
      </c>
    </row>
    <row r="40" spans="2:17">
      <c r="B40" s="153" t="s">
        <v>184</v>
      </c>
      <c r="C40" s="154">
        <f>+(D40/3)/(160*12)</f>
        <v>694.44444444444446</v>
      </c>
      <c r="D40" s="154">
        <v>4000000</v>
      </c>
      <c r="E40" s="154">
        <f>+D40/3</f>
        <v>1333333.3333333333</v>
      </c>
      <c r="F40" s="154">
        <f>+(D40/3)/12</f>
        <v>111111.11111111111</v>
      </c>
    </row>
    <row r="41" spans="2:17">
      <c r="B41" s="153" t="s">
        <v>188</v>
      </c>
      <c r="C41" s="154">
        <f t="shared" ref="C41:C43" si="4">+E41/(12*160)</f>
        <v>520.83333333333337</v>
      </c>
      <c r="D41" s="154">
        <v>0</v>
      </c>
      <c r="E41" s="154">
        <v>1000000</v>
      </c>
      <c r="F41" s="154">
        <f t="shared" ref="F41:F42" si="5">+E41/12</f>
        <v>83333.333333333328</v>
      </c>
      <c r="L41" s="149"/>
    </row>
    <row r="42" spans="2:17">
      <c r="B42" s="153" t="s">
        <v>187</v>
      </c>
      <c r="C42" s="154">
        <f t="shared" si="4"/>
        <v>625</v>
      </c>
      <c r="D42" s="154">
        <v>0</v>
      </c>
      <c r="E42" s="154">
        <f>100000*12</f>
        <v>1200000</v>
      </c>
      <c r="F42" s="154">
        <f t="shared" si="5"/>
        <v>100000</v>
      </c>
    </row>
    <row r="43" spans="2:17">
      <c r="B43" s="153" t="s">
        <v>192</v>
      </c>
      <c r="C43" s="154">
        <f t="shared" si="4"/>
        <v>111250</v>
      </c>
      <c r="D43" s="154">
        <v>0</v>
      </c>
      <c r="E43" s="154">
        <f>+F43*12</f>
        <v>213600000</v>
      </c>
      <c r="F43" s="154">
        <v>17800000</v>
      </c>
    </row>
    <row r="44" spans="2:17">
      <c r="B44" s="151" t="s">
        <v>190</v>
      </c>
      <c r="C44" s="165">
        <f>SUM(C40:C43)</f>
        <v>113090.27777777778</v>
      </c>
      <c r="D44" s="151"/>
      <c r="E44" s="165">
        <f>SUM(E40:E43)</f>
        <v>217133333.33333334</v>
      </c>
      <c r="F44" s="165">
        <f>SUM(F40:F43)</f>
        <v>18094444.444444444</v>
      </c>
    </row>
    <row r="45" spans="2:17">
      <c r="F45">
        <f>+F44*3</f>
        <v>54283333.333333328</v>
      </c>
    </row>
    <row r="46" spans="2:17">
      <c r="F46" s="166"/>
    </row>
    <row r="47" spans="2:17">
      <c r="B47" s="194" t="s">
        <v>194</v>
      </c>
      <c r="C47" s="195"/>
      <c r="D47" s="195"/>
      <c r="E47" s="196"/>
    </row>
    <row r="48" spans="2:17">
      <c r="B48" s="161" t="s">
        <v>161</v>
      </c>
      <c r="C48" s="153" t="s">
        <v>193</v>
      </c>
      <c r="D48" s="161" t="s">
        <v>195</v>
      </c>
      <c r="E48" s="162" t="s">
        <v>196</v>
      </c>
      <c r="I48" s="149"/>
    </row>
    <row r="49" spans="2:11">
      <c r="B49" s="159" t="s">
        <v>160</v>
      </c>
      <c r="C49" s="153">
        <v>80</v>
      </c>
      <c r="D49" s="160">
        <f>+C49*$C$44</f>
        <v>9047222.222222222</v>
      </c>
      <c r="E49" s="160">
        <f>+D49*12</f>
        <v>108566666.66666666</v>
      </c>
    </row>
    <row r="50" spans="2:11">
      <c r="B50" s="159" t="s">
        <v>162</v>
      </c>
      <c r="C50" s="153">
        <v>40</v>
      </c>
      <c r="D50" s="160">
        <f t="shared" ref="D50:D51" si="6">+C50*$C$44</f>
        <v>4523611.111111111</v>
      </c>
      <c r="E50" s="160">
        <f t="shared" ref="E50:E51" si="7">+D50*12</f>
        <v>54283333.333333328</v>
      </c>
      <c r="I50" s="149"/>
    </row>
    <row r="51" spans="2:11">
      <c r="B51" s="159" t="s">
        <v>163</v>
      </c>
      <c r="C51" s="153">
        <v>40</v>
      </c>
      <c r="D51" s="160">
        <f t="shared" si="6"/>
        <v>4523611.111111111</v>
      </c>
      <c r="E51" s="160">
        <f t="shared" si="7"/>
        <v>54283333.333333328</v>
      </c>
    </row>
    <row r="52" spans="2:11">
      <c r="B52" s="161" t="s">
        <v>182</v>
      </c>
      <c r="C52" s="153">
        <f>SUM(C49:C51)</f>
        <v>160</v>
      </c>
      <c r="D52" s="163">
        <f>SUM(D49:D51)</f>
        <v>18094444.444444444</v>
      </c>
      <c r="E52" s="163">
        <f>SUM(E49:E51)</f>
        <v>217133333.33333331</v>
      </c>
      <c r="I52" s="150"/>
    </row>
    <row r="57" spans="2:11" ht="28.5" customHeight="1">
      <c r="I57" s="149"/>
      <c r="K57" s="149"/>
    </row>
    <row r="59" spans="2:11">
      <c r="I59" s="149"/>
      <c r="K59" s="149"/>
    </row>
  </sheetData>
  <mergeCells count="7">
    <mergeCell ref="B47:E47"/>
    <mergeCell ref="B20:C20"/>
    <mergeCell ref="B16:F16"/>
    <mergeCell ref="B23:F23"/>
    <mergeCell ref="B27:C27"/>
    <mergeCell ref="B35:C35"/>
    <mergeCell ref="B30:E30"/>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1646126D-72FF-43C3-B754-1B03FE5D0211}">
  <ds:schemaRef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 ds:uri="f7ff1548-ea36-4159-a306-74aa0083697f"/>
    <ds:schemaRef ds:uri="http://schemas.microsoft.com/office/infopath/2007/PartnerControls"/>
    <ds:schemaRef ds:uri="d59ba5de-05cd-4945-add5-aa2c30c3188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Menú</vt:lpstr>
      <vt:lpstr>1</vt:lpstr>
      <vt:lpstr>2</vt:lpstr>
      <vt:lpstr>3</vt:lpstr>
      <vt:lpstr>4</vt:lpstr>
      <vt:lpstr>5</vt:lpstr>
      <vt:lpstr>Cálculo Tarifas</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Jasmin Mendez</cp:lastModifiedBy>
  <dcterms:created xsi:type="dcterms:W3CDTF">2013-07-30T17:19:59Z</dcterms:created>
  <dcterms:modified xsi:type="dcterms:W3CDTF">2021-06-08T23:17:16Z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y fmtid="{D5CDD505-2E9C-101B-9397-08002B2CF9AE}" pid="3" name="MSIP_Label_f56440b0-bb43-4d81-a621-bc28eeeaa1f1_Enabled">
    <vt:lpwstr>True</vt:lpwstr>
  </property>
  <property fmtid="{D5CDD505-2E9C-101B-9397-08002B2CF9AE}" pid="4" name="MSIP_Label_f56440b0-bb43-4d81-a621-bc28eeeaa1f1_SiteId">
    <vt:lpwstr>d49de431-8ec2-4627-95dc-a1b041bbab30</vt:lpwstr>
  </property>
  <property fmtid="{D5CDD505-2E9C-101B-9397-08002B2CF9AE}" pid="5" name="MSIP_Label_f56440b0-bb43-4d81-a621-bc28eeeaa1f1_Owner">
    <vt:lpwstr>omortiz@geb.com.co</vt:lpwstr>
  </property>
  <property fmtid="{D5CDD505-2E9C-101B-9397-08002B2CF9AE}" pid="6" name="MSIP_Label_f56440b0-bb43-4d81-a621-bc28eeeaa1f1_SetDate">
    <vt:lpwstr>2021-05-07T03:12:39.3777796Z</vt:lpwstr>
  </property>
  <property fmtid="{D5CDD505-2E9C-101B-9397-08002B2CF9AE}" pid="7" name="MSIP_Label_f56440b0-bb43-4d81-a621-bc28eeeaa1f1_Name">
    <vt:lpwstr>Público</vt:lpwstr>
  </property>
  <property fmtid="{D5CDD505-2E9C-101B-9397-08002B2CF9AE}" pid="8" name="MSIP_Label_f56440b0-bb43-4d81-a621-bc28eeeaa1f1_Application">
    <vt:lpwstr>Microsoft Azure Information Protection</vt:lpwstr>
  </property>
  <property fmtid="{D5CDD505-2E9C-101B-9397-08002B2CF9AE}" pid="9" name="MSIP_Label_f56440b0-bb43-4d81-a621-bc28eeeaa1f1_Extended_MSFT_Method">
    <vt:lpwstr>Automatic</vt:lpwstr>
  </property>
  <property fmtid="{D5CDD505-2E9C-101B-9397-08002B2CF9AE}" pid="10" name="Sensitivity">
    <vt:lpwstr>Público</vt:lpwstr>
  </property>
</Properties>
</file>