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C:\Users\Kevin\Downloads\"/>
    </mc:Choice>
  </mc:AlternateContent>
  <xr:revisionPtr revIDLastSave="0" documentId="13_ncr:1_{183CA5B1-C036-49F3-9350-22C25315BEAE}" xr6:coauthVersionLast="47" xr6:coauthVersionMax="47" xr10:uidLastSave="{00000000-0000-0000-0000-000000000000}"/>
  <bookViews>
    <workbookView xWindow="-108" yWindow="-108" windowWidth="30936" windowHeight="16776" tabRatio="703" activeTab="5"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Menú!$B$2:$I$24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6" l="1"/>
  <c r="D24" i="1"/>
  <c r="H55" i="6"/>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0" i="5"/>
  <c r="G12" i="4" l="1"/>
  <c r="C12" i="5" s="1"/>
  <c r="D23" i="5"/>
  <c r="E23" i="5" l="1"/>
  <c r="F23" i="5" s="1"/>
  <c r="G23"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I2" i="1" s="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C8" i="6" l="1"/>
  <c r="B34" i="5"/>
  <c r="E43" i="5"/>
  <c r="F5" i="5"/>
  <c r="F20" i="5" s="1"/>
  <c r="G7" i="6" s="1"/>
  <c r="E12" i="3"/>
  <c r="G24" i="5"/>
  <c r="G26" i="5" s="1"/>
  <c r="F26" i="5"/>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D16" i="3" l="1"/>
  <c r="J8" i="3" s="1"/>
  <c r="B31" i="5" s="1"/>
  <c r="B32" i="5" s="1"/>
  <c r="C34" i="5"/>
  <c r="D34" i="5" s="1"/>
  <c r="E34" i="5" s="1"/>
  <c r="F34" i="5" s="1"/>
  <c r="G34" i="5" s="1"/>
  <c r="B36" i="5"/>
  <c r="E49" i="6"/>
  <c r="E29" i="6" s="1"/>
  <c r="F43" i="5"/>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H52" i="6" s="1"/>
  <c r="C17" i="5"/>
  <c r="C35" i="5" s="1"/>
  <c r="C36" i="5" s="1"/>
  <c r="H9" i="3"/>
  <c r="J9" i="3" s="1"/>
  <c r="I10" i="3" s="1"/>
  <c r="E35" i="6"/>
  <c r="F35" i="6" s="1"/>
  <c r="D35" i="6"/>
  <c r="C30" i="5"/>
  <c r="C45" i="5"/>
  <c r="B39" i="5" l="1"/>
  <c r="H53"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F12" i="3" l="1"/>
  <c r="G12" i="3" s="1"/>
  <c r="F14" i="5" s="1"/>
  <c r="F15" i="5" s="1"/>
  <c r="F16" i="5" s="1"/>
  <c r="F17" i="5" s="1"/>
  <c r="F35" i="5" s="1"/>
  <c r="F36" i="5" s="1"/>
  <c r="E31" i="5"/>
  <c r="E32" i="5" s="1"/>
  <c r="E38" i="5" s="1"/>
  <c r="E22" i="5" s="1"/>
  <c r="E27" i="5" s="1"/>
  <c r="E39" i="5" s="1"/>
  <c r="D46" i="5"/>
  <c r="D52" i="5" s="1"/>
  <c r="D58" i="5" s="1"/>
  <c r="D59" i="5" s="1"/>
  <c r="E8" i="6" s="1"/>
  <c r="H12" i="3"/>
  <c r="J12" i="3" l="1"/>
  <c r="F13" i="3" s="1"/>
  <c r="G13" i="3" s="1"/>
  <c r="G14" i="5" s="1"/>
  <c r="G15" i="5" s="1"/>
  <c r="G16" i="5" s="1"/>
  <c r="G17" i="5" s="1"/>
  <c r="F29" i="5"/>
  <c r="F45" i="5" s="1"/>
  <c r="E44" i="5"/>
  <c r="F31" i="5" l="1"/>
  <c r="G29" i="5"/>
  <c r="G30" i="5" s="1"/>
  <c r="I13" i="3"/>
  <c r="H13" i="3" s="1"/>
  <c r="J13" i="3" s="1"/>
  <c r="G31" i="5" s="1"/>
  <c r="F30" i="5"/>
  <c r="E46" i="5"/>
  <c r="E52" i="5" s="1"/>
  <c r="E58" i="5" s="1"/>
  <c r="E59" i="5" s="1"/>
  <c r="F8" i="6" s="1"/>
  <c r="G35" i="5"/>
  <c r="G36" i="5" s="1"/>
  <c r="F32" i="5" l="1"/>
  <c r="F38" i="5" s="1"/>
  <c r="F22" i="5" s="1"/>
  <c r="F44" i="5" s="1"/>
  <c r="F46" i="5" s="1"/>
  <c r="F52" i="5" s="1"/>
  <c r="F58" i="5" s="1"/>
  <c r="F59" i="5" s="1"/>
  <c r="G8" i="6" s="1"/>
  <c r="G45" i="5"/>
  <c r="G32" i="5"/>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<sst xmlns="http://schemas.openxmlformats.org/spreadsheetml/2006/main" count="175" uniqueCount="166">
  <si>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</si>
  <si>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</si>
  <si>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</si>
  <si>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</si>
  <si>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</si>
  <si>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</si>
  <si>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</si>
  <si>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</si>
  <si>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</si>
  <si>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</si>
  <si>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</si>
  <si>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</si>
  <si>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</si>
  <si>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</si>
  <si>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</si>
  <si>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</si>
  <si>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</si>
  <si>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</si>
  <si>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AÑO</t>
  </si>
  <si>
    <t>INFLACIÓN</t>
  </si>
  <si>
    <t>IPP</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</si>
  <si>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</si>
  <si>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</si>
  <si>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</si>
  <si>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</si>
  <si>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</si>
  <si>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</si>
  <si>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</si>
  <si>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</si>
  <si>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</si>
  <si>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</si>
  <si>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</si>
  <si>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</si>
  <si>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</si>
  <si>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</si>
  <si>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</si>
  <si>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</si>
  <si>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</si>
  <si>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</si>
  <si>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</si>
  <si>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</si>
  <si>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</si>
  <si>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</si>
  <si>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</si>
  <si>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</si>
  <si>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</si>
  <si>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</si>
  <si>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</si>
  <si>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</si>
  <si>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</si>
  <si>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</si>
  <si>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</si>
  <si>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</si>
  <si>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</si>
  <si>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</si>
  <si>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</si>
  <si>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</si>
  <si>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</si>
  <si>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</si>
  <si>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</si>
  <si>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</si>
  <si>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</si>
  <si>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 xml:space="preserve">Mantenimiento </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</si>
  <si>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</si>
  <si>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</si>
  <si>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</si>
  <si>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</si>
  <si>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</si>
  <si>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</si>
  <si>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</si>
  <si>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</si>
  <si>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</si>
  <si>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</si>
  <si>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</si>
  <si>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</si>
  <si>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</si>
  <si>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</si>
  <si>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</si>
  <si>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</si>
  <si>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</si>
  <si>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</si>
  <si>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</si>
  <si>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</si>
  <si>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</si>
  <si>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</si>
  <si>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</si>
  <si>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</si>
  <si>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</si>
  <si>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</si>
  <si>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</si>
  <si>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</si>
  <si>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</si>
  <si>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</si>
  <si>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</si>
  <si>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</si>
  <si>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</si>
  <si>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</si>
  <si>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</si>
  <si>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</si>
  <si>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</si>
  <si>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</si>
  <si>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</si>
  <si>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</si>
  <si>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</si>
  <si>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</si>
  <si>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</si>
  <si>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</si>
  <si>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</si>
  <si>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</si>
  <si>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</si>
  <si>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</si>
  <si>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</si>
  <si>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</si>
  <si>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</si>
  <si>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</si>
  <si>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</si>
  <si>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</si>
  <si>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</si>
  <si>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</si>
  <si>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</si>
  <si>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</si>
  <si>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</si>
  <si>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</si>
  <si>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</si>
  <si>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</si>
  <si>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</si>
  <si>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</si>
  <si>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</si>
  <si>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</si>
  <si>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</si>
  <si>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</si>
  <si>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</si>
  <si>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</si>
  <si>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</si>
  <si>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</si>
  <si>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</si>
  <si>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</si>
  <si>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</si>
  <si>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</si>
  <si>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</si>
  <si>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</si>
  <si>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</si>
  <si>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</si>
  <si>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</si>
  <si>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</si>
  <si>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</si>
  <si>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</si>
  <si>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</si>
  <si>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</si>
  <si>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</si>
  <si>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</si>
  <si>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</si>
  <si>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</si>
  <si>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</si>
  <si>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</si>
  <si>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</si>
  <si>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</si>
  <si>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</si>
  <si>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</si>
  <si>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</si>
  <si>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</si>
  <si>
    <t>Cuidado Facial</t>
  </si>
  <si>
    <t>Maquillaje</t>
  </si>
  <si>
    <t>Cabello</t>
  </si>
  <si>
    <t>Uñas</t>
  </si>
  <si>
    <t>Supplementos/ Otros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</si>
</sst>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12"/>
      <color theme="1"/>
      <name val="Arial"/>
      <family val="2"/>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0" fontId="35" fillId="0" borderId="0" applyNumberFormat="0" applyFill="0" applyBorder="0" applyAlignment="0" applyProtection="0"/>
    <xf numFmtId="0" fontId="19" fillId="0" borderId="0"/>
  </cellStyleXfs>
  <cellXfs count="165">
    <xf numFmtId="0" fontId="0" fillId="0" borderId="0" xfId="0"/>
    <xf numFmtId="0" fontId="24"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5" fillId="0" borderId="0" xfId="0" applyFont="1" applyProtection="1">
      <protection hidden="1"/>
    </xf>
    <xf numFmtId="173" fontId="23" fillId="0" borderId="0" xfId="1" applyNumberFormat="1" applyFont="1" applyFill="1" applyProtection="1">
      <protection hidden="1"/>
    </xf>
    <xf numFmtId="173" fontId="23" fillId="0" borderId="1" xfId="1" applyNumberFormat="1" applyFont="1" applyFill="1" applyBorder="1" applyProtection="1">
      <protection hidden="1"/>
    </xf>
    <xf numFmtId="175" fontId="19"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6" fillId="0" borderId="0" xfId="3" applyNumberFormat="1" applyFont="1" applyFill="1" applyBorder="1" applyProtection="1">
      <protection hidden="1"/>
    </xf>
    <xf numFmtId="0" fontId="27" fillId="0" borderId="0" xfId="0" applyFont="1" applyProtection="1">
      <protection hidden="1"/>
    </xf>
    <xf numFmtId="0" fontId="28" fillId="4" borderId="0" xfId="0" applyFont="1" applyFill="1" applyProtection="1">
      <protection locked="0"/>
    </xf>
    <xf numFmtId="166" fontId="28" fillId="4" borderId="0" xfId="1" applyFont="1" applyFill="1" applyProtection="1">
      <protection locked="0"/>
    </xf>
    <xf numFmtId="0" fontId="30"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6" fillId="0" borderId="0" xfId="0" applyFont="1" applyProtection="1">
      <protection hidden="1"/>
    </xf>
    <xf numFmtId="9" fontId="28" fillId="4" borderId="0" xfId="2" applyFont="1" applyFill="1" applyProtection="1">
      <protection locked="0"/>
    </xf>
    <xf numFmtId="0" fontId="29" fillId="6" borderId="0" xfId="0" applyFont="1" applyFill="1" applyProtection="1">
      <protection locked="0"/>
    </xf>
    <xf numFmtId="170" fontId="29" fillId="6" borderId="0" xfId="2" applyNumberFormat="1" applyFont="1" applyFill="1" applyBorder="1" applyProtection="1">
      <protection locked="0"/>
    </xf>
    <xf numFmtId="170" fontId="29" fillId="6" borderId="14" xfId="2" applyNumberFormat="1" applyFont="1" applyFill="1" applyBorder="1" applyProtection="1">
      <protection locked="0"/>
    </xf>
    <xf numFmtId="170" fontId="29" fillId="6" borderId="3" xfId="2" applyNumberFormat="1" applyFont="1" applyFill="1" applyBorder="1" applyProtection="1">
      <protection locked="0"/>
    </xf>
    <xf numFmtId="170" fontId="29" fillId="6" borderId="12" xfId="2" applyNumberFormat="1" applyFont="1" applyFill="1" applyBorder="1" applyProtection="1">
      <protection locked="0"/>
    </xf>
    <xf numFmtId="170" fontId="29" fillId="6" borderId="5" xfId="2" applyNumberFormat="1" applyFont="1" applyFill="1" applyBorder="1" applyProtection="1">
      <protection locked="0"/>
    </xf>
    <xf numFmtId="167" fontId="28" fillId="4" borderId="0" xfId="4" applyFont="1" applyFill="1" applyProtection="1">
      <protection locked="0"/>
    </xf>
    <xf numFmtId="177" fontId="28" fillId="4" borderId="0" xfId="4" applyNumberFormat="1" applyFont="1" applyFill="1" applyAlignment="1" applyProtection="1">
      <alignment horizontal="center"/>
      <protection locked="0"/>
    </xf>
    <xf numFmtId="166" fontId="28"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5" fillId="5" borderId="0" xfId="0" applyFont="1" applyFill="1" applyProtection="1">
      <protection hidden="1"/>
    </xf>
    <xf numFmtId="0" fontId="0" fillId="5" borderId="0" xfId="0" applyFill="1" applyProtection="1">
      <protection hidden="1"/>
    </xf>
    <xf numFmtId="173" fontId="23"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0" fontId="2" fillId="0" borderId="1" xfId="0" applyFont="1" applyBorder="1" applyProtection="1">
      <protection hidden="1"/>
    </xf>
    <xf numFmtId="174" fontId="0" fillId="0" borderId="0" xfId="0" applyNumberFormat="1" applyProtection="1">
      <protection hidden="1"/>
    </xf>
    <xf numFmtId="0" fontId="22"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7" fillId="0" borderId="0" xfId="0" applyFont="1" applyProtection="1">
      <protection hidden="1"/>
    </xf>
    <xf numFmtId="166" fontId="17" fillId="0" borderId="0" xfId="0" applyNumberFormat="1" applyFont="1" applyProtection="1">
      <protection hidden="1"/>
    </xf>
    <xf numFmtId="0" fontId="7" fillId="0" borderId="0" xfId="0" applyFont="1" applyProtection="1">
      <protection hidden="1"/>
    </xf>
    <xf numFmtId="166" fontId="20"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8"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1" fillId="5" borderId="0" xfId="0" applyFont="1" applyFill="1" applyProtection="1">
      <protection hidden="1"/>
    </xf>
    <xf numFmtId="166" fontId="20" fillId="5" borderId="0" xfId="0" applyNumberFormat="1" applyFont="1" applyFill="1" applyProtection="1">
      <protection hidden="1"/>
    </xf>
    <xf numFmtId="166" fontId="32" fillId="0" borderId="0" xfId="0" applyNumberFormat="1" applyFont="1" applyProtection="1">
      <protection hidden="1"/>
    </xf>
    <xf numFmtId="0" fontId="22"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3"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7"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4" fillId="0" borderId="0" xfId="4" applyFont="1" applyProtection="1">
      <protection hidden="1"/>
    </xf>
    <xf numFmtId="166" fontId="34"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8" fillId="0" borderId="0" xfId="0" applyFont="1" applyAlignment="1" applyProtection="1">
      <alignment wrapText="1"/>
      <protection locked="0"/>
    </xf>
    <xf numFmtId="0" fontId="20" fillId="0" borderId="8" xfId="0" applyFont="1" applyBorder="1" applyProtection="1">
      <protection hidden="1"/>
    </xf>
    <xf numFmtId="164" fontId="0" fillId="0" borderId="0" xfId="0" applyNumberFormat="1" applyProtection="1">
      <protection hidden="1"/>
    </xf>
    <xf numFmtId="0" fontId="19" fillId="0" borderId="0" xfId="6"/>
    <xf numFmtId="178" fontId="19" fillId="0" borderId="0" xfId="6" applyNumberFormat="1"/>
    <xf numFmtId="164" fontId="19" fillId="0" borderId="0" xfId="6" applyNumberFormat="1"/>
    <xf numFmtId="0" fontId="21" fillId="0" borderId="4" xfId="0" applyFont="1" applyBorder="1" applyProtection="1">
      <protection hidden="1"/>
    </xf>
    <xf numFmtId="2" fontId="38" fillId="7" borderId="5" xfId="0" applyNumberFormat="1" applyFont="1" applyFill="1" applyBorder="1" applyProtection="1">
      <protection hidden="1"/>
    </xf>
    <xf numFmtId="0" fontId="37" fillId="0" borderId="6" xfId="0" applyFont="1" applyBorder="1" applyProtection="1">
      <protection hidden="1"/>
    </xf>
    <xf numFmtId="179" fontId="40" fillId="0" borderId="3" xfId="0" applyNumberFormat="1" applyFont="1" applyBorder="1" applyProtection="1">
      <protection hidden="1"/>
    </xf>
    <xf numFmtId="179" fontId="40" fillId="0" borderId="12" xfId="0" applyNumberFormat="1" applyFont="1" applyBorder="1" applyProtection="1">
      <protection hidden="1"/>
    </xf>
    <xf numFmtId="165" fontId="38" fillId="5" borderId="6" xfId="0" applyNumberFormat="1" applyFont="1" applyFill="1" applyBorder="1" applyProtection="1">
      <protection hidden="1"/>
    </xf>
    <xf numFmtId="10" fontId="39" fillId="0" borderId="6" xfId="2" applyNumberFormat="1" applyFont="1" applyBorder="1" applyAlignment="1" applyProtection="1">
      <alignment horizontal="center" vertical="center"/>
      <protection hidden="1"/>
    </xf>
    <xf numFmtId="0" fontId="43" fillId="0" borderId="0" xfId="0" applyFont="1" applyAlignment="1" applyProtection="1">
      <alignment wrapText="1"/>
      <protection hidden="1"/>
    </xf>
    <xf numFmtId="0" fontId="2" fillId="0" borderId="0" xfId="0" applyFont="1" applyAlignment="1" applyProtection="1">
      <alignment horizontal="center"/>
      <protection hidden="1"/>
    </xf>
    <xf numFmtId="170" fontId="28" fillId="4" borderId="0" xfId="2" applyNumberFormat="1" applyFont="1" applyFill="1" applyProtection="1">
      <protection locked="0"/>
    </xf>
    <xf numFmtId="168" fontId="44" fillId="7" borderId="1" xfId="1" applyNumberFormat="1" applyFont="1" applyFill="1" applyBorder="1" applyProtection="1">
      <protection hidden="1"/>
    </xf>
    <xf numFmtId="0" fontId="45" fillId="0" borderId="13" xfId="0" applyFont="1" applyBorder="1" applyAlignment="1" applyProtection="1">
      <alignment wrapText="1"/>
      <protection hidden="1"/>
    </xf>
    <xf numFmtId="0" fontId="45" fillId="0" borderId="11" xfId="0" applyFont="1" applyBorder="1" applyProtection="1">
      <protection hidden="1"/>
    </xf>
    <xf numFmtId="0" fontId="0" fillId="0" borderId="8" xfId="0" applyBorder="1" applyProtection="1">
      <protection hidden="1"/>
    </xf>
    <xf numFmtId="0" fontId="25" fillId="0" borderId="15" xfId="0" applyFont="1" applyBorder="1" applyAlignment="1">
      <alignment horizontal="center"/>
    </xf>
    <xf numFmtId="0" fontId="25"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7" fillId="4" borderId="0" xfId="0" applyFont="1" applyFill="1" applyProtection="1">
      <protection locked="0" hidden="1"/>
    </xf>
    <xf numFmtId="0" fontId="46" fillId="0" borderId="0" xfId="0" applyFont="1" applyProtection="1">
      <protection hidden="1"/>
    </xf>
    <xf numFmtId="166" fontId="17" fillId="0" borderId="0" xfId="1" applyFont="1" applyProtection="1">
      <protection hidden="1"/>
    </xf>
    <xf numFmtId="0" fontId="17" fillId="0" borderId="0" xfId="0" applyFont="1" applyAlignment="1" applyProtection="1">
      <alignment horizontal="center"/>
      <protection hidden="1"/>
    </xf>
    <xf numFmtId="166" fontId="47" fillId="0" borderId="0" xfId="1" applyFont="1" applyProtection="1">
      <protection hidden="1"/>
    </xf>
    <xf numFmtId="9" fontId="17" fillId="0" borderId="0" xfId="2" applyFont="1" applyProtection="1">
      <protection hidden="1"/>
    </xf>
    <xf numFmtId="10" fontId="41" fillId="0" borderId="0" xfId="2" applyNumberFormat="1" applyFont="1" applyFill="1" applyAlignment="1" applyProtection="1">
      <alignment horizontal="center" vertical="center"/>
      <protection locked="0"/>
    </xf>
    <xf numFmtId="0" fontId="49" fillId="0" borderId="0" xfId="0" applyFont="1" applyProtection="1">
      <protection hidden="1"/>
    </xf>
    <xf numFmtId="168" fontId="49" fillId="0" borderId="0" xfId="1" applyNumberFormat="1" applyFont="1" applyProtection="1">
      <protection hidden="1"/>
    </xf>
    <xf numFmtId="168" fontId="49" fillId="0" borderId="0" xfId="0" applyNumberFormat="1" applyFont="1" applyProtection="1">
      <protection hidden="1"/>
    </xf>
    <xf numFmtId="168" fontId="0" fillId="0" borderId="0" xfId="1" applyNumberFormat="1" applyFont="1" applyFill="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 fillId="7" borderId="0" xfId="0" applyFont="1" applyFill="1" applyProtection="1">
      <protection hidden="1"/>
    </xf>
    <xf numFmtId="168" fontId="2" fillId="7" borderId="0" xfId="1" applyNumberFormat="1" applyFont="1" applyFill="1" applyProtection="1">
      <protection hidden="1"/>
    </xf>
    <xf numFmtId="0" fontId="11" fillId="0" borderId="4" xfId="0" applyFont="1" applyBorder="1" applyProtection="1">
      <protection hidden="1"/>
    </xf>
    <xf numFmtId="0" fontId="36"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8"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1"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48"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60.273621685473572</c:v>
                </c:pt>
                <c:pt idx="2">
                  <c:v>120.54724337094714</c:v>
                </c:pt>
              </c:numCache>
            </c:numRef>
          </c:cat>
          <c:val>
            <c:numRef>
              <c:f>'5'!$C$33:$C$35</c:f>
              <c:numCache>
                <c:formatCode>_("$"\ * #,##0.00_);_("$"\ * \(#,##0.00\);_("$"\ * "-"??_);_(@_)</c:formatCode>
                <c:ptCount val="3"/>
                <c:pt idx="0">
                  <c:v>1290000</c:v>
                </c:pt>
                <c:pt idx="1">
                  <c:v>1290000</c:v>
                </c:pt>
                <c:pt idx="2">
                  <c:v>1290000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60.273621685473572</c:v>
                </c:pt>
                <c:pt idx="2">
                  <c:v>120.54724337094714</c:v>
                </c:pt>
              </c:numCache>
            </c:numRef>
          </c:cat>
          <c:val>
            <c:numRef>
              <c:f>'5'!$D$33:$D$35</c:f>
              <c:numCache>
                <c:formatCode>_("$"\ * #,##0.00_);_("$"\ * \(#,##0.00\);_("$"\ * "-"??_);_(@_)</c:formatCode>
                <c:ptCount val="3"/>
                <c:pt idx="0" formatCode="General">
                  <c:v>0</c:v>
                </c:pt>
                <c:pt idx="1">
                  <c:v>3176901.0825025933</c:v>
                </c:pt>
                <c:pt idx="2">
                  <c:v>6353802.1650051866</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60.273621685473572</c:v>
                </c:pt>
                <c:pt idx="2">
                  <c:v>120.54724337094714</c:v>
                </c:pt>
              </c:numCache>
            </c:numRef>
          </c:cat>
          <c:val>
            <c:numRef>
              <c:f>'5'!$F$33:$F$35</c:f>
              <c:numCache>
                <c:formatCode>_("$"\ * #,##0.00_);_("$"\ * \(#,##0.00\);_("$"\ * "-"??_);_(@_)</c:formatCode>
                <c:ptCount val="3"/>
                <c:pt idx="0">
                  <c:v>1290000</c:v>
                </c:pt>
                <c:pt idx="1">
                  <c:v>3176901.0825025938</c:v>
                </c:pt>
                <c:pt idx="2">
                  <c:v>5063802.1650051866</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election activeCell="G23" sqref="G23:H23"/>
    </sheetView>
  </sheetViews>
  <sheetFormatPr baseColWidth="10" defaultColWidth="11.44140625" defaultRowHeight="14.4" x14ac:dyDescent="0.3"/>
  <sheetData>
    <row r="23" spans="7:8" ht="20.399999999999999" x14ac:dyDescent="0.35">
      <c r="G23" s="141" t="s">
        <v>0</v>
      </c>
      <c r="H23" s="141"/>
    </row>
  </sheetData>
  <sheetProtection algorithmName="SHA-512" hashValue="irV9W75ZKYI0iU2OLFY6tG9fosGXz/4bsCULWsQFTXwLIOfCNLBk87SnQA70WLNB31iExNSCnx+inLjUvD66vQ==" saltValue="ZGZJ95HoBYg/axlTYYaDlw==" spinCount="100000" sheet="1" objects="1" scenarios="1"/>
  <mergeCells count="1">
    <mergeCell ref="G23:H23"/>
  </mergeCells>
  <hyperlinks>
    <hyperlink ref="G23" r:id="rId1" xr:uid="{00000000-0004-0000-0000-000000000000}"/>
  </hyperlinks>
  <pageMargins left="0.7" right="0.7" top="0.75" bottom="0.75" header="0.3" footer="0.3"/>
  <pageSetup paperSize="9" scale="54"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zoomScale="85" zoomScaleNormal="85" workbookViewId="0">
      <selection activeCell="C35" sqref="C35"/>
    </sheetView>
  </sheetViews>
  <sheetFormatPr baseColWidth="10" defaultColWidth="11.44140625" defaultRowHeight="14.4" x14ac:dyDescent="0.3"/>
  <cols>
    <col min="1" max="1" width="22.5546875" style="8" customWidth="1"/>
    <col min="2" max="2" width="34.5546875" style="8" bestFit="1" customWidth="1"/>
    <col min="3" max="6" width="26" style="8" bestFit="1" customWidth="1"/>
    <col min="7" max="10" width="9.44140625" style="8" bestFit="1" customWidth="1"/>
    <col min="11" max="11" width="4.33203125" style="8" customWidth="1"/>
    <col min="12" max="15" width="11.44140625" style="8" hidden="1" customWidth="1"/>
    <col min="16" max="19" width="12" style="8" hidden="1" customWidth="1"/>
    <col min="20" max="24" width="15.5546875" style="8" hidden="1" customWidth="1"/>
    <col min="25" max="25" width="22.109375" style="8" bestFit="1" customWidth="1"/>
    <col min="26" max="27" width="9.44140625" style="8" bestFit="1" customWidth="1"/>
    <col min="28" max="28" width="11.44140625" style="8" bestFit="1" customWidth="1"/>
    <col min="29" max="29" width="9.44140625" style="8" bestFit="1" customWidth="1"/>
    <col min="30" max="16384" width="11.44140625" style="8"/>
  </cols>
  <sheetData>
    <row r="1" spans="1:29" ht="30.75" customHeight="1" x14ac:dyDescent="0.45">
      <c r="A1" s="143" t="s">
        <v>1</v>
      </c>
      <c r="B1" s="143"/>
      <c r="C1" s="143"/>
      <c r="D1" s="143"/>
      <c r="E1" s="143"/>
      <c r="G1" s="144" t="s">
        <v>2</v>
      </c>
      <c r="H1" s="144"/>
      <c r="I1" s="144"/>
      <c r="J1" s="144"/>
      <c r="P1" s="8" t="s">
        <v>3</v>
      </c>
      <c r="Y1" s="15" t="s">
        <v>4</v>
      </c>
      <c r="Z1" s="47">
        <v>2025</v>
      </c>
      <c r="AA1" s="16"/>
    </row>
    <row r="2" spans="1:29" ht="32.25" customHeight="1" thickBot="1" x14ac:dyDescent="0.5">
      <c r="B2" s="17" t="s">
        <v>5</v>
      </c>
      <c r="C2" s="18" t="s">
        <v>6</v>
      </c>
      <c r="D2" s="17" t="s">
        <v>7</v>
      </c>
      <c r="E2" s="18" t="s">
        <v>8</v>
      </c>
      <c r="F2" s="19" t="s">
        <v>9</v>
      </c>
      <c r="G2" s="20">
        <f>'1'!Z1+1</f>
        <v>2026</v>
      </c>
      <c r="H2" s="20">
        <f>G2+1</f>
        <v>2027</v>
      </c>
      <c r="I2" s="20">
        <f t="shared" ref="I2:J2" si="0">H2+1</f>
        <v>2028</v>
      </c>
      <c r="J2" s="20">
        <f t="shared" si="0"/>
        <v>2029</v>
      </c>
      <c r="L2" s="8">
        <f>G2</f>
        <v>2026</v>
      </c>
      <c r="M2" s="8">
        <f>H2</f>
        <v>2027</v>
      </c>
      <c r="N2" s="8">
        <f>M2+1</f>
        <v>2028</v>
      </c>
      <c r="O2" s="8">
        <f>N2+1</f>
        <v>2029</v>
      </c>
      <c r="P2" s="8" t="s">
        <v>10</v>
      </c>
      <c r="Q2" s="8" t="s">
        <v>11</v>
      </c>
      <c r="R2" s="8" t="s">
        <v>12</v>
      </c>
      <c r="S2" s="8" t="s">
        <v>13</v>
      </c>
      <c r="T2" s="8" t="s">
        <v>14</v>
      </c>
      <c r="U2" s="8" t="s">
        <v>15</v>
      </c>
      <c r="V2" s="8" t="s">
        <v>16</v>
      </c>
      <c r="W2" s="8" t="s">
        <v>17</v>
      </c>
      <c r="Y2" s="16"/>
      <c r="Z2" s="16"/>
      <c r="AA2" s="16"/>
    </row>
    <row r="3" spans="1:29" ht="24" thickBot="1" x14ac:dyDescent="0.5">
      <c r="A3" s="21">
        <v>1</v>
      </c>
      <c r="B3" s="13" t="s">
        <v>161</v>
      </c>
      <c r="C3" s="53">
        <v>250</v>
      </c>
      <c r="D3" s="14">
        <v>56990</v>
      </c>
      <c r="E3" s="22">
        <f>C3*D3</f>
        <v>14247500</v>
      </c>
      <c r="F3" s="23">
        <f>IF($E$13=0,0,E3/$E$13)</f>
        <v>0.22353402627966268</v>
      </c>
      <c r="G3" s="108">
        <v>0.15</v>
      </c>
      <c r="H3" s="108">
        <v>0.2</v>
      </c>
      <c r="I3" s="108">
        <v>0.2</v>
      </c>
      <c r="J3" s="108">
        <v>0.25</v>
      </c>
      <c r="K3" s="24"/>
      <c r="L3" s="8">
        <f t="shared" ref="L3:L12" si="1">C3*(1+G3)</f>
        <v>287.5</v>
      </c>
      <c r="M3" s="8">
        <f>L3*(1+H3)</f>
        <v>345</v>
      </c>
      <c r="N3" s="8">
        <f t="shared" ref="N3:O3" si="2">M3*(1+I3)</f>
        <v>414</v>
      </c>
      <c r="O3" s="8">
        <f t="shared" si="2"/>
        <v>517.5</v>
      </c>
      <c r="P3" s="25">
        <f>D3*(1+'1'!$Z$4)</f>
        <v>60979.3</v>
      </c>
      <c r="Q3" s="25">
        <f>P3*(1+'1'!$AA$4)</f>
        <v>65247.85100000001</v>
      </c>
      <c r="R3" s="25">
        <f>Q3*(1+'1'!$AB$4)</f>
        <v>69815.200570000015</v>
      </c>
      <c r="S3" s="25">
        <f>R3*(1+'1'!$AC$4)</f>
        <v>74702.264609900027</v>
      </c>
      <c r="T3" s="26">
        <f>L3*P3</f>
        <v>17531548.75</v>
      </c>
      <c r="U3" s="26">
        <f>M3*Q3</f>
        <v>22510508.595000003</v>
      </c>
      <c r="V3" s="26">
        <f>N3*R3</f>
        <v>28903493.035980005</v>
      </c>
      <c r="W3" s="26">
        <f>O3*S3</f>
        <v>38658421.935623266</v>
      </c>
      <c r="X3" s="26"/>
      <c r="Y3" s="27" t="s">
        <v>18</v>
      </c>
      <c r="Z3" s="28">
        <f>G2</f>
        <v>2026</v>
      </c>
      <c r="AA3" s="28">
        <f>Z3+1</f>
        <v>2027</v>
      </c>
      <c r="AB3" s="28">
        <f t="shared" ref="AB3:AC3" si="3">AA3+1</f>
        <v>2028</v>
      </c>
      <c r="AC3" s="29">
        <f t="shared" si="3"/>
        <v>2029</v>
      </c>
    </row>
    <row r="4" spans="1:29" ht="23.4" x14ac:dyDescent="0.45">
      <c r="A4" s="21">
        <f>A3+1</f>
        <v>2</v>
      </c>
      <c r="B4" s="13" t="s">
        <v>162</v>
      </c>
      <c r="C4" s="53">
        <v>250</v>
      </c>
      <c r="D4" s="14">
        <v>44990</v>
      </c>
      <c r="E4" s="22">
        <f t="shared" ref="E4:E12" si="4">C4*D4</f>
        <v>11247500</v>
      </c>
      <c r="F4" s="23">
        <f t="shared" ref="F4:F12" si="5">IF($E$13=0,0,E4/$E$13)</f>
        <v>0.17646597372033732</v>
      </c>
      <c r="G4" s="108">
        <v>0.15</v>
      </c>
      <c r="H4" s="108">
        <v>0.2</v>
      </c>
      <c r="I4" s="108">
        <v>0.2</v>
      </c>
      <c r="J4" s="108">
        <v>0.25</v>
      </c>
      <c r="K4" s="24"/>
      <c r="L4" s="8">
        <f t="shared" si="1"/>
        <v>287.5</v>
      </c>
      <c r="M4" s="8">
        <f t="shared" ref="M4:M12" si="6">L4*(1+H4)</f>
        <v>345</v>
      </c>
      <c r="N4" s="8">
        <f t="shared" ref="N4:N12" si="7">M4*(1+I4)</f>
        <v>414</v>
      </c>
      <c r="O4" s="8">
        <f t="shared" ref="O4:O12" si="8">N4*(1+J4)</f>
        <v>517.5</v>
      </c>
      <c r="P4" s="25">
        <f>D4*(1+'1'!$Z$4)</f>
        <v>48139.3</v>
      </c>
      <c r="Q4" s="25">
        <f>P4*(1+'1'!$AA$4)</f>
        <v>51509.051000000007</v>
      </c>
      <c r="R4" s="25">
        <f>Q4*(1+'1'!$AB$4)</f>
        <v>55114.684570000012</v>
      </c>
      <c r="S4" s="25">
        <f>R4*(1+'1'!$AC$4)</f>
        <v>58972.712489900019</v>
      </c>
      <c r="T4" s="26">
        <f t="shared" ref="T4:T12" si="9">L4*P4</f>
        <v>13840048.75</v>
      </c>
      <c r="U4" s="26">
        <f t="shared" ref="U4:U12" si="10">M4*Q4</f>
        <v>17770622.595000003</v>
      </c>
      <c r="V4" s="26">
        <f t="shared" ref="V4:V12" si="11">N4*R4</f>
        <v>22817479.411980007</v>
      </c>
      <c r="W4" s="26">
        <f t="shared" ref="W4:W12" si="12">O4*S4</f>
        <v>30518378.713523261</v>
      </c>
      <c r="X4" s="26"/>
      <c r="Y4" s="110" t="s">
        <v>19</v>
      </c>
      <c r="Z4" s="48">
        <v>7.0000000000000007E-2</v>
      </c>
      <c r="AA4" s="48">
        <v>7.0000000000000007E-2</v>
      </c>
      <c r="AB4" s="48">
        <v>7.0000000000000007E-2</v>
      </c>
      <c r="AC4" s="49">
        <v>7.0000000000000007E-2</v>
      </c>
    </row>
    <row r="5" spans="1:29" ht="24" thickBot="1" x14ac:dyDescent="0.5">
      <c r="A5" s="21">
        <f t="shared" ref="A5:A12" si="13">A4+1</f>
        <v>3</v>
      </c>
      <c r="B5" s="13" t="s">
        <v>163</v>
      </c>
      <c r="C5" s="53">
        <v>250</v>
      </c>
      <c r="D5" s="14">
        <v>49990</v>
      </c>
      <c r="E5" s="22">
        <f t="shared" si="4"/>
        <v>12497500</v>
      </c>
      <c r="F5" s="23">
        <f t="shared" si="5"/>
        <v>0.19607766228672288</v>
      </c>
      <c r="G5" s="46">
        <v>0.15</v>
      </c>
      <c r="H5" s="46">
        <v>0.2</v>
      </c>
      <c r="I5" s="46">
        <v>0.2</v>
      </c>
      <c r="J5" s="46">
        <v>0.25</v>
      </c>
      <c r="K5" s="24"/>
      <c r="L5" s="8">
        <f t="shared" si="1"/>
        <v>287.5</v>
      </c>
      <c r="M5" s="8">
        <f t="shared" si="6"/>
        <v>345</v>
      </c>
      <c r="N5" s="8">
        <f t="shared" si="7"/>
        <v>414</v>
      </c>
      <c r="O5" s="8">
        <f t="shared" si="8"/>
        <v>517.5</v>
      </c>
      <c r="P5" s="25">
        <f>D5*(1+'1'!$Z$4)</f>
        <v>53489.3</v>
      </c>
      <c r="Q5" s="25">
        <f>P5*(1+'1'!$AA$4)</f>
        <v>57233.551000000007</v>
      </c>
      <c r="R5" s="25">
        <f>Q5*(1+'1'!$AB$4)</f>
        <v>61239.899570000009</v>
      </c>
      <c r="S5" s="25">
        <f>R5*(1+'1'!$AC$4)</f>
        <v>65526.69253990001</v>
      </c>
      <c r="T5" s="26">
        <f t="shared" si="9"/>
        <v>15378173.75</v>
      </c>
      <c r="U5" s="26">
        <f t="shared" si="10"/>
        <v>19745575.095000003</v>
      </c>
      <c r="V5" s="26">
        <f t="shared" si="11"/>
        <v>25353318.421980005</v>
      </c>
      <c r="W5" s="26">
        <f t="shared" si="12"/>
        <v>33910063.389398254</v>
      </c>
      <c r="X5" s="26"/>
      <c r="Y5" s="111" t="s">
        <v>20</v>
      </c>
      <c r="Z5" s="50">
        <v>5.5E-2</v>
      </c>
      <c r="AA5" s="50">
        <v>5.5E-2</v>
      </c>
      <c r="AB5" s="50">
        <v>5.5E-2</v>
      </c>
      <c r="AC5" s="51">
        <v>5.5E-2</v>
      </c>
    </row>
    <row r="6" spans="1:29" ht="15" thickBot="1" x14ac:dyDescent="0.35">
      <c r="A6" s="21">
        <f t="shared" si="13"/>
        <v>4</v>
      </c>
      <c r="B6" s="13" t="s">
        <v>164</v>
      </c>
      <c r="C6" s="53">
        <v>250</v>
      </c>
      <c r="D6" s="14">
        <v>37990</v>
      </c>
      <c r="E6" s="22">
        <f t="shared" si="4"/>
        <v>9497500</v>
      </c>
      <c r="F6" s="23">
        <f t="shared" si="5"/>
        <v>0.14900960972739752</v>
      </c>
      <c r="G6" s="46">
        <v>0.15</v>
      </c>
      <c r="H6" s="46">
        <v>0.2</v>
      </c>
      <c r="I6" s="46">
        <v>0.2</v>
      </c>
      <c r="J6" s="46">
        <v>0.25</v>
      </c>
      <c r="K6" s="24"/>
      <c r="L6" s="8">
        <f t="shared" si="1"/>
        <v>287.5</v>
      </c>
      <c r="M6" s="8">
        <f t="shared" si="6"/>
        <v>345</v>
      </c>
      <c r="N6" s="8">
        <f t="shared" si="7"/>
        <v>414</v>
      </c>
      <c r="O6" s="8">
        <f t="shared" si="8"/>
        <v>517.5</v>
      </c>
      <c r="P6" s="25">
        <f>D6*(1+'1'!$Z$4)</f>
        <v>40649.300000000003</v>
      </c>
      <c r="Q6" s="25">
        <f>P6*(1+'1'!$AA$4)</f>
        <v>43494.751000000004</v>
      </c>
      <c r="R6" s="25">
        <f>Q6*(1+'1'!$AB$4)</f>
        <v>46539.383570000005</v>
      </c>
      <c r="S6" s="25">
        <f>R6*(1+'1'!$AC$4)</f>
        <v>49797.14041990001</v>
      </c>
      <c r="T6" s="26">
        <f t="shared" si="9"/>
        <v>11686673.75</v>
      </c>
      <c r="U6" s="26">
        <f t="shared" si="10"/>
        <v>15005689.095000001</v>
      </c>
      <c r="V6" s="26">
        <f t="shared" si="11"/>
        <v>19267304.797980003</v>
      </c>
      <c r="W6" s="26">
        <f t="shared" si="12"/>
        <v>25770020.167298254</v>
      </c>
      <c r="X6" s="26"/>
    </row>
    <row r="7" spans="1:29" ht="24" thickBot="1" x14ac:dyDescent="0.5">
      <c r="A7" s="21">
        <f t="shared" si="13"/>
        <v>5</v>
      </c>
      <c r="B7" s="13" t="s">
        <v>165</v>
      </c>
      <c r="C7" s="53">
        <v>250</v>
      </c>
      <c r="D7" s="14">
        <v>64990</v>
      </c>
      <c r="E7" s="22">
        <f t="shared" si="4"/>
        <v>16247500</v>
      </c>
      <c r="F7" s="23">
        <f t="shared" si="5"/>
        <v>0.25491272798587961</v>
      </c>
      <c r="G7" s="46">
        <v>0.15</v>
      </c>
      <c r="H7" s="46">
        <v>0.2</v>
      </c>
      <c r="I7" s="46">
        <v>0.2</v>
      </c>
      <c r="J7" s="46">
        <v>0.25</v>
      </c>
      <c r="K7" s="24"/>
      <c r="L7" s="8">
        <f t="shared" si="1"/>
        <v>287.5</v>
      </c>
      <c r="M7" s="8">
        <f t="shared" si="6"/>
        <v>345</v>
      </c>
      <c r="N7" s="8">
        <f t="shared" si="7"/>
        <v>414</v>
      </c>
      <c r="O7" s="8">
        <f t="shared" si="8"/>
        <v>517.5</v>
      </c>
      <c r="P7" s="25">
        <f>D7*(1+'1'!$Z$4)</f>
        <v>69539.3</v>
      </c>
      <c r="Q7" s="25">
        <f>P7*(1+'1'!$AA$4)</f>
        <v>74407.051000000007</v>
      </c>
      <c r="R7" s="25">
        <f>Q7*(1+'1'!$AB$4)</f>
        <v>79615.544570000013</v>
      </c>
      <c r="S7" s="25">
        <f>R7*(1+'1'!$AC$4)</f>
        <v>85188.632689900012</v>
      </c>
      <c r="T7" s="26">
        <f t="shared" si="9"/>
        <v>19992548.75</v>
      </c>
      <c r="U7" s="26">
        <f t="shared" si="10"/>
        <v>25670432.595000003</v>
      </c>
      <c r="V7" s="26">
        <f t="shared" si="11"/>
        <v>32960835.451980006</v>
      </c>
      <c r="W7" s="26">
        <f t="shared" si="12"/>
        <v>44085117.417023256</v>
      </c>
      <c r="X7" s="26"/>
      <c r="Y7" s="30" t="s">
        <v>21</v>
      </c>
      <c r="Z7" s="31"/>
      <c r="AA7" s="31"/>
      <c r="AB7" s="52">
        <v>0.12</v>
      </c>
      <c r="AC7" s="32"/>
    </row>
    <row r="8" spans="1:29" x14ac:dyDescent="0.3">
      <c r="A8" s="21">
        <f t="shared" si="13"/>
        <v>6</v>
      </c>
      <c r="B8" s="13"/>
      <c r="C8" s="53">
        <v>0</v>
      </c>
      <c r="D8" s="14">
        <v>0</v>
      </c>
      <c r="E8" s="22">
        <f t="shared" si="4"/>
        <v>0</v>
      </c>
      <c r="F8" s="23">
        <f t="shared" si="5"/>
        <v>0</v>
      </c>
      <c r="G8" s="46">
        <v>0</v>
      </c>
      <c r="H8" s="46">
        <v>0</v>
      </c>
      <c r="I8" s="46">
        <v>0</v>
      </c>
      <c r="J8" s="46">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x14ac:dyDescent="0.3">
      <c r="A9" s="21">
        <f t="shared" si="13"/>
        <v>7</v>
      </c>
      <c r="B9" s="13"/>
      <c r="C9" s="53">
        <v>0</v>
      </c>
      <c r="D9" s="14">
        <v>0</v>
      </c>
      <c r="E9" s="22">
        <f t="shared" si="4"/>
        <v>0</v>
      </c>
      <c r="F9" s="23">
        <f t="shared" si="5"/>
        <v>0</v>
      </c>
      <c r="G9" s="46">
        <v>0</v>
      </c>
      <c r="H9" s="46">
        <v>0</v>
      </c>
      <c r="I9" s="46">
        <v>0</v>
      </c>
      <c r="J9" s="46">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x14ac:dyDescent="0.3">
      <c r="A10" s="21">
        <f t="shared" si="13"/>
        <v>8</v>
      </c>
      <c r="B10" s="13"/>
      <c r="C10" s="53">
        <v>0</v>
      </c>
      <c r="D10" s="14">
        <v>0</v>
      </c>
      <c r="E10" s="22">
        <f t="shared" si="4"/>
        <v>0</v>
      </c>
      <c r="F10" s="23">
        <f t="shared" si="5"/>
        <v>0</v>
      </c>
      <c r="G10" s="46">
        <v>0</v>
      </c>
      <c r="H10" s="46">
        <v>0</v>
      </c>
      <c r="I10" s="46">
        <v>0</v>
      </c>
      <c r="J10" s="46">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x14ac:dyDescent="0.3">
      <c r="A11" s="21">
        <f t="shared" si="13"/>
        <v>9</v>
      </c>
      <c r="B11" s="13"/>
      <c r="C11" s="53">
        <v>0</v>
      </c>
      <c r="D11" s="14">
        <v>0</v>
      </c>
      <c r="E11" s="22">
        <f t="shared" si="4"/>
        <v>0</v>
      </c>
      <c r="F11" s="23">
        <f t="shared" si="5"/>
        <v>0</v>
      </c>
      <c r="G11" s="46">
        <v>0</v>
      </c>
      <c r="H11" s="46">
        <v>0</v>
      </c>
      <c r="I11" s="46">
        <v>0</v>
      </c>
      <c r="J11" s="46">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x14ac:dyDescent="0.3">
      <c r="A12" s="21">
        <f t="shared" si="13"/>
        <v>10</v>
      </c>
      <c r="B12" s="13"/>
      <c r="C12" s="53">
        <v>0</v>
      </c>
      <c r="D12" s="14">
        <v>0</v>
      </c>
      <c r="E12" s="22">
        <f t="shared" si="4"/>
        <v>0</v>
      </c>
      <c r="F12" s="23">
        <f t="shared" si="5"/>
        <v>0</v>
      </c>
      <c r="G12" s="46">
        <v>0</v>
      </c>
      <c r="H12" s="46">
        <v>0</v>
      </c>
      <c r="I12" s="46">
        <v>0</v>
      </c>
      <c r="J12" s="46">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x14ac:dyDescent="0.3">
      <c r="D13" s="8" t="s">
        <v>22</v>
      </c>
      <c r="E13" s="33">
        <f>SUM(E3:E12)</f>
        <v>63737500</v>
      </c>
      <c r="F13" s="34">
        <f>SUM(F3:F12)</f>
        <v>1</v>
      </c>
      <c r="T13" s="35">
        <f>SUM(T3:T12)</f>
        <v>78428993.75</v>
      </c>
      <c r="U13" s="35">
        <f>SUM(U3:U12)</f>
        <v>100702827.97500001</v>
      </c>
      <c r="V13" s="35">
        <f>SUM(V3:V12)</f>
        <v>129302431.11990003</v>
      </c>
      <c r="W13" s="35">
        <f>SUM(W3:W12)</f>
        <v>172942001.62286627</v>
      </c>
      <c r="X13" s="26"/>
    </row>
    <row r="15" spans="1:29" ht="23.25" customHeight="1" x14ac:dyDescent="0.3">
      <c r="A15" s="143" t="s">
        <v>23</v>
      </c>
      <c r="B15" s="143"/>
      <c r="C15" s="143"/>
      <c r="D15" s="143"/>
      <c r="E15" s="143"/>
      <c r="G15" s="36"/>
    </row>
    <row r="16" spans="1:29" ht="25.5" customHeight="1" x14ac:dyDescent="0.3">
      <c r="B16" s="17" t="s">
        <v>24</v>
      </c>
      <c r="C16" s="37" t="s">
        <v>6</v>
      </c>
      <c r="D16" s="106" t="s">
        <v>25</v>
      </c>
      <c r="E16" s="18" t="s">
        <v>26</v>
      </c>
      <c r="L16" s="8">
        <f>L2</f>
        <v>2026</v>
      </c>
      <c r="M16" s="8">
        <f t="shared" ref="M16:W16" si="14">M2</f>
        <v>2027</v>
      </c>
      <c r="N16" s="8">
        <f t="shared" si="14"/>
        <v>2028</v>
      </c>
      <c r="O16" s="8">
        <f t="shared" si="14"/>
        <v>2029</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x14ac:dyDescent="0.3">
      <c r="A17" s="21">
        <f>A3</f>
        <v>1</v>
      </c>
      <c r="B17" s="87" t="str">
        <f>B3</f>
        <v>Cuidado Facial</v>
      </c>
      <c r="C17" s="39">
        <f>C3</f>
        <v>250</v>
      </c>
      <c r="D17" s="14">
        <v>34194</v>
      </c>
      <c r="E17" s="22">
        <f>C17*D17</f>
        <v>8548500</v>
      </c>
      <c r="F17" s="23">
        <f>IF($E$27=0,0,E17/$E$27)</f>
        <v>0.22634540279340704</v>
      </c>
      <c r="L17" s="8">
        <f t="shared" ref="L17:L26" si="15">C17*(1+G3)</f>
        <v>287.5</v>
      </c>
      <c r="M17" s="8">
        <f>L17*(1+H3)</f>
        <v>345</v>
      </c>
      <c r="N17" s="8">
        <f t="shared" ref="N17:O17" si="16">M17*(1+I3)</f>
        <v>414</v>
      </c>
      <c r="O17" s="8">
        <f t="shared" si="16"/>
        <v>517.5</v>
      </c>
      <c r="P17" s="40">
        <f>D17*(1+'1'!$Z$5)</f>
        <v>36074.67</v>
      </c>
      <c r="Q17" s="25">
        <f>P17*(1+'1'!$AA$5)</f>
        <v>38058.776849999995</v>
      </c>
      <c r="R17" s="25">
        <f>Q17*(1+'1'!$AB$5)</f>
        <v>40152.009576749995</v>
      </c>
      <c r="S17" s="25">
        <f>R17*(1+'1'!$AC$5)</f>
        <v>42360.370103471243</v>
      </c>
      <c r="T17" s="40">
        <f t="shared" ref="T17:U19" si="17">L17*P17</f>
        <v>10371467.625</v>
      </c>
      <c r="U17" s="26">
        <f t="shared" si="17"/>
        <v>13130278.013249999</v>
      </c>
      <c r="V17" s="26">
        <f t="shared" ref="V17:W17" si="18">N17*R17</f>
        <v>16622931.964774499</v>
      </c>
      <c r="W17" s="26">
        <f t="shared" si="18"/>
        <v>21921491.528546367</v>
      </c>
      <c r="X17" s="26"/>
    </row>
    <row r="18" spans="1:24" x14ac:dyDescent="0.3">
      <c r="A18" s="21">
        <f t="shared" ref="A18:B25" si="19">A4</f>
        <v>2</v>
      </c>
      <c r="B18" s="41" t="str">
        <f t="shared" si="19"/>
        <v>Maquillaje</v>
      </c>
      <c r="C18" s="39">
        <f t="shared" ref="C18:C26" si="20">C4</f>
        <v>250</v>
      </c>
      <c r="D18" s="14">
        <v>26194</v>
      </c>
      <c r="E18" s="22">
        <f t="shared" ref="E18:E26" si="21">C18*D18</f>
        <v>6548500</v>
      </c>
      <c r="F18" s="23">
        <f t="shared" ref="F18:F26" si="22">IF($E$27=0,0,E18/$E$27)</f>
        <v>0.1733898192890713</v>
      </c>
      <c r="L18" s="8">
        <f t="shared" si="15"/>
        <v>287.5</v>
      </c>
      <c r="M18" s="8">
        <f t="shared" ref="M18:M26" si="23">L18*(1+H4)</f>
        <v>345</v>
      </c>
      <c r="N18" s="8">
        <f t="shared" ref="N18:N26" si="24">M18*(1+I4)</f>
        <v>414</v>
      </c>
      <c r="O18" s="8">
        <f t="shared" ref="O18:O26" si="25">N18*(1+J4)</f>
        <v>517.5</v>
      </c>
      <c r="P18" s="40">
        <f>D18*(1+'1'!$Z$5)</f>
        <v>27634.67</v>
      </c>
      <c r="Q18" s="25">
        <f>P18*(1+'1'!$AA$5)</f>
        <v>29154.576849999998</v>
      </c>
      <c r="R18" s="25">
        <f>Q18*(1+'1'!$AB$5)</f>
        <v>30758.078576749995</v>
      </c>
      <c r="S18" s="25">
        <f>R18*(1+'1'!$AC$5)</f>
        <v>32449.772898471241</v>
      </c>
      <c r="T18" s="40">
        <f t="shared" si="17"/>
        <v>7944967.6249999991</v>
      </c>
      <c r="U18" s="26">
        <f t="shared" si="17"/>
        <v>10058329.013249999</v>
      </c>
      <c r="V18" s="26">
        <f t="shared" ref="V18:V26" si="26">N18*R18</f>
        <v>12733844.530774498</v>
      </c>
      <c r="W18" s="26">
        <f t="shared" ref="W18:W26" si="27">O18*S18</f>
        <v>16792757.474958867</v>
      </c>
      <c r="X18" s="26"/>
    </row>
    <row r="19" spans="1:24" x14ac:dyDescent="0.3">
      <c r="A19" s="21">
        <f t="shared" si="19"/>
        <v>3</v>
      </c>
      <c r="B19" s="41" t="str">
        <f t="shared" si="19"/>
        <v>Cabello</v>
      </c>
      <c r="C19" s="39">
        <f t="shared" si="20"/>
        <v>250</v>
      </c>
      <c r="D19" s="14">
        <v>29694</v>
      </c>
      <c r="E19" s="22">
        <f t="shared" si="21"/>
        <v>7423500</v>
      </c>
      <c r="F19" s="23">
        <f t="shared" si="22"/>
        <v>0.19655788707221819</v>
      </c>
      <c r="L19" s="8">
        <f t="shared" si="15"/>
        <v>287.5</v>
      </c>
      <c r="M19" s="8">
        <f t="shared" si="23"/>
        <v>345</v>
      </c>
      <c r="N19" s="8">
        <f t="shared" si="24"/>
        <v>414</v>
      </c>
      <c r="O19" s="8">
        <f t="shared" si="25"/>
        <v>517.5</v>
      </c>
      <c r="P19" s="40">
        <f>D19*(1+'1'!$Z$5)</f>
        <v>31327.17</v>
      </c>
      <c r="Q19" s="25">
        <f>P19*(1+'1'!$AA$5)</f>
        <v>33050.164349999999</v>
      </c>
      <c r="R19" s="25">
        <f>Q19*(1+'1'!$AB$5)</f>
        <v>34867.923389249998</v>
      </c>
      <c r="S19" s="25">
        <f>R19*(1+'1'!$AC$5)</f>
        <v>36785.659175658744</v>
      </c>
      <c r="T19" s="40">
        <f t="shared" si="17"/>
        <v>9006561.375</v>
      </c>
      <c r="U19" s="26">
        <f t="shared" si="17"/>
        <v>11402306.700749999</v>
      </c>
      <c r="V19" s="26">
        <f t="shared" si="26"/>
        <v>14435320.283149499</v>
      </c>
      <c r="W19" s="26">
        <f t="shared" si="27"/>
        <v>19036578.6234034</v>
      </c>
      <c r="X19" s="26"/>
    </row>
    <row r="20" spans="1:24" x14ac:dyDescent="0.3">
      <c r="A20" s="21">
        <f t="shared" si="19"/>
        <v>4</v>
      </c>
      <c r="B20" s="41" t="str">
        <f t="shared" si="19"/>
        <v>Uñas</v>
      </c>
      <c r="C20" s="39">
        <f t="shared" si="20"/>
        <v>250</v>
      </c>
      <c r="D20" s="14">
        <v>21994</v>
      </c>
      <c r="E20" s="22">
        <f t="shared" si="21"/>
        <v>5498500</v>
      </c>
      <c r="F20" s="23">
        <f t="shared" si="22"/>
        <v>0.14558813794929504</v>
      </c>
      <c r="L20" s="8">
        <f t="shared" si="15"/>
        <v>287.5</v>
      </c>
      <c r="M20" s="8">
        <f t="shared" si="23"/>
        <v>345</v>
      </c>
      <c r="N20" s="8">
        <f t="shared" si="24"/>
        <v>414</v>
      </c>
      <c r="O20" s="8">
        <f t="shared" si="25"/>
        <v>517.5</v>
      </c>
      <c r="P20" s="40">
        <f>D20*(1+'1'!$Z$5)</f>
        <v>23203.67</v>
      </c>
      <c r="Q20" s="25">
        <f>P20*(1+'1'!$AA$5)</f>
        <v>24479.871849999996</v>
      </c>
      <c r="R20" s="25">
        <f>Q20*(1+'1'!$AB$5)</f>
        <v>25826.264801749996</v>
      </c>
      <c r="S20" s="25">
        <f>R20*(1+'1'!$AC$5)</f>
        <v>27246.709365846244</v>
      </c>
      <c r="T20" s="40">
        <f t="shared" ref="T20:T26" si="28">L20*P20</f>
        <v>6671055.1249999991</v>
      </c>
      <c r="U20" s="26">
        <f t="shared" ref="U20:U26" si="29">M20*Q20</f>
        <v>8445555.7882499993</v>
      </c>
      <c r="V20" s="26">
        <f t="shared" si="26"/>
        <v>10692073.627924498</v>
      </c>
      <c r="W20" s="26">
        <f t="shared" si="27"/>
        <v>14100172.09682543</v>
      </c>
      <c r="X20" s="26"/>
    </row>
    <row r="21" spans="1:24" x14ac:dyDescent="0.3">
      <c r="A21" s="21">
        <f t="shared" si="19"/>
        <v>5</v>
      </c>
      <c r="B21" s="41" t="str">
        <f t="shared" si="19"/>
        <v>Supplementos/ Otros</v>
      </c>
      <c r="C21" s="39">
        <f t="shared" si="20"/>
        <v>250</v>
      </c>
      <c r="D21" s="14">
        <v>38994</v>
      </c>
      <c r="E21" s="22">
        <f t="shared" si="21"/>
        <v>9748500</v>
      </c>
      <c r="F21" s="23">
        <f t="shared" si="22"/>
        <v>0.2581187528960085</v>
      </c>
      <c r="L21" s="8">
        <f t="shared" si="15"/>
        <v>287.5</v>
      </c>
      <c r="M21" s="8">
        <f t="shared" si="23"/>
        <v>345</v>
      </c>
      <c r="N21" s="8">
        <f t="shared" si="24"/>
        <v>414</v>
      </c>
      <c r="O21" s="8">
        <f t="shared" si="25"/>
        <v>517.5</v>
      </c>
      <c r="P21" s="40">
        <f>D21*(1+'1'!$Z$5)</f>
        <v>41138.67</v>
      </c>
      <c r="Q21" s="25">
        <f>P21*(1+'1'!$AA$5)</f>
        <v>43401.296849999999</v>
      </c>
      <c r="R21" s="25">
        <f>Q21*(1+'1'!$AB$5)</f>
        <v>45788.368176749995</v>
      </c>
      <c r="S21" s="25">
        <f>R21*(1+'1'!$AC$5)</f>
        <v>48306.728426471243</v>
      </c>
      <c r="T21" s="40">
        <f t="shared" si="28"/>
        <v>11827367.625</v>
      </c>
      <c r="U21" s="26">
        <f t="shared" si="29"/>
        <v>14973447.413249999</v>
      </c>
      <c r="V21" s="26">
        <f t="shared" si="26"/>
        <v>18956384.425174497</v>
      </c>
      <c r="W21" s="26">
        <f t="shared" si="27"/>
        <v>24998731.960698869</v>
      </c>
      <c r="X21" s="26"/>
    </row>
    <row r="22" spans="1:24" x14ac:dyDescent="0.3">
      <c r="A22" s="21">
        <f t="shared" si="19"/>
        <v>6</v>
      </c>
      <c r="B22" s="41">
        <f t="shared" si="19"/>
        <v>0</v>
      </c>
      <c r="C22" s="39">
        <f t="shared" si="20"/>
        <v>0</v>
      </c>
      <c r="D22" s="14">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x14ac:dyDescent="0.3">
      <c r="A23" s="21">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x14ac:dyDescent="0.3">
      <c r="A24" s="21">
        <f t="shared" si="19"/>
        <v>8</v>
      </c>
      <c r="B24" s="41">
        <f t="shared" si="19"/>
        <v>0</v>
      </c>
      <c r="C24" s="39">
        <f t="shared" si="20"/>
        <v>0</v>
      </c>
      <c r="D24" s="14">
        <f>D10*50%</f>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x14ac:dyDescent="0.3">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x14ac:dyDescent="0.3">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x14ac:dyDescent="0.3">
      <c r="D27" s="8" t="str">
        <f>D13</f>
        <v>TOTAL</v>
      </c>
      <c r="E27" s="33">
        <f>SUM(E17:E26)</f>
        <v>37767500</v>
      </c>
      <c r="F27" s="34">
        <f>SUM(F17:F26)</f>
        <v>1</v>
      </c>
      <c r="T27" s="35">
        <f>SUM(T17:T26)</f>
        <v>45821419.375</v>
      </c>
      <c r="U27" s="35">
        <f>SUM(U17:U26)</f>
        <v>58009916.928749993</v>
      </c>
      <c r="V27" s="35">
        <f t="shared" ref="V27:W27" si="31">SUM(V17:V26)</f>
        <v>73440554.831797481</v>
      </c>
      <c r="W27" s="35">
        <f t="shared" si="31"/>
        <v>96849731.684432939</v>
      </c>
      <c r="X27" s="26"/>
    </row>
    <row r="30" spans="1:24" x14ac:dyDescent="0.3">
      <c r="A30" s="142" t="s">
        <v>27</v>
      </c>
      <c r="B30" s="142"/>
      <c r="C30" s="142"/>
      <c r="D30" s="142"/>
      <c r="E30" s="142"/>
      <c r="F30" s="142"/>
    </row>
    <row r="31" spans="1:24" ht="25.2" x14ac:dyDescent="0.45">
      <c r="A31" s="42" t="s">
        <v>18</v>
      </c>
      <c r="B31" s="43">
        <f>'1'!Z1</f>
        <v>2025</v>
      </c>
      <c r="C31" s="43">
        <f>B31+1</f>
        <v>2026</v>
      </c>
      <c r="D31" s="43">
        <f>C31+1</f>
        <v>2027</v>
      </c>
      <c r="E31" s="43">
        <f>D31+1</f>
        <v>2028</v>
      </c>
      <c r="F31" s="43">
        <f>E31+1</f>
        <v>2029</v>
      </c>
      <c r="H31" s="44"/>
      <c r="I31" s="44"/>
      <c r="J31" s="44"/>
      <c r="K31" s="44"/>
      <c r="L31" s="44"/>
      <c r="M31" s="44"/>
      <c r="N31" s="44"/>
      <c r="O31" s="44"/>
      <c r="P31" s="44"/>
      <c r="Q31" s="44"/>
      <c r="R31" s="44"/>
      <c r="S31" s="44"/>
      <c r="T31" s="44"/>
      <c r="U31" s="44"/>
      <c r="V31" s="44"/>
    </row>
    <row r="32" spans="1:24" ht="15.6" x14ac:dyDescent="0.3">
      <c r="A32" s="130" t="s">
        <v>28</v>
      </c>
      <c r="B32" s="131">
        <f>'1'!E13</f>
        <v>63737500</v>
      </c>
      <c r="C32" s="132">
        <f>'1'!T13</f>
        <v>78428993.75</v>
      </c>
      <c r="D32" s="132">
        <f>'1'!U13</f>
        <v>100702827.97500001</v>
      </c>
      <c r="E32" s="132">
        <f>'1'!V13</f>
        <v>129302431.11990003</v>
      </c>
      <c r="F32" s="132">
        <f>'1'!W13</f>
        <v>172942001.62286627</v>
      </c>
    </row>
    <row r="33" spans="1:6" ht="15.6" x14ac:dyDescent="0.3">
      <c r="A33" s="130" t="s">
        <v>29</v>
      </c>
      <c r="B33" s="131">
        <f>'1'!E27</f>
        <v>37767500</v>
      </c>
      <c r="C33" s="131">
        <f>'1'!T27</f>
        <v>45821419.375</v>
      </c>
      <c r="D33" s="131">
        <f>'1'!U27</f>
        <v>58009916.928749993</v>
      </c>
      <c r="E33" s="131">
        <f>'1'!V27</f>
        <v>73440554.831797481</v>
      </c>
      <c r="F33" s="131">
        <f>'1'!W27</f>
        <v>96849731.684432939</v>
      </c>
    </row>
    <row r="34" spans="1:6" ht="21.6" thickBot="1" x14ac:dyDescent="0.45">
      <c r="A34" s="45" t="s">
        <v>30</v>
      </c>
      <c r="B34" s="109">
        <f>B32-B33</f>
        <v>25970000</v>
      </c>
      <c r="C34" s="109">
        <f t="shared" ref="C34:D34" si="32">C32-C33</f>
        <v>32607574.375</v>
      </c>
      <c r="D34" s="109">
        <f t="shared" si="32"/>
        <v>42692911.046250015</v>
      </c>
      <c r="E34" s="109">
        <f t="shared" ref="E34" si="33">E32-E33</f>
        <v>55861876.288102552</v>
      </c>
      <c r="F34" s="109">
        <f t="shared" ref="F34" si="34">F32-F33</f>
        <v>76092269.938433334</v>
      </c>
    </row>
    <row r="35" spans="1:6" ht="15" thickTop="1" x14ac:dyDescent="0.3"/>
  </sheetData>
  <sheetProtection algorithmName="SHA-512" hashValue="c9OV3Zy24crzkSi7EaI7KP3HjroZ07oEdz8dffC/RK7BynzCOUXBaSy59Y/HmGQp6NyaiIvLZjFOa6GAOkVACQ==" saltValue="NEdFzlz9Mh514qFHjwxnCg=="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M31"/>
  <sheetViews>
    <sheetView showGridLines="0" workbookViewId="0">
      <pane ySplit="14" topLeftCell="A15" activePane="bottomLeft" state="frozenSplit"/>
      <selection activeCell="B40" sqref="B40"/>
      <selection pane="bottomLeft" activeCell="C36" sqref="C36"/>
    </sheetView>
  </sheetViews>
  <sheetFormatPr baseColWidth="10" defaultColWidth="11.44140625" defaultRowHeight="14.4" x14ac:dyDescent="0.3"/>
  <cols>
    <col min="1" max="1" width="5.44140625" style="8" customWidth="1"/>
    <col min="2" max="2" width="29.44140625" style="8" bestFit="1" customWidth="1"/>
    <col min="3" max="3" width="20.33203125" style="8" customWidth="1"/>
    <col min="4" max="4" width="11.44140625" style="8"/>
    <col min="5" max="5" width="23.33203125" style="8" customWidth="1"/>
    <col min="6" max="6" width="17.6640625" style="8" bestFit="1" customWidth="1"/>
    <col min="7" max="7" width="15.5546875" style="8" bestFit="1" customWidth="1"/>
    <col min="8" max="16384" width="11.44140625" style="8"/>
  </cols>
  <sheetData>
    <row r="1" spans="2:13" x14ac:dyDescent="0.3">
      <c r="B1" s="145" t="s">
        <v>31</v>
      </c>
      <c r="C1" s="145"/>
      <c r="D1" s="145"/>
      <c r="E1" s="145"/>
      <c r="F1" s="145"/>
      <c r="G1" s="145"/>
      <c r="H1" s="145"/>
    </row>
    <row r="2" spans="2:13" ht="3.75" customHeight="1" x14ac:dyDescent="0.3">
      <c r="B2" s="145"/>
      <c r="C2" s="145"/>
      <c r="D2" s="145"/>
      <c r="E2" s="145"/>
      <c r="F2" s="145"/>
      <c r="G2" s="145"/>
      <c r="H2" s="145"/>
    </row>
    <row r="3" spans="2:13" x14ac:dyDescent="0.3">
      <c r="C3" s="21" t="s">
        <v>32</v>
      </c>
      <c r="F3" s="66" t="s">
        <v>33</v>
      </c>
      <c r="G3" s="124"/>
      <c r="H3" s="124"/>
      <c r="I3" s="124"/>
      <c r="J3" s="124"/>
      <c r="K3" s="124"/>
      <c r="L3" s="124"/>
      <c r="M3" s="124"/>
    </row>
    <row r="4" spans="2:13" x14ac:dyDescent="0.3">
      <c r="B4" s="45" t="s">
        <v>34</v>
      </c>
      <c r="C4" s="14">
        <v>0</v>
      </c>
      <c r="F4" s="66"/>
      <c r="G4" s="66"/>
      <c r="H4" s="66"/>
      <c r="I4" s="124"/>
      <c r="J4" s="124"/>
      <c r="K4" s="124"/>
      <c r="L4" s="124"/>
      <c r="M4" s="124"/>
    </row>
    <row r="5" spans="2:13" x14ac:dyDescent="0.3">
      <c r="B5" s="45" t="s">
        <v>35</v>
      </c>
      <c r="C5" s="14">
        <v>200000</v>
      </c>
      <c r="F5" s="66">
        <v>10</v>
      </c>
      <c r="G5" s="67">
        <f t="shared" ref="G5:G11" si="0">C5/F5</f>
        <v>20000</v>
      </c>
      <c r="H5" s="66"/>
      <c r="I5" s="124"/>
      <c r="J5" s="124"/>
      <c r="K5" s="124"/>
      <c r="L5" s="124"/>
      <c r="M5" s="124"/>
    </row>
    <row r="6" spans="2:13" x14ac:dyDescent="0.3">
      <c r="B6" s="45" t="s">
        <v>36</v>
      </c>
      <c r="C6" s="14">
        <v>0</v>
      </c>
      <c r="F6" s="66">
        <v>5</v>
      </c>
      <c r="G6" s="67">
        <f t="shared" si="0"/>
        <v>0</v>
      </c>
      <c r="H6" s="66"/>
      <c r="I6" s="124"/>
      <c r="J6" s="124"/>
      <c r="K6" s="124"/>
      <c r="L6" s="124"/>
      <c r="M6" s="124"/>
    </row>
    <row r="7" spans="2:13" x14ac:dyDescent="0.3">
      <c r="B7" s="45" t="s">
        <v>37</v>
      </c>
      <c r="C7" s="14">
        <v>0</v>
      </c>
      <c r="F7" s="66">
        <v>5</v>
      </c>
      <c r="G7" s="67">
        <f t="shared" si="0"/>
        <v>0</v>
      </c>
      <c r="H7" s="66"/>
      <c r="I7" s="124"/>
      <c r="J7" s="124"/>
      <c r="K7" s="124"/>
      <c r="L7" s="124"/>
      <c r="M7" s="124"/>
    </row>
    <row r="8" spans="2:13" x14ac:dyDescent="0.3">
      <c r="B8" s="45" t="s">
        <v>38</v>
      </c>
      <c r="C8" s="14">
        <v>0</v>
      </c>
      <c r="F8" s="66">
        <v>5</v>
      </c>
      <c r="G8" s="67">
        <f t="shared" si="0"/>
        <v>0</v>
      </c>
      <c r="H8" s="66"/>
      <c r="I8" s="124"/>
      <c r="J8" s="124"/>
      <c r="K8" s="124"/>
      <c r="L8" s="124"/>
      <c r="M8" s="124"/>
    </row>
    <row r="9" spans="2:13" x14ac:dyDescent="0.3">
      <c r="B9" s="45" t="s">
        <v>39</v>
      </c>
      <c r="C9" s="14">
        <v>0</v>
      </c>
      <c r="F9" s="66">
        <v>5</v>
      </c>
      <c r="G9" s="67">
        <f t="shared" si="0"/>
        <v>0</v>
      </c>
      <c r="H9" s="66"/>
      <c r="I9" s="124"/>
      <c r="J9" s="124"/>
      <c r="K9" s="124"/>
      <c r="L9" s="124"/>
      <c r="M9" s="124"/>
    </row>
    <row r="10" spans="2:13" x14ac:dyDescent="0.3">
      <c r="B10" s="45" t="s">
        <v>40</v>
      </c>
      <c r="C10" s="14">
        <v>0</v>
      </c>
      <c r="F10" s="66">
        <v>5</v>
      </c>
      <c r="G10" s="67">
        <f t="shared" si="0"/>
        <v>0</v>
      </c>
      <c r="H10" s="66"/>
      <c r="I10" s="124"/>
      <c r="J10" s="124"/>
      <c r="K10" s="124"/>
      <c r="L10" s="124"/>
      <c r="M10" s="124"/>
    </row>
    <row r="11" spans="2:13" x14ac:dyDescent="0.3">
      <c r="B11" s="45" t="s">
        <v>41</v>
      </c>
      <c r="C11" s="14">
        <v>38432300</v>
      </c>
      <c r="F11" s="66">
        <v>5</v>
      </c>
      <c r="G11" s="67">
        <f t="shared" si="0"/>
        <v>7686460</v>
      </c>
      <c r="H11" s="66"/>
      <c r="I11" s="124"/>
      <c r="J11" s="124"/>
      <c r="K11" s="124"/>
      <c r="L11" s="124"/>
      <c r="M11" s="124"/>
    </row>
    <row r="12" spans="2:13" ht="16.2" thickBot="1" x14ac:dyDescent="0.35">
      <c r="B12" s="68" t="s">
        <v>42</v>
      </c>
      <c r="C12" s="69">
        <f>SUM(C4:C11)</f>
        <v>38632300</v>
      </c>
      <c r="F12" s="66"/>
      <c r="G12" s="67">
        <f>SUM(G5:G11)</f>
        <v>7706460</v>
      </c>
      <c r="H12" s="66"/>
      <c r="I12" s="124"/>
      <c r="J12" s="124"/>
      <c r="K12" s="124"/>
      <c r="L12" s="124"/>
      <c r="M12" s="124"/>
    </row>
    <row r="13" spans="2:13" x14ac:dyDescent="0.3">
      <c r="B13" s="146" t="s">
        <v>43</v>
      </c>
      <c r="C13" s="147"/>
      <c r="D13" s="147"/>
      <c r="E13" s="147"/>
      <c r="F13" s="147"/>
      <c r="G13" s="147"/>
      <c r="H13" s="148"/>
    </row>
    <row r="14" spans="2:13" ht="15" thickBot="1" x14ac:dyDescent="0.35">
      <c r="B14" s="149"/>
      <c r="C14" s="150"/>
      <c r="D14" s="150"/>
      <c r="E14" s="150"/>
      <c r="F14" s="150"/>
      <c r="G14" s="150"/>
      <c r="H14" s="151"/>
    </row>
    <row r="15" spans="2:13" x14ac:dyDescent="0.3">
      <c r="B15" s="70"/>
      <c r="C15" s="70"/>
      <c r="D15" s="70"/>
      <c r="E15" s="70"/>
      <c r="F15" s="70"/>
      <c r="G15" s="70"/>
      <c r="H15" s="70"/>
    </row>
    <row r="16" spans="2:13" x14ac:dyDescent="0.3">
      <c r="B16" s="68" t="s">
        <v>44</v>
      </c>
      <c r="E16" s="68" t="s">
        <v>45</v>
      </c>
      <c r="F16" s="38"/>
    </row>
    <row r="17" spans="2:6" x14ac:dyDescent="0.3">
      <c r="C17" s="68" t="s">
        <v>46</v>
      </c>
      <c r="F17" s="68" t="str">
        <f>C17</f>
        <v>VALOR AÑO 1</v>
      </c>
    </row>
    <row r="18" spans="2:6" x14ac:dyDescent="0.3">
      <c r="B18" s="71" t="s">
        <v>47</v>
      </c>
      <c r="C18" s="14">
        <v>150000</v>
      </c>
      <c r="E18" s="72" t="s">
        <v>48</v>
      </c>
      <c r="F18" s="14">
        <v>0</v>
      </c>
    </row>
    <row r="19" spans="2:6" x14ac:dyDescent="0.3">
      <c r="C19" s="73"/>
      <c r="E19" s="72" t="s">
        <v>49</v>
      </c>
      <c r="F19" s="14">
        <v>0</v>
      </c>
    </row>
    <row r="20" spans="2:6" x14ac:dyDescent="0.3">
      <c r="B20" s="71" t="s">
        <v>50</v>
      </c>
      <c r="C20" s="14">
        <v>0</v>
      </c>
      <c r="E20" s="72" t="s">
        <v>51</v>
      </c>
      <c r="F20" s="14">
        <v>240000</v>
      </c>
    </row>
    <row r="21" spans="2:6" x14ac:dyDescent="0.3">
      <c r="C21" s="73"/>
      <c r="E21" s="72" t="s">
        <v>52</v>
      </c>
      <c r="F21" s="14">
        <v>0</v>
      </c>
    </row>
    <row r="22" spans="2:6" x14ac:dyDescent="0.3">
      <c r="B22" s="71" t="s">
        <v>53</v>
      </c>
      <c r="C22" s="14">
        <v>0</v>
      </c>
      <c r="E22" s="72" t="s">
        <v>54</v>
      </c>
      <c r="F22" s="14">
        <v>500000</v>
      </c>
    </row>
    <row r="23" spans="2:6" ht="15.6" x14ac:dyDescent="0.3">
      <c r="B23" s="8" t="s">
        <v>55</v>
      </c>
      <c r="C23" s="69">
        <f>C18+C20+C22</f>
        <v>150000</v>
      </c>
      <c r="E23" s="72" t="s">
        <v>56</v>
      </c>
      <c r="F23" s="14">
        <v>0</v>
      </c>
    </row>
    <row r="24" spans="2:6" x14ac:dyDescent="0.3">
      <c r="E24" s="72" t="s">
        <v>57</v>
      </c>
      <c r="F24" s="14">
        <v>0</v>
      </c>
    </row>
    <row r="25" spans="2:6" ht="24.6" x14ac:dyDescent="0.3">
      <c r="B25" s="72" t="s">
        <v>58</v>
      </c>
      <c r="C25" s="14">
        <v>300000</v>
      </c>
      <c r="E25" s="93" t="s">
        <v>59</v>
      </c>
      <c r="F25" s="14">
        <v>0</v>
      </c>
    </row>
    <row r="26" spans="2:6" x14ac:dyDescent="0.3">
      <c r="E26" s="93" t="s">
        <v>60</v>
      </c>
      <c r="F26" s="14">
        <v>100000</v>
      </c>
    </row>
    <row r="27" spans="2:6" x14ac:dyDescent="0.3">
      <c r="B27" s="91" t="s">
        <v>61</v>
      </c>
      <c r="C27" s="91"/>
      <c r="E27" s="93" t="s">
        <v>62</v>
      </c>
      <c r="F27" s="14">
        <v>0</v>
      </c>
    </row>
    <row r="28" spans="2:6" x14ac:dyDescent="0.3">
      <c r="B28" s="107">
        <f>'1'!G2</f>
        <v>2026</v>
      </c>
      <c r="C28" s="14">
        <v>360000</v>
      </c>
      <c r="E28" s="93"/>
      <c r="F28" s="14">
        <v>0</v>
      </c>
    </row>
    <row r="29" spans="2:6" x14ac:dyDescent="0.3">
      <c r="B29" s="107">
        <f>'1'!H2</f>
        <v>2027</v>
      </c>
      <c r="C29" s="14">
        <v>0</v>
      </c>
      <c r="E29" s="93"/>
      <c r="F29" s="14">
        <v>0</v>
      </c>
    </row>
    <row r="30" spans="2:6" x14ac:dyDescent="0.3">
      <c r="B30" s="107">
        <f>'1'!I2</f>
        <v>2028</v>
      </c>
      <c r="C30" s="14">
        <v>0</v>
      </c>
      <c r="E30" s="93"/>
      <c r="F30" s="14">
        <v>0</v>
      </c>
    </row>
    <row r="31" spans="2:6" ht="15.6" x14ac:dyDescent="0.3">
      <c r="B31" s="107">
        <f>'1'!J2</f>
        <v>2029</v>
      </c>
      <c r="C31" s="14">
        <v>0</v>
      </c>
      <c r="E31" s="72" t="s">
        <v>63</v>
      </c>
      <c r="F31" s="69">
        <f>SUM(F18:F30)</f>
        <v>840000</v>
      </c>
    </row>
  </sheetData>
  <sheetProtection algorithmName="SHA-512" hashValue="6EroQaZZpvQBYltmXCQrJi9YJc2eXPkZiar/65bynBbeiZGTZfympwxBl/eD9Ulgnvl91UqnonGILX6DsPC9IQ==" saltValue="DMgiEL6P5GJMMp+51z0JfQ==" spinCount="100000" sheet="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F23" sqref="F23"/>
    </sheetView>
  </sheetViews>
  <sheetFormatPr baseColWidth="10" defaultColWidth="11.44140625" defaultRowHeight="14.4" x14ac:dyDescent="0.3"/>
  <cols>
    <col min="1" max="1" width="11.44140625" style="8"/>
    <col min="2" max="2" width="39" style="8" bestFit="1" customWidth="1"/>
    <col min="3" max="4" width="18.5546875" style="8" bestFit="1" customWidth="1"/>
    <col min="5" max="5" width="12.88671875" style="8" customWidth="1"/>
    <col min="6" max="6" width="15.5546875" style="8" bestFit="1" customWidth="1"/>
    <col min="7" max="7" width="14.44140625" style="8" bestFit="1" customWidth="1"/>
    <col min="8" max="8" width="15.5546875" style="8" bestFit="1" customWidth="1"/>
    <col min="9" max="9" width="17" style="8" bestFit="1" customWidth="1"/>
    <col min="10" max="10" width="15.6640625" style="8" customWidth="1"/>
    <col min="11" max="16384" width="11.44140625" style="8"/>
  </cols>
  <sheetData>
    <row r="2" spans="2:12" ht="29.25" customHeight="1" x14ac:dyDescent="0.3">
      <c r="B2" s="143" t="s">
        <v>64</v>
      </c>
      <c r="C2" s="143"/>
      <c r="D2" s="143"/>
      <c r="E2" s="143"/>
      <c r="F2" s="143"/>
      <c r="G2" s="143"/>
      <c r="H2" s="143"/>
      <c r="I2" s="143"/>
      <c r="J2" s="143"/>
    </row>
    <row r="3" spans="2:12" x14ac:dyDescent="0.3">
      <c r="F3" s="152" t="s">
        <v>65</v>
      </c>
      <c r="G3" s="152"/>
    </row>
    <row r="4" spans="2:12" ht="15.6" x14ac:dyDescent="0.3">
      <c r="B4" s="16" t="s">
        <v>42</v>
      </c>
      <c r="C4" s="69">
        <f>'2'!C12</f>
        <v>38632300</v>
      </c>
      <c r="F4" s="153">
        <v>0.24</v>
      </c>
      <c r="G4" s="153"/>
      <c r="I4" s="8" t="s">
        <v>66</v>
      </c>
      <c r="J4" s="123">
        <v>2</v>
      </c>
      <c r="L4" s="66">
        <v>1</v>
      </c>
    </row>
    <row r="5" spans="2:12" x14ac:dyDescent="0.3">
      <c r="L5" s="66">
        <v>2</v>
      </c>
    </row>
    <row r="6" spans="2:12" ht="15" thickBot="1" x14ac:dyDescent="0.35">
      <c r="B6" s="16" t="s">
        <v>67</v>
      </c>
      <c r="F6" s="142" t="s">
        <v>68</v>
      </c>
      <c r="G6" s="142"/>
      <c r="H6" s="142"/>
      <c r="I6" s="142"/>
      <c r="J6" s="142"/>
      <c r="L6" s="66">
        <v>3</v>
      </c>
    </row>
    <row r="7" spans="2:12" x14ac:dyDescent="0.3">
      <c r="C7" s="74" t="s">
        <v>69</v>
      </c>
      <c r="D7" s="74" t="s">
        <v>70</v>
      </c>
      <c r="E7" s="112"/>
      <c r="F7" s="113" t="s">
        <v>71</v>
      </c>
      <c r="G7" s="113" t="s">
        <v>72</v>
      </c>
      <c r="H7" s="113" t="s">
        <v>73</v>
      </c>
      <c r="I7" s="113" t="s">
        <v>74</v>
      </c>
      <c r="J7" s="114" t="s">
        <v>75</v>
      </c>
      <c r="L7" s="66">
        <v>4</v>
      </c>
    </row>
    <row r="8" spans="2:12" x14ac:dyDescent="0.3">
      <c r="B8" s="45" t="s">
        <v>76</v>
      </c>
      <c r="C8" s="54">
        <v>0</v>
      </c>
      <c r="D8" s="25">
        <f>('1'!B33/12)*C8</f>
        <v>0</v>
      </c>
      <c r="E8" s="115" t="s">
        <v>77</v>
      </c>
      <c r="F8" s="116"/>
      <c r="G8" s="116"/>
      <c r="H8" s="116"/>
      <c r="I8" s="116"/>
      <c r="J8" s="117">
        <f>D16</f>
        <v>23632300</v>
      </c>
      <c r="L8" s="66">
        <v>5</v>
      </c>
    </row>
    <row r="9" spans="2:12" x14ac:dyDescent="0.3">
      <c r="B9" s="45" t="s">
        <v>78</v>
      </c>
      <c r="C9" s="54">
        <v>0</v>
      </c>
      <c r="D9" s="25">
        <f>('2'!C23/12)*C9</f>
        <v>0</v>
      </c>
      <c r="E9" s="115">
        <f>'1'!B31</f>
        <v>2025</v>
      </c>
      <c r="F9" s="119">
        <f t="shared" ref="F9:F13" si="0">IF(J8&gt;0,J8,0)</f>
        <v>23632300</v>
      </c>
      <c r="G9" s="119">
        <f>F9*$F$4</f>
        <v>5671752</v>
      </c>
      <c r="H9" s="119">
        <f>IF(J8&lt;1,0,(I9-G9))</f>
        <v>10550133.928571433</v>
      </c>
      <c r="I9" s="119">
        <f>PMT(F4,J4,J8)*-1</f>
        <v>16221885.928571433</v>
      </c>
      <c r="J9" s="120">
        <f>F9-H9</f>
        <v>13082166.071428567</v>
      </c>
    </row>
    <row r="10" spans="2:12" x14ac:dyDescent="0.3">
      <c r="B10" s="45" t="s">
        <v>79</v>
      </c>
      <c r="C10" s="54">
        <v>0</v>
      </c>
      <c r="D10" s="25">
        <f>('2'!C25/12)*C10</f>
        <v>0</v>
      </c>
      <c r="E10" s="115">
        <f>'1'!C31</f>
        <v>2026</v>
      </c>
      <c r="F10" s="119">
        <f t="shared" si="0"/>
        <v>13082166.071428567</v>
      </c>
      <c r="G10" s="119">
        <f t="shared" ref="G10:G13" si="1">F10*$F$4</f>
        <v>3139719.8571428559</v>
      </c>
      <c r="H10" s="119">
        <f t="shared" ref="H10:H13" si="2">IF(J9&lt;1,0,(I10-G10))</f>
        <v>13082166.071428576</v>
      </c>
      <c r="I10" s="119">
        <f>IF(J9&lt;1,0,(I9*(1+$K$7)))</f>
        <v>16221885.928571433</v>
      </c>
      <c r="J10" s="120">
        <f t="shared" ref="J10:J13" si="3">F10-H10</f>
        <v>0</v>
      </c>
    </row>
    <row r="11" spans="2:12" x14ac:dyDescent="0.3">
      <c r="B11" s="45" t="s">
        <v>80</v>
      </c>
      <c r="C11" s="54">
        <v>0</v>
      </c>
      <c r="D11" s="25">
        <f>('2'!F31/12)*C11</f>
        <v>0</v>
      </c>
      <c r="E11" s="115">
        <f>'1'!D31</f>
        <v>2027</v>
      </c>
      <c r="F11" s="119">
        <f t="shared" si="0"/>
        <v>0</v>
      </c>
      <c r="G11" s="119">
        <f t="shared" si="1"/>
        <v>0</v>
      </c>
      <c r="H11" s="119">
        <f t="shared" si="2"/>
        <v>0</v>
      </c>
      <c r="I11" s="119">
        <f t="shared" ref="I11:I13" si="4">IF(J10&lt;1,0,(I10*(1+$K$7)))</f>
        <v>0</v>
      </c>
      <c r="J11" s="120">
        <f t="shared" si="3"/>
        <v>0</v>
      </c>
    </row>
    <row r="12" spans="2:12" ht="15.6" x14ac:dyDescent="0.3">
      <c r="B12" s="75" t="s">
        <v>22</v>
      </c>
      <c r="C12" s="58"/>
      <c r="D12" s="76">
        <f>SUM(D8:D11)</f>
        <v>0</v>
      </c>
      <c r="E12" s="115">
        <f>'1'!E31</f>
        <v>2028</v>
      </c>
      <c r="F12" s="119">
        <f t="shared" si="0"/>
        <v>0</v>
      </c>
      <c r="G12" s="119">
        <f t="shared" si="1"/>
        <v>0</v>
      </c>
      <c r="H12" s="119">
        <f t="shared" si="2"/>
        <v>0</v>
      </c>
      <c r="I12" s="119">
        <f t="shared" si="4"/>
        <v>0</v>
      </c>
      <c r="J12" s="120">
        <f t="shared" si="3"/>
        <v>0</v>
      </c>
    </row>
    <row r="13" spans="2:12" ht="15" thickBot="1" x14ac:dyDescent="0.35">
      <c r="E13" s="118">
        <f>'1'!F31</f>
        <v>2029</v>
      </c>
      <c r="F13" s="121">
        <f t="shared" si="0"/>
        <v>0</v>
      </c>
      <c r="G13" s="121">
        <f t="shared" si="1"/>
        <v>0</v>
      </c>
      <c r="H13" s="121">
        <f t="shared" si="2"/>
        <v>0</v>
      </c>
      <c r="I13" s="121">
        <f t="shared" si="4"/>
        <v>0</v>
      </c>
      <c r="J13" s="122">
        <f t="shared" si="3"/>
        <v>0</v>
      </c>
    </row>
    <row r="14" spans="2:12" ht="15.6" x14ac:dyDescent="0.3">
      <c r="B14" s="45" t="s">
        <v>81</v>
      </c>
      <c r="D14" s="69">
        <f>C4+D12</f>
        <v>38632300</v>
      </c>
    </row>
    <row r="15" spans="2:12" x14ac:dyDescent="0.3">
      <c r="B15" s="45" t="s">
        <v>82</v>
      </c>
      <c r="D15" s="55">
        <v>15000000</v>
      </c>
    </row>
    <row r="16" spans="2:12" ht="15.6" x14ac:dyDescent="0.3">
      <c r="B16" s="45" t="s">
        <v>83</v>
      </c>
      <c r="D16" s="77">
        <f>D14-D15</f>
        <v>23632300</v>
      </c>
    </row>
  </sheetData>
  <sheetProtection algorithmName="SHA-512" hashValue="O5NYs4kU2RDla5avmpVbUFwAlgQnRS+KAG4TJgbbrgnJXEeDhXLMDa8jnpKU5surrkI0IePw0cFHGExGZUnU7Q==" saltValue="jxQ+EQVom5MMBdWqfY22EA=="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16" activePane="bottomRight" state="frozenSplit"/>
      <selection pane="topRight" activeCell="E1" sqref="E1"/>
      <selection pane="bottomLeft" activeCell="A12" sqref="A12"/>
      <selection pane="bottomRight" activeCell="H20" sqref="H20"/>
    </sheetView>
  </sheetViews>
  <sheetFormatPr baseColWidth="10" defaultColWidth="11.44140625" defaultRowHeight="14.4" x14ac:dyDescent="0.3"/>
  <cols>
    <col min="1" max="1" width="26.6640625" style="8" customWidth="1"/>
    <col min="2" max="2" width="25.88671875" style="8" bestFit="1" customWidth="1"/>
    <col min="3" max="3" width="21.6640625" style="8" bestFit="1" customWidth="1"/>
    <col min="4" max="7" width="18.44140625" style="8" bestFit="1" customWidth="1"/>
    <col min="8" max="16384" width="11.44140625" style="8"/>
  </cols>
  <sheetData>
    <row r="1" spans="1:7" ht="34.5" customHeight="1" x14ac:dyDescent="0.3">
      <c r="A1" s="154" t="s">
        <v>84</v>
      </c>
      <c r="B1" s="154"/>
      <c r="C1" s="154"/>
      <c r="D1" s="154"/>
      <c r="E1" s="154"/>
      <c r="F1" s="154"/>
      <c r="G1" s="154"/>
    </row>
    <row r="2" spans="1:7" ht="23.4" x14ac:dyDescent="0.3">
      <c r="A2" s="155" t="s">
        <v>85</v>
      </c>
      <c r="B2" s="155"/>
      <c r="C2" s="155"/>
      <c r="D2" s="155"/>
      <c r="E2" s="155"/>
      <c r="F2" s="155"/>
      <c r="G2" s="155"/>
    </row>
    <row r="3" spans="1:7" ht="8.25" customHeight="1" x14ac:dyDescent="0.3">
      <c r="A3" s="56"/>
      <c r="B3" s="56"/>
      <c r="C3" s="56"/>
      <c r="D3" s="56"/>
      <c r="E3" s="56"/>
      <c r="F3" s="56"/>
      <c r="G3" s="56"/>
    </row>
    <row r="4" spans="1:7" ht="15.6" x14ac:dyDescent="0.3">
      <c r="A4" s="156" t="s">
        <v>86</v>
      </c>
      <c r="B4" s="156"/>
      <c r="C4" s="156"/>
      <c r="D4" s="156"/>
      <c r="E4" s="156"/>
      <c r="F4" s="156"/>
      <c r="G4" s="156"/>
    </row>
    <row r="5" spans="1:7" ht="23.4" x14ac:dyDescent="0.3">
      <c r="C5" s="60">
        <f>'1'!B31</f>
        <v>2025</v>
      </c>
      <c r="D5" s="60">
        <f>'1'!C31</f>
        <v>2026</v>
      </c>
      <c r="E5" s="60">
        <f>'1'!D31</f>
        <v>2027</v>
      </c>
      <c r="F5" s="60">
        <f>'1'!E31</f>
        <v>2028</v>
      </c>
      <c r="G5" s="60">
        <f>'1'!F31</f>
        <v>2029</v>
      </c>
    </row>
    <row r="6" spans="1:7" x14ac:dyDescent="0.3">
      <c r="B6" s="8" t="s">
        <v>87</v>
      </c>
      <c r="C6" s="133">
        <f>'1'!B32</f>
        <v>63737500</v>
      </c>
      <c r="D6" s="133">
        <f>'1'!C32</f>
        <v>78428993.75</v>
      </c>
      <c r="E6" s="133">
        <f>'1'!D32</f>
        <v>100702827.97500001</v>
      </c>
      <c r="F6" s="133">
        <f>'1'!E32</f>
        <v>129302431.11990003</v>
      </c>
      <c r="G6" s="133">
        <f>'1'!F32</f>
        <v>172942001.62286627</v>
      </c>
    </row>
    <row r="7" spans="1:7" x14ac:dyDescent="0.3">
      <c r="B7" s="8" t="s">
        <v>88</v>
      </c>
      <c r="C7" s="133">
        <f>'1'!B33</f>
        <v>37767500</v>
      </c>
      <c r="D7" s="133">
        <f>'1'!C33</f>
        <v>45821419.375</v>
      </c>
      <c r="E7" s="133">
        <f>'1'!D33</f>
        <v>58009916.928749993</v>
      </c>
      <c r="F7" s="133">
        <f>'1'!E33</f>
        <v>73440554.831797481</v>
      </c>
      <c r="G7" s="133">
        <f>'1'!F33</f>
        <v>96849731.684432939</v>
      </c>
    </row>
    <row r="8" spans="1:7" ht="15" thickBot="1" x14ac:dyDescent="0.35">
      <c r="B8" s="61" t="s">
        <v>89</v>
      </c>
      <c r="C8" s="134">
        <f>C6-C7</f>
        <v>25970000</v>
      </c>
      <c r="D8" s="134">
        <f t="shared" ref="D8:G8" si="0">D6-D7</f>
        <v>32607574.375</v>
      </c>
      <c r="E8" s="134">
        <f t="shared" si="0"/>
        <v>42692911.046250015</v>
      </c>
      <c r="F8" s="134">
        <f t="shared" si="0"/>
        <v>55861876.288102552</v>
      </c>
      <c r="G8" s="134">
        <f t="shared" si="0"/>
        <v>76092269.938433334</v>
      </c>
    </row>
    <row r="9" spans="1:7" ht="15" thickTop="1" x14ac:dyDescent="0.3">
      <c r="B9" s="138" t="s">
        <v>90</v>
      </c>
      <c r="C9" s="139">
        <f>'2'!C23</f>
        <v>150000</v>
      </c>
      <c r="D9" s="139">
        <f>C9*(1+'1'!Z4)</f>
        <v>160500</v>
      </c>
      <c r="E9" s="139">
        <f>D9*(1+'1'!AA4)</f>
        <v>171735</v>
      </c>
      <c r="F9" s="139">
        <f>E9*(1+'1'!AB4)</f>
        <v>183756.45</v>
      </c>
      <c r="G9" s="139">
        <f>F9*(1+'1'!AC4)</f>
        <v>196619.40150000004</v>
      </c>
    </row>
    <row r="10" spans="1:7" x14ac:dyDescent="0.3">
      <c r="B10" s="8" t="s">
        <v>91</v>
      </c>
      <c r="C10" s="133">
        <f>'2'!F31</f>
        <v>840000</v>
      </c>
      <c r="D10" s="133">
        <f>C10*(1+'1'!Z4)</f>
        <v>898800</v>
      </c>
      <c r="E10" s="133">
        <f>D10*(1+'1'!AA4)</f>
        <v>961716</v>
      </c>
      <c r="F10" s="133">
        <f>E10*(1+'1'!AB4)</f>
        <v>1029036.1200000001</v>
      </c>
      <c r="G10" s="133">
        <f>F10*(1+'1'!AC4)</f>
        <v>1101068.6484000003</v>
      </c>
    </row>
    <row r="11" spans="1:7" x14ac:dyDescent="0.3">
      <c r="B11" s="8" t="s">
        <v>92</v>
      </c>
      <c r="C11" s="133">
        <f>'2'!C25</f>
        <v>300000</v>
      </c>
      <c r="D11" s="133">
        <f>'2'!C28</f>
        <v>360000</v>
      </c>
      <c r="E11" s="133">
        <f>'2'!C29</f>
        <v>0</v>
      </c>
      <c r="F11" s="133">
        <f>'2'!C30</f>
        <v>0</v>
      </c>
      <c r="G11" s="133">
        <f>'2'!C31</f>
        <v>0</v>
      </c>
    </row>
    <row r="12" spans="1:7" x14ac:dyDescent="0.3">
      <c r="B12" s="8" t="s">
        <v>93</v>
      </c>
      <c r="C12" s="133">
        <f>'2'!G12</f>
        <v>7706460</v>
      </c>
      <c r="D12" s="133">
        <f>C12</f>
        <v>7706460</v>
      </c>
      <c r="E12" s="133">
        <f t="shared" ref="E12:G12" si="1">D12</f>
        <v>7706460</v>
      </c>
      <c r="F12" s="133">
        <f t="shared" si="1"/>
        <v>7706460</v>
      </c>
      <c r="G12" s="133">
        <f t="shared" si="1"/>
        <v>7706460</v>
      </c>
    </row>
    <row r="13" spans="1:7" ht="15" thickBot="1" x14ac:dyDescent="0.35">
      <c r="B13" s="61" t="s">
        <v>94</v>
      </c>
      <c r="C13" s="135">
        <f>C8-C9-C10-C11-C12</f>
        <v>16973540</v>
      </c>
      <c r="D13" s="135">
        <f t="shared" ref="D13:G13" si="2">D8-D9-D10-D11-D12</f>
        <v>23481814.375</v>
      </c>
      <c r="E13" s="135">
        <f t="shared" si="2"/>
        <v>33853000.046250015</v>
      </c>
      <c r="F13" s="135">
        <f t="shared" si="2"/>
        <v>46942623.718102552</v>
      </c>
      <c r="G13" s="135">
        <f t="shared" si="2"/>
        <v>67088121.888533339</v>
      </c>
    </row>
    <row r="14" spans="1:7" ht="15" thickTop="1" x14ac:dyDescent="0.3">
      <c r="B14" s="8" t="s">
        <v>95</v>
      </c>
      <c r="C14" s="133">
        <f>'3'!G9</f>
        <v>5671752</v>
      </c>
      <c r="D14" s="133">
        <f>'3'!G10</f>
        <v>3139719.8571428559</v>
      </c>
      <c r="E14" s="133">
        <f>'3'!G11</f>
        <v>0</v>
      </c>
      <c r="F14" s="133">
        <f>'3'!G12</f>
        <v>0</v>
      </c>
      <c r="G14" s="133">
        <f>'3'!G13</f>
        <v>0</v>
      </c>
    </row>
    <row r="15" spans="1:7" ht="15" thickBot="1" x14ac:dyDescent="0.35">
      <c r="B15" s="61" t="s">
        <v>96</v>
      </c>
      <c r="C15" s="135">
        <f>C13-C14</f>
        <v>11301788</v>
      </c>
      <c r="D15" s="135">
        <f t="shared" ref="D15:G15" si="3">D13-D14</f>
        <v>20342094.517857146</v>
      </c>
      <c r="E15" s="135">
        <f t="shared" si="3"/>
        <v>33853000.046250015</v>
      </c>
      <c r="F15" s="135">
        <f t="shared" si="3"/>
        <v>46942623.718102552</v>
      </c>
      <c r="G15" s="135">
        <f t="shared" si="3"/>
        <v>67088121.888533339</v>
      </c>
    </row>
    <row r="16" spans="1:7" ht="15" thickTop="1" x14ac:dyDescent="0.3">
      <c r="B16" s="8" t="s">
        <v>97</v>
      </c>
      <c r="C16" s="62">
        <f>IF(C15*'1'!$AB$7&lt;0,0,C15*'1'!$AB$7)</f>
        <v>1356214.56</v>
      </c>
      <c r="D16" s="62">
        <f>IF(D15*'1'!$AB$7&lt;0,0,D15*'1'!$AB$7)</f>
        <v>2441051.3421428571</v>
      </c>
      <c r="E16" s="62">
        <f>IF(E15*'1'!$AB$7&lt;0,0,E15*'1'!$AB$7)</f>
        <v>4062360.0055500017</v>
      </c>
      <c r="F16" s="62">
        <f>IF(F15*'1'!$AB$7&lt;0,0,F15*'1'!$AB$7)</f>
        <v>5633114.8461723058</v>
      </c>
      <c r="G16" s="62">
        <f>IF(G15*'1'!$AB$7&lt;0,0,G15*'1'!$AB$7)</f>
        <v>8050574.6266240003</v>
      </c>
    </row>
    <row r="17" spans="1:8" ht="15" thickBot="1" x14ac:dyDescent="0.35">
      <c r="B17" s="136" t="s">
        <v>98</v>
      </c>
      <c r="C17" s="137">
        <f>C15-C16</f>
        <v>9945573.4399999995</v>
      </c>
      <c r="D17" s="137">
        <f t="shared" ref="D17:G17" si="4">D15-D16</f>
        <v>17901043.175714288</v>
      </c>
      <c r="E17" s="137">
        <f t="shared" si="4"/>
        <v>29790640.040700015</v>
      </c>
      <c r="F17" s="137">
        <f t="shared" si="4"/>
        <v>41309508.871930249</v>
      </c>
      <c r="G17" s="137">
        <f t="shared" si="4"/>
        <v>59037547.261909336</v>
      </c>
    </row>
    <row r="19" spans="1:8" ht="15.6" x14ac:dyDescent="0.3">
      <c r="A19" s="156" t="s">
        <v>99</v>
      </c>
      <c r="B19" s="156"/>
      <c r="C19" s="156"/>
      <c r="D19" s="156"/>
      <c r="E19" s="156"/>
      <c r="F19" s="156"/>
      <c r="G19" s="156"/>
    </row>
    <row r="20" spans="1:8" ht="23.4" x14ac:dyDescent="0.3">
      <c r="B20" s="63" t="s">
        <v>77</v>
      </c>
      <c r="C20" s="60">
        <f>C5</f>
        <v>2025</v>
      </c>
      <c r="D20" s="60">
        <f>D5</f>
        <v>2026</v>
      </c>
      <c r="E20" s="60">
        <f>E5</f>
        <v>2027</v>
      </c>
      <c r="F20" s="60">
        <f>F5</f>
        <v>2028</v>
      </c>
      <c r="G20" s="60">
        <f>G5</f>
        <v>2029</v>
      </c>
    </row>
    <row r="21" spans="1:8" x14ac:dyDescent="0.3">
      <c r="A21" s="157" t="s">
        <v>100</v>
      </c>
      <c r="B21" s="157"/>
      <c r="C21" s="157"/>
      <c r="D21" s="157"/>
      <c r="E21" s="157"/>
      <c r="F21" s="157"/>
      <c r="G21" s="157"/>
    </row>
    <row r="22" spans="1:8" x14ac:dyDescent="0.3">
      <c r="A22" s="8" t="s">
        <v>101</v>
      </c>
      <c r="B22" s="26">
        <f>B38-B26</f>
        <v>0</v>
      </c>
      <c r="C22" s="26">
        <f t="shared" ref="C22:G22" si="5">C38-C26</f>
        <v>8458114.0714285672</v>
      </c>
      <c r="D22" s="26">
        <f t="shared" si="5"/>
        <v>12122714.517857142</v>
      </c>
      <c r="E22" s="26">
        <f t="shared" si="5"/>
        <v>33340080.046250023</v>
      </c>
      <c r="F22" s="26">
        <f t="shared" si="5"/>
        <v>54136163.718102552</v>
      </c>
      <c r="G22" s="26">
        <f t="shared" si="5"/>
        <v>81988121.888533339</v>
      </c>
    </row>
    <row r="23" spans="1:8" x14ac:dyDescent="0.3">
      <c r="A23" s="8" t="s">
        <v>102</v>
      </c>
      <c r="B23" s="26">
        <f>'2'!C4</f>
        <v>0</v>
      </c>
      <c r="C23" s="26">
        <f>B23</f>
        <v>0</v>
      </c>
      <c r="D23" s="26">
        <f t="shared" ref="D23:G23" si="6">C23</f>
        <v>0</v>
      </c>
      <c r="E23" s="26">
        <f t="shared" si="6"/>
        <v>0</v>
      </c>
      <c r="F23" s="26">
        <f t="shared" si="6"/>
        <v>0</v>
      </c>
      <c r="G23" s="26">
        <f t="shared" si="6"/>
        <v>0</v>
      </c>
      <c r="H23" s="26"/>
    </row>
    <row r="24" spans="1:8" x14ac:dyDescent="0.3">
      <c r="A24" s="8" t="s">
        <v>103</v>
      </c>
      <c r="B24" s="26">
        <f>'2'!C12-'2'!C4</f>
        <v>38632300</v>
      </c>
      <c r="C24" s="26">
        <f>B24</f>
        <v>38632300</v>
      </c>
      <c r="D24" s="26">
        <f t="shared" ref="D24:G24" si="7">C24</f>
        <v>38632300</v>
      </c>
      <c r="E24" s="26">
        <f t="shared" si="7"/>
        <v>38632300</v>
      </c>
      <c r="F24" s="26">
        <f t="shared" si="7"/>
        <v>38632300</v>
      </c>
      <c r="G24" s="26">
        <f t="shared" si="7"/>
        <v>38632300</v>
      </c>
      <c r="H24" s="26"/>
    </row>
    <row r="25" spans="1:8" x14ac:dyDescent="0.3">
      <c r="A25" s="8" t="s">
        <v>104</v>
      </c>
      <c r="B25" s="26">
        <v>0</v>
      </c>
      <c r="C25" s="26">
        <f>C12</f>
        <v>7706460</v>
      </c>
      <c r="D25" s="26">
        <f>D12+C12</f>
        <v>15412920</v>
      </c>
      <c r="E25" s="26">
        <f>E12+D12+C12</f>
        <v>23119380</v>
      </c>
      <c r="F25" s="26">
        <f>F12+E12+D12+C12</f>
        <v>30825840</v>
      </c>
      <c r="G25" s="26">
        <f>F25+G12</f>
        <v>38532300</v>
      </c>
      <c r="H25" s="26"/>
    </row>
    <row r="26" spans="1:8" x14ac:dyDescent="0.3">
      <c r="A26" s="8" t="s">
        <v>105</v>
      </c>
      <c r="B26" s="26">
        <f>B23+(B24-B25)</f>
        <v>38632300</v>
      </c>
      <c r="C26" s="26">
        <f>C23+(C24-C25)</f>
        <v>30925840</v>
      </c>
      <c r="D26" s="26">
        <f t="shared" ref="D26:G26" si="8">D23+(D24-D25)</f>
        <v>23219380</v>
      </c>
      <c r="E26" s="26">
        <f t="shared" si="8"/>
        <v>15512920</v>
      </c>
      <c r="F26" s="26">
        <f t="shared" si="8"/>
        <v>7806460</v>
      </c>
      <c r="G26" s="26">
        <f t="shared" si="8"/>
        <v>100000</v>
      </c>
      <c r="H26" s="26"/>
    </row>
    <row r="27" spans="1:8" ht="15" thickBot="1" x14ac:dyDescent="0.35">
      <c r="A27" s="61" t="s">
        <v>106</v>
      </c>
      <c r="B27" s="64">
        <f>B22+B26</f>
        <v>38632300</v>
      </c>
      <c r="C27" s="64">
        <f t="shared" ref="C27:G27" si="9">C22+C26</f>
        <v>39383954.071428567</v>
      </c>
      <c r="D27" s="64">
        <f t="shared" si="9"/>
        <v>35342094.517857142</v>
      </c>
      <c r="E27" s="64">
        <f t="shared" si="9"/>
        <v>48853000.046250023</v>
      </c>
      <c r="F27" s="64">
        <f t="shared" si="9"/>
        <v>61942623.718102552</v>
      </c>
      <c r="G27" s="64">
        <f t="shared" si="9"/>
        <v>82088121.888533339</v>
      </c>
      <c r="H27" s="26"/>
    </row>
    <row r="28" spans="1:8" ht="15" thickTop="1" x14ac:dyDescent="0.3">
      <c r="A28" s="157" t="s">
        <v>107</v>
      </c>
      <c r="B28" s="157"/>
      <c r="C28" s="157"/>
      <c r="D28" s="157"/>
      <c r="E28" s="157"/>
      <c r="F28" s="157"/>
      <c r="G28" s="157"/>
    </row>
    <row r="29" spans="1:8" x14ac:dyDescent="0.3">
      <c r="A29" s="8" t="s">
        <v>108</v>
      </c>
      <c r="B29" s="8">
        <v>0</v>
      </c>
      <c r="C29" s="62">
        <f>C16</f>
        <v>1356214.56</v>
      </c>
      <c r="D29" s="62">
        <f>D16</f>
        <v>2441051.3421428571</v>
      </c>
      <c r="E29" s="62">
        <f>E16</f>
        <v>4062360.0055500017</v>
      </c>
      <c r="F29" s="62">
        <f>F16</f>
        <v>5633114.8461723058</v>
      </c>
      <c r="G29" s="62">
        <f>G16</f>
        <v>8050574.6266240003</v>
      </c>
    </row>
    <row r="30" spans="1:8" x14ac:dyDescent="0.3">
      <c r="A30" s="8" t="s">
        <v>109</v>
      </c>
      <c r="B30" s="62">
        <f>B29</f>
        <v>0</v>
      </c>
      <c r="C30" s="62">
        <f t="shared" ref="C30:G30" si="10">C29</f>
        <v>1356214.56</v>
      </c>
      <c r="D30" s="62">
        <f t="shared" si="10"/>
        <v>2441051.3421428571</v>
      </c>
      <c r="E30" s="62">
        <f t="shared" si="10"/>
        <v>4062360.0055500017</v>
      </c>
      <c r="F30" s="62">
        <f t="shared" si="10"/>
        <v>5633114.8461723058</v>
      </c>
      <c r="G30" s="62">
        <f t="shared" si="10"/>
        <v>8050574.6266240003</v>
      </c>
    </row>
    <row r="31" spans="1:8" x14ac:dyDescent="0.3">
      <c r="A31" s="8" t="s">
        <v>110</v>
      </c>
      <c r="B31" s="25">
        <f>'3'!J8</f>
        <v>23632300</v>
      </c>
      <c r="C31" s="25">
        <f>'3'!J9</f>
        <v>13082166.071428567</v>
      </c>
      <c r="D31" s="25">
        <f>'3'!J10</f>
        <v>0</v>
      </c>
      <c r="E31" s="25">
        <f>'3'!J11</f>
        <v>0</v>
      </c>
      <c r="F31" s="25">
        <f>'3'!J12</f>
        <v>0</v>
      </c>
      <c r="G31" s="25">
        <f>'3'!J13</f>
        <v>0</v>
      </c>
    </row>
    <row r="32" spans="1:8" ht="15" thickBot="1" x14ac:dyDescent="0.35">
      <c r="A32" s="61" t="s">
        <v>107</v>
      </c>
      <c r="B32" s="64">
        <f>B30+B31</f>
        <v>23632300</v>
      </c>
      <c r="C32" s="64">
        <f t="shared" ref="C32:G32" si="11">C30+C31</f>
        <v>14438380.631428568</v>
      </c>
      <c r="D32" s="64">
        <f t="shared" si="11"/>
        <v>2441051.3421428571</v>
      </c>
      <c r="E32" s="64">
        <f t="shared" si="11"/>
        <v>4062360.0055500017</v>
      </c>
      <c r="F32" s="64">
        <f t="shared" si="11"/>
        <v>5633114.8461723058</v>
      </c>
      <c r="G32" s="64">
        <f t="shared" si="11"/>
        <v>8050574.6266240003</v>
      </c>
    </row>
    <row r="33" spans="1:7" ht="15" thickTop="1" x14ac:dyDescent="0.3">
      <c r="A33" s="157" t="s">
        <v>111</v>
      </c>
      <c r="B33" s="157"/>
      <c r="C33" s="157"/>
      <c r="D33" s="157"/>
      <c r="E33" s="157"/>
      <c r="F33" s="157"/>
      <c r="G33" s="157"/>
    </row>
    <row r="34" spans="1:7" x14ac:dyDescent="0.3">
      <c r="A34" s="8" t="s">
        <v>112</v>
      </c>
      <c r="B34" s="26">
        <f>'3'!D15</f>
        <v>15000000</v>
      </c>
      <c r="C34" s="26">
        <f>B34</f>
        <v>15000000</v>
      </c>
      <c r="D34" s="26">
        <f t="shared" ref="D34:G34" si="12">C34</f>
        <v>15000000</v>
      </c>
      <c r="E34" s="26">
        <f t="shared" si="12"/>
        <v>15000000</v>
      </c>
      <c r="F34" s="26">
        <f t="shared" si="12"/>
        <v>15000000</v>
      </c>
      <c r="G34" s="26">
        <f t="shared" si="12"/>
        <v>15000000</v>
      </c>
    </row>
    <row r="35" spans="1:7" x14ac:dyDescent="0.3">
      <c r="A35" s="8" t="s">
        <v>113</v>
      </c>
      <c r="B35" s="8">
        <v>0</v>
      </c>
      <c r="C35" s="62">
        <f>C17</f>
        <v>9945573.4399999995</v>
      </c>
      <c r="D35" s="62">
        <f>D17</f>
        <v>17901043.175714288</v>
      </c>
      <c r="E35" s="62">
        <f>E17</f>
        <v>29790640.040700015</v>
      </c>
      <c r="F35" s="62">
        <f>F17</f>
        <v>41309508.871930249</v>
      </c>
      <c r="G35" s="62">
        <f>G17</f>
        <v>59037547.261909336</v>
      </c>
    </row>
    <row r="36" spans="1:7" ht="15" thickBot="1" x14ac:dyDescent="0.35">
      <c r="A36" s="61" t="s">
        <v>114</v>
      </c>
      <c r="B36" s="64">
        <f>B34+B35</f>
        <v>15000000</v>
      </c>
      <c r="C36" s="64">
        <f t="shared" ref="C36:G36" si="13">C34+C35</f>
        <v>24945573.439999998</v>
      </c>
      <c r="D36" s="64">
        <f t="shared" si="13"/>
        <v>32901043.175714288</v>
      </c>
      <c r="E36" s="64">
        <f t="shared" si="13"/>
        <v>44790640.040700018</v>
      </c>
      <c r="F36" s="64">
        <f t="shared" si="13"/>
        <v>56309508.871930249</v>
      </c>
      <c r="G36" s="64">
        <f t="shared" si="13"/>
        <v>74037547.261909336</v>
      </c>
    </row>
    <row r="37" spans="1:7" ht="15" thickTop="1" x14ac:dyDescent="0.3"/>
    <row r="38" spans="1:7" ht="15" thickBot="1" x14ac:dyDescent="0.35">
      <c r="A38" s="61" t="s">
        <v>115</v>
      </c>
      <c r="B38" s="64">
        <f>B32+B36</f>
        <v>38632300</v>
      </c>
      <c r="C38" s="64">
        <f t="shared" ref="C38:G38" si="14">C32+C36</f>
        <v>39383954.071428567</v>
      </c>
      <c r="D38" s="64">
        <f t="shared" si="14"/>
        <v>35342094.517857142</v>
      </c>
      <c r="E38" s="64">
        <f t="shared" si="14"/>
        <v>48853000.046250023</v>
      </c>
      <c r="F38" s="64">
        <f t="shared" si="14"/>
        <v>61942623.718102552</v>
      </c>
      <c r="G38" s="64">
        <f t="shared" si="14"/>
        <v>82088121.888533339</v>
      </c>
    </row>
    <row r="39" spans="1:7" ht="15" thickTop="1" x14ac:dyDescent="0.3">
      <c r="A39" s="58" t="s">
        <v>116</v>
      </c>
      <c r="B39" s="65">
        <f>B27-B38</f>
        <v>0</v>
      </c>
      <c r="C39" s="65">
        <f t="shared" ref="C39:G39" si="15">C27-C38</f>
        <v>0</v>
      </c>
      <c r="D39" s="65">
        <f t="shared" si="15"/>
        <v>0</v>
      </c>
      <c r="E39" s="65">
        <f t="shared" si="15"/>
        <v>0</v>
      </c>
      <c r="F39" s="65">
        <f t="shared" si="15"/>
        <v>0</v>
      </c>
      <c r="G39" s="65">
        <f t="shared" si="15"/>
        <v>0</v>
      </c>
    </row>
    <row r="41" spans="1:7" ht="15.6" x14ac:dyDescent="0.3">
      <c r="A41" s="156" t="s">
        <v>117</v>
      </c>
      <c r="B41" s="156"/>
      <c r="C41" s="156"/>
      <c r="D41" s="156"/>
      <c r="E41" s="156"/>
      <c r="F41" s="156"/>
      <c r="G41" s="156"/>
    </row>
    <row r="42" spans="1:7" x14ac:dyDescent="0.3">
      <c r="A42" s="157" t="s">
        <v>118</v>
      </c>
      <c r="B42" s="157"/>
      <c r="C42" s="157"/>
      <c r="D42" s="157"/>
      <c r="E42" s="157"/>
      <c r="F42" s="157"/>
      <c r="G42" s="157"/>
    </row>
    <row r="43" spans="1:7" ht="23.4" x14ac:dyDescent="0.3">
      <c r="A43" s="11"/>
      <c r="B43" s="63" t="s">
        <v>77</v>
      </c>
      <c r="C43" s="60">
        <f>C20</f>
        <v>2025</v>
      </c>
      <c r="D43" s="60">
        <f t="shared" ref="D43:G43" si="16">D20</f>
        <v>2026</v>
      </c>
      <c r="E43" s="60">
        <f t="shared" si="16"/>
        <v>2027</v>
      </c>
      <c r="F43" s="60">
        <f t="shared" si="16"/>
        <v>2028</v>
      </c>
      <c r="G43" s="60">
        <f t="shared" si="16"/>
        <v>2029</v>
      </c>
    </row>
    <row r="44" spans="1:7" x14ac:dyDescent="0.3">
      <c r="A44" s="1" t="s">
        <v>119</v>
      </c>
      <c r="B44" s="2">
        <f>B22</f>
        <v>0</v>
      </c>
      <c r="C44" s="2">
        <f t="shared" ref="C44:G44" si="17">C22</f>
        <v>8458114.0714285672</v>
      </c>
      <c r="D44" s="2">
        <f t="shared" si="17"/>
        <v>12122714.517857142</v>
      </c>
      <c r="E44" s="2">
        <f t="shared" si="17"/>
        <v>33340080.046250023</v>
      </c>
      <c r="F44" s="2">
        <f t="shared" si="17"/>
        <v>54136163.718102552</v>
      </c>
      <c r="G44" s="2">
        <f t="shared" si="17"/>
        <v>81988121.888533339</v>
      </c>
    </row>
    <row r="45" spans="1:7" ht="15" thickBot="1" x14ac:dyDescent="0.35">
      <c r="A45" s="1" t="s">
        <v>120</v>
      </c>
      <c r="B45" s="3">
        <f>B29</f>
        <v>0</v>
      </c>
      <c r="C45" s="3">
        <f t="shared" ref="C45:G45" si="18">C29</f>
        <v>1356214.56</v>
      </c>
      <c r="D45" s="3">
        <f t="shared" si="18"/>
        <v>2441051.3421428571</v>
      </c>
      <c r="E45" s="3">
        <f t="shared" si="18"/>
        <v>4062360.0055500017</v>
      </c>
      <c r="F45" s="3">
        <f t="shared" si="18"/>
        <v>5633114.8461723058</v>
      </c>
      <c r="G45" s="3">
        <f t="shared" si="18"/>
        <v>8050574.6266240003</v>
      </c>
    </row>
    <row r="46" spans="1:7" ht="15" thickTop="1" x14ac:dyDescent="0.3">
      <c r="A46" s="4" t="s">
        <v>121</v>
      </c>
      <c r="B46" s="5">
        <f t="shared" ref="B46:G46" si="19">B44-B45</f>
        <v>0</v>
      </c>
      <c r="C46" s="5">
        <f t="shared" si="19"/>
        <v>7101899.5114285666</v>
      </c>
      <c r="D46" s="5">
        <f t="shared" si="19"/>
        <v>9681663.1757142842</v>
      </c>
      <c r="E46" s="5">
        <f t="shared" si="19"/>
        <v>29277720.040700022</v>
      </c>
      <c r="F46" s="5">
        <f t="shared" si="19"/>
        <v>48503048.871930249</v>
      </c>
      <c r="G46" s="5">
        <f t="shared" si="19"/>
        <v>73937547.261909336</v>
      </c>
    </row>
    <row r="47" spans="1:7" x14ac:dyDescent="0.3">
      <c r="A47" s="1"/>
      <c r="B47" s="2"/>
      <c r="C47" s="2"/>
      <c r="D47" s="2"/>
      <c r="E47" s="2"/>
      <c r="F47" s="2"/>
      <c r="G47" s="2"/>
    </row>
    <row r="48" spans="1:7" x14ac:dyDescent="0.3">
      <c r="A48" s="4" t="s">
        <v>122</v>
      </c>
      <c r="B48" s="2">
        <f>B26</f>
        <v>38632300</v>
      </c>
      <c r="C48" s="2">
        <f t="shared" ref="C48:G48" si="20">C26</f>
        <v>30925840</v>
      </c>
      <c r="D48" s="2">
        <f t="shared" si="20"/>
        <v>23219380</v>
      </c>
      <c r="E48" s="2">
        <f t="shared" si="20"/>
        <v>15512920</v>
      </c>
      <c r="F48" s="2">
        <f t="shared" si="20"/>
        <v>7806460</v>
      </c>
      <c r="G48" s="2">
        <f t="shared" si="20"/>
        <v>100000</v>
      </c>
    </row>
    <row r="49" spans="1:7" ht="15" thickBot="1" x14ac:dyDescent="0.35">
      <c r="A49" s="1" t="s">
        <v>123</v>
      </c>
      <c r="B49" s="3">
        <f>B25</f>
        <v>0</v>
      </c>
      <c r="C49" s="3">
        <f t="shared" ref="C49:G49" si="21">C25</f>
        <v>7706460</v>
      </c>
      <c r="D49" s="3">
        <f t="shared" si="21"/>
        <v>15412920</v>
      </c>
      <c r="E49" s="3">
        <f t="shared" si="21"/>
        <v>23119380</v>
      </c>
      <c r="F49" s="3">
        <f t="shared" si="21"/>
        <v>30825840</v>
      </c>
      <c r="G49" s="3">
        <f t="shared" si="21"/>
        <v>38532300</v>
      </c>
    </row>
    <row r="50" spans="1:7" ht="15" thickTop="1" x14ac:dyDescent="0.3">
      <c r="A50" s="4" t="s">
        <v>124</v>
      </c>
      <c r="B50" s="5">
        <f t="shared" ref="B50:G50" si="22">B48+B49</f>
        <v>38632300</v>
      </c>
      <c r="C50" s="5">
        <f t="shared" si="22"/>
        <v>38632300</v>
      </c>
      <c r="D50" s="5">
        <f t="shared" si="22"/>
        <v>38632300</v>
      </c>
      <c r="E50" s="5">
        <f t="shared" si="22"/>
        <v>38632300</v>
      </c>
      <c r="F50" s="5">
        <f t="shared" si="22"/>
        <v>38632300</v>
      </c>
      <c r="G50" s="5">
        <f t="shared" si="22"/>
        <v>38632300</v>
      </c>
    </row>
    <row r="51" spans="1:7" x14ac:dyDescent="0.3">
      <c r="A51" s="1"/>
      <c r="B51" s="2"/>
      <c r="C51" s="2"/>
      <c r="D51" s="2"/>
      <c r="E51" s="2"/>
      <c r="F51" s="2"/>
      <c r="G51" s="2"/>
    </row>
    <row r="52" spans="1:7" ht="15" thickBot="1" x14ac:dyDescent="0.35">
      <c r="A52" s="12" t="s">
        <v>125</v>
      </c>
      <c r="B52" s="6">
        <f t="shared" ref="B52:G52" si="23">B46+B48</f>
        <v>38632300</v>
      </c>
      <c r="C52" s="6">
        <f t="shared" si="23"/>
        <v>38027739.511428565</v>
      </c>
      <c r="D52" s="6">
        <f t="shared" si="23"/>
        <v>32901043.175714284</v>
      </c>
      <c r="E52" s="6">
        <f t="shared" si="23"/>
        <v>44790640.040700018</v>
      </c>
      <c r="F52" s="6">
        <f t="shared" si="23"/>
        <v>56309508.871930249</v>
      </c>
      <c r="G52" s="6">
        <f t="shared" si="23"/>
        <v>74037547.261909336</v>
      </c>
    </row>
    <row r="53" spans="1:7" ht="15" thickTop="1" x14ac:dyDescent="0.3">
      <c r="A53" s="7"/>
      <c r="B53" s="2"/>
      <c r="C53" s="2"/>
      <c r="D53" s="2"/>
      <c r="E53" s="2"/>
      <c r="F53" s="2"/>
      <c r="G53" s="2"/>
    </row>
    <row r="54" spans="1:7" x14ac:dyDescent="0.3">
      <c r="A54" s="158" t="s">
        <v>126</v>
      </c>
      <c r="B54" s="158"/>
      <c r="C54" s="158"/>
      <c r="D54" s="158"/>
      <c r="E54" s="158"/>
      <c r="F54" s="158"/>
      <c r="G54" s="158"/>
    </row>
    <row r="55" spans="1:7" x14ac:dyDescent="0.3">
      <c r="A55" s="1" t="s">
        <v>127</v>
      </c>
      <c r="C55" s="9">
        <f>C13</f>
        <v>16973540</v>
      </c>
      <c r="D55" s="9">
        <f t="shared" ref="D55:G55" si="24">D13</f>
        <v>23481814.375</v>
      </c>
      <c r="E55" s="9">
        <f t="shared" si="24"/>
        <v>33853000.046250015</v>
      </c>
      <c r="F55" s="9">
        <f t="shared" si="24"/>
        <v>46942623.718102552</v>
      </c>
      <c r="G55" s="9">
        <f t="shared" si="24"/>
        <v>67088121.888533339</v>
      </c>
    </row>
    <row r="56" spans="1:7" ht="15" thickBot="1" x14ac:dyDescent="0.35">
      <c r="A56" s="1" t="s">
        <v>128</v>
      </c>
      <c r="C56" s="10">
        <f>C55*'1'!$AB$7</f>
        <v>2036824.7999999998</v>
      </c>
      <c r="D56" s="10">
        <f>D55*'1'!$AB$7</f>
        <v>2817817.7250000001</v>
      </c>
      <c r="E56" s="10">
        <f>E55*'1'!$AB$7</f>
        <v>4062360.0055500017</v>
      </c>
      <c r="F56" s="10">
        <f>F55*'1'!$AB$7</f>
        <v>5633114.8461723058</v>
      </c>
      <c r="G56" s="10">
        <f>G55*'1'!$AB$7</f>
        <v>8050574.6266240003</v>
      </c>
    </row>
    <row r="57" spans="1:7" ht="15" thickTop="1" x14ac:dyDescent="0.3">
      <c r="A57" s="4" t="s">
        <v>129</v>
      </c>
      <c r="C57" s="9">
        <f>C55-C56</f>
        <v>14936715.199999999</v>
      </c>
      <c r="D57" s="9">
        <f>D55-D56</f>
        <v>20663996.649999999</v>
      </c>
      <c r="E57" s="9">
        <f>E55-E56</f>
        <v>29790640.040700015</v>
      </c>
      <c r="F57" s="9">
        <f>F55-F56</f>
        <v>41309508.871930249</v>
      </c>
      <c r="G57" s="9">
        <f>G55-G56</f>
        <v>59037547.261909336</v>
      </c>
    </row>
    <row r="58" spans="1:7" ht="15" thickBot="1" x14ac:dyDescent="0.35">
      <c r="A58" s="1" t="s">
        <v>130</v>
      </c>
      <c r="C58" s="10">
        <f>-(C52-B52)</f>
        <v>604560.48857143521</v>
      </c>
      <c r="D58" s="10">
        <f t="shared" ref="D58:G58" si="25">-(D52-C52)</f>
        <v>5126696.3357142806</v>
      </c>
      <c r="E58" s="10">
        <f t="shared" si="25"/>
        <v>-11889596.864985734</v>
      </c>
      <c r="F58" s="10">
        <f t="shared" si="25"/>
        <v>-11518868.831230231</v>
      </c>
      <c r="G58" s="10">
        <f t="shared" si="25"/>
        <v>-17728038.389979087</v>
      </c>
    </row>
    <row r="59" spans="1:7" ht="15.6" thickTop="1" thickBot="1" x14ac:dyDescent="0.35">
      <c r="A59" s="57" t="s">
        <v>131</v>
      </c>
      <c r="B59" s="58"/>
      <c r="C59" s="59">
        <f>SUM(C57:C58)</f>
        <v>15541275.688571434</v>
      </c>
      <c r="D59" s="59">
        <f t="shared" ref="D59:G59" si="26">SUM(D57:D58)</f>
        <v>25790692.985714279</v>
      </c>
      <c r="E59" s="59">
        <f t="shared" si="26"/>
        <v>17901043.17571428</v>
      </c>
      <c r="F59" s="59">
        <f t="shared" si="26"/>
        <v>29790640.040700018</v>
      </c>
      <c r="G59" s="59">
        <f t="shared" si="26"/>
        <v>41309508.871930249</v>
      </c>
    </row>
    <row r="60" spans="1:7" ht="15" thickTop="1" x14ac:dyDescent="0.3"/>
  </sheetData>
  <sheetProtection algorithmName="SHA-512" hashValue="bzCqZeyYpgSgerRIFmsaPrukfjEnxrZX2WlNrDKauwbLj5r7EPIZGbAHxEvTk8V2C28VOfGHZ7V8paCfBeD63w==" saltValue="HlsCnNz6RXHIHQJobA1i/g=="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abSelected="1" zoomScale="80" zoomScaleNormal="80" workbookViewId="0">
      <selection activeCell="B28" sqref="B28:D28"/>
    </sheetView>
  </sheetViews>
  <sheetFormatPr baseColWidth="10" defaultColWidth="11.44140625" defaultRowHeight="14.4" x14ac:dyDescent="0.3"/>
  <cols>
    <col min="1" max="1" width="11.44140625" style="8"/>
    <col min="2" max="2" width="32.5546875" style="8" customWidth="1"/>
    <col min="3" max="3" width="24.33203125" style="8" bestFit="1" customWidth="1"/>
    <col min="4" max="4" width="36.33203125" style="8" bestFit="1" customWidth="1"/>
    <col min="5" max="5" width="27.109375" style="8" bestFit="1" customWidth="1"/>
    <col min="6" max="6" width="26" style="8" customWidth="1"/>
    <col min="7" max="8" width="20.6640625" style="8" bestFit="1" customWidth="1"/>
    <col min="9" max="9" width="11.44140625" style="8"/>
    <col min="10" max="10" width="12" style="8" bestFit="1" customWidth="1"/>
    <col min="11" max="14" width="11.44140625" style="8"/>
    <col min="15" max="15" width="15.33203125" style="8" bestFit="1" customWidth="1"/>
    <col min="16" max="16" width="21.5546875" style="8" bestFit="1" customWidth="1"/>
    <col min="17" max="16384" width="11.44140625" style="8"/>
  </cols>
  <sheetData>
    <row r="2" spans="2:16" ht="38.25" customHeight="1" x14ac:dyDescent="0.3">
      <c r="B2" s="143" t="s">
        <v>132</v>
      </c>
      <c r="C2" s="143"/>
      <c r="D2" s="143"/>
      <c r="E2" s="143"/>
      <c r="F2" s="143"/>
      <c r="G2" s="143"/>
      <c r="H2" s="143"/>
    </row>
    <row r="3" spans="2:16" ht="15.75" customHeight="1" x14ac:dyDescent="0.3">
      <c r="B3" s="159" t="s">
        <v>133</v>
      </c>
      <c r="C3" s="159"/>
      <c r="D3" s="159"/>
      <c r="E3" s="160">
        <f>11%+7%+4%</f>
        <v>0.22</v>
      </c>
      <c r="F3" s="160"/>
    </row>
    <row r="4" spans="2:16" ht="16.5" customHeight="1" x14ac:dyDescent="0.3">
      <c r="B4" s="159"/>
      <c r="C4" s="159"/>
      <c r="D4" s="159"/>
      <c r="E4" s="160"/>
      <c r="F4" s="160"/>
      <c r="O4" s="95"/>
    </row>
    <row r="5" spans="2:16" ht="16.5" customHeight="1" x14ac:dyDescent="0.3">
      <c r="B5" s="163"/>
      <c r="C5" s="163"/>
      <c r="D5" s="163"/>
      <c r="E5" s="129"/>
      <c r="F5" s="129"/>
      <c r="O5" s="95"/>
    </row>
    <row r="6" spans="2:16" ht="15" thickBot="1" x14ac:dyDescent="0.35">
      <c r="O6" s="95"/>
      <c r="P6" s="98"/>
    </row>
    <row r="7" spans="2:16" ht="23.4" x14ac:dyDescent="0.3">
      <c r="B7" s="94" t="s">
        <v>134</v>
      </c>
      <c r="C7" s="78" t="s">
        <v>135</v>
      </c>
      <c r="D7" s="79">
        <f>'4'!C20</f>
        <v>2025</v>
      </c>
      <c r="E7" s="79">
        <f>'4'!D20</f>
        <v>2026</v>
      </c>
      <c r="F7" s="79">
        <f>'4'!E20</f>
        <v>2027</v>
      </c>
      <c r="G7" s="79">
        <f>'4'!F20</f>
        <v>2028</v>
      </c>
      <c r="H7" s="80">
        <f>'4'!G20</f>
        <v>2029</v>
      </c>
      <c r="O7" s="95"/>
      <c r="P7" s="97"/>
    </row>
    <row r="8" spans="2:16" ht="18.600000000000001" thickBot="1" x14ac:dyDescent="0.4">
      <c r="B8" s="81"/>
      <c r="C8" s="102">
        <f>-'3'!D14</f>
        <v>-38632300</v>
      </c>
      <c r="D8" s="102">
        <f>'4'!C59</f>
        <v>15541275.688571434</v>
      </c>
      <c r="E8" s="102">
        <f>'4'!D59</f>
        <v>25790692.985714279</v>
      </c>
      <c r="F8" s="102">
        <f>'4'!E59</f>
        <v>17901043.17571428</v>
      </c>
      <c r="G8" s="102">
        <f>'4'!F59</f>
        <v>29790640.040700018</v>
      </c>
      <c r="H8" s="103">
        <f>'4'!G59</f>
        <v>41309508.871930249</v>
      </c>
      <c r="O8" s="95"/>
      <c r="P8" s="97"/>
    </row>
    <row r="9" spans="2:16" ht="15" thickBot="1" x14ac:dyDescent="0.35">
      <c r="C9" s="66">
        <f>C8/(1+$E$3)^0</f>
        <v>-38632300</v>
      </c>
      <c r="D9" s="66">
        <f>D8/(1+$E$3)^1</f>
        <v>12738750.564402815</v>
      </c>
      <c r="E9" s="66">
        <f>E8/(1+$E$3)^2</f>
        <v>17327796.953583904</v>
      </c>
      <c r="F9" s="66">
        <f>F8/(1+$E$3)^3</f>
        <v>9858227.7678056099</v>
      </c>
      <c r="G9" s="66">
        <f>G8/(1+$E$3)^4</f>
        <v>13447467.745323317</v>
      </c>
      <c r="H9" s="66">
        <f>H8/(1+$E$3)^5</f>
        <v>15284487.402080398</v>
      </c>
      <c r="O9" s="95"/>
      <c r="P9" s="97"/>
    </row>
    <row r="10" spans="2:16" ht="24" thickBot="1" x14ac:dyDescent="0.5">
      <c r="B10" s="30" t="s">
        <v>136</v>
      </c>
      <c r="C10" s="31"/>
      <c r="D10" s="104">
        <f>NPV(E3,D8:H8)+$C$8</f>
        <v>30024430.433196038</v>
      </c>
      <c r="O10" s="95"/>
      <c r="P10" s="97"/>
    </row>
    <row r="11" spans="2:16" ht="28.8" thickBot="1" x14ac:dyDescent="0.5">
      <c r="B11" s="140" t="s">
        <v>137</v>
      </c>
      <c r="C11" s="31"/>
      <c r="D11" s="105">
        <f>IF(ISERROR(IRR(C8:H8)),"NO_APLICA",(IRR(C8:H8)))</f>
        <v>0.49730282780301605</v>
      </c>
      <c r="F11" s="99" t="s">
        <v>138</v>
      </c>
      <c r="G11" s="31"/>
      <c r="H11" s="100">
        <f>IF(ISERROR(-C9/AVERAGE(D9:H9)),"NO_APLICA",(-C9/AVERAGE(D9:H9)))</f>
        <v>2.813438664807216</v>
      </c>
      <c r="I11" s="101" t="s">
        <v>139</v>
      </c>
      <c r="P11" s="96"/>
    </row>
    <row r="13" spans="2:16" ht="18" x14ac:dyDescent="0.35">
      <c r="B13" s="161" t="s">
        <v>140</v>
      </c>
      <c r="C13" s="161"/>
      <c r="D13" s="161"/>
      <c r="E13" s="161"/>
      <c r="F13" s="161"/>
      <c r="G13" s="161"/>
      <c r="H13" s="161"/>
    </row>
    <row r="14" spans="2:16" ht="36.6" x14ac:dyDescent="0.3">
      <c r="B14" s="82" t="str">
        <f>'1'!B2</f>
        <v>NOMBRE DEL PRODUCTO O SERVICIO</v>
      </c>
      <c r="C14" s="82" t="s">
        <v>141</v>
      </c>
      <c r="D14" s="82" t="s">
        <v>142</v>
      </c>
      <c r="E14" s="82" t="s">
        <v>143</v>
      </c>
      <c r="F14" s="82" t="s">
        <v>144</v>
      </c>
      <c r="H14" s="66"/>
      <c r="I14" s="66"/>
      <c r="J14" s="66" t="s">
        <v>145</v>
      </c>
    </row>
    <row r="15" spans="2:16" x14ac:dyDescent="0.3">
      <c r="B15" s="87" t="str">
        <f>'1'!B3</f>
        <v>Cuidado Facial</v>
      </c>
      <c r="C15" s="83">
        <f>'1'!D3-'1'!D17</f>
        <v>22796</v>
      </c>
      <c r="D15" s="84">
        <f>'1'!F3</f>
        <v>0.22353402627966268</v>
      </c>
      <c r="E15" s="83">
        <f>C15*D15</f>
        <v>5095.6816630711901</v>
      </c>
      <c r="F15" s="85">
        <f t="shared" ref="F15:F24" si="0">$E$28*D15</f>
        <v>13.473205333811098</v>
      </c>
      <c r="G15" s="38" t="s">
        <v>146</v>
      </c>
      <c r="H15" s="67">
        <f>'1'!D3</f>
        <v>56990</v>
      </c>
      <c r="I15" s="86">
        <f t="shared" ref="I15:I24" si="1">$B$35*D15</f>
        <v>26.946410667622192</v>
      </c>
      <c r="J15" s="67">
        <f>'1'!D17</f>
        <v>34194</v>
      </c>
    </row>
    <row r="16" spans="2:16" x14ac:dyDescent="0.3">
      <c r="B16" s="87" t="str">
        <f>'1'!B4</f>
        <v>Maquillaje</v>
      </c>
      <c r="C16" s="83">
        <f>'1'!D4-'1'!D18</f>
        <v>18796</v>
      </c>
      <c r="D16" s="84">
        <f>'1'!F4</f>
        <v>0.17646597372033732</v>
      </c>
      <c r="E16" s="83">
        <f t="shared" ref="E16:E24" si="2">C16*D16</f>
        <v>3316.85444204746</v>
      </c>
      <c r="F16" s="85">
        <f t="shared" si="0"/>
        <v>10.636243340378334</v>
      </c>
      <c r="G16" s="38" t="str">
        <f>G15</f>
        <v>UNIDADES</v>
      </c>
      <c r="H16" s="67">
        <f>'1'!D4</f>
        <v>44990</v>
      </c>
      <c r="I16" s="86">
        <f t="shared" si="1"/>
        <v>21.272486680756664</v>
      </c>
      <c r="J16" s="67">
        <f>'1'!D18</f>
        <v>26194</v>
      </c>
    </row>
    <row r="17" spans="2:10" x14ac:dyDescent="0.3">
      <c r="B17" s="87" t="str">
        <f>'1'!B5</f>
        <v>Cabello</v>
      </c>
      <c r="C17" s="83">
        <f>'1'!D5-'1'!D19</f>
        <v>20296</v>
      </c>
      <c r="D17" s="84">
        <f>'1'!F5</f>
        <v>0.19607766228672288</v>
      </c>
      <c r="E17" s="83">
        <f t="shared" si="2"/>
        <v>3979.5922337713278</v>
      </c>
      <c r="F17" s="85">
        <f t="shared" si="0"/>
        <v>11.818310837641985</v>
      </c>
      <c r="G17" s="38" t="str">
        <f t="shared" ref="G17:G24" si="3">G16</f>
        <v>UNIDADES</v>
      </c>
      <c r="H17" s="67">
        <f>'1'!D5</f>
        <v>49990</v>
      </c>
      <c r="I17" s="86">
        <f t="shared" si="1"/>
        <v>23.636621675283969</v>
      </c>
      <c r="J17" s="67">
        <f>'1'!D19</f>
        <v>29694</v>
      </c>
    </row>
    <row r="18" spans="2:10" x14ac:dyDescent="0.3">
      <c r="B18" s="87" t="str">
        <f>'1'!B6</f>
        <v>Uñas</v>
      </c>
      <c r="C18" s="83">
        <f>'1'!D6-'1'!D20</f>
        <v>15996</v>
      </c>
      <c r="D18" s="84">
        <f>'1'!F6</f>
        <v>0.14900960972739752</v>
      </c>
      <c r="E18" s="83">
        <f t="shared" si="2"/>
        <v>2383.5577171994505</v>
      </c>
      <c r="F18" s="85">
        <f t="shared" si="0"/>
        <v>8.9813488442092222</v>
      </c>
      <c r="G18" s="38" t="str">
        <f t="shared" si="3"/>
        <v>UNIDADES</v>
      </c>
      <c r="H18" s="67">
        <f>'1'!D6</f>
        <v>37990</v>
      </c>
      <c r="I18" s="86">
        <f t="shared" si="1"/>
        <v>17.962697688418441</v>
      </c>
      <c r="J18" s="67">
        <f>'1'!D20</f>
        <v>21994</v>
      </c>
    </row>
    <row r="19" spans="2:10" x14ac:dyDescent="0.3">
      <c r="B19" s="87" t="str">
        <f>'1'!B7</f>
        <v>Supplementos/ Otros</v>
      </c>
      <c r="C19" s="83">
        <f>'1'!D7-'1'!D21</f>
        <v>25996</v>
      </c>
      <c r="D19" s="84">
        <f>'1'!F7</f>
        <v>0.25491272798587961</v>
      </c>
      <c r="E19" s="83">
        <f t="shared" si="2"/>
        <v>6626.7112767209264</v>
      </c>
      <c r="F19" s="85">
        <f t="shared" si="0"/>
        <v>15.36451332943294</v>
      </c>
      <c r="G19" s="38" t="str">
        <f t="shared" si="3"/>
        <v>UNIDADES</v>
      </c>
      <c r="H19" s="67">
        <f>'1'!D7</f>
        <v>64990</v>
      </c>
      <c r="I19" s="86">
        <f t="shared" si="1"/>
        <v>30.729026658865877</v>
      </c>
      <c r="J19" s="67">
        <f>'1'!D21</f>
        <v>38994</v>
      </c>
    </row>
    <row r="20" spans="2:10" x14ac:dyDescent="0.3">
      <c r="B20" s="87">
        <f>'1'!B8</f>
        <v>0</v>
      </c>
      <c r="C20" s="83">
        <f>'1'!D8-'1'!D22</f>
        <v>0</v>
      </c>
      <c r="D20" s="84">
        <f>'1'!F8</f>
        <v>0</v>
      </c>
      <c r="E20" s="83">
        <f t="shared" si="2"/>
        <v>0</v>
      </c>
      <c r="F20" s="85">
        <f t="shared" si="0"/>
        <v>0</v>
      </c>
      <c r="G20" s="38" t="str">
        <f t="shared" si="3"/>
        <v>UNIDADES</v>
      </c>
      <c r="H20" s="67">
        <f>'1'!D8</f>
        <v>0</v>
      </c>
      <c r="I20" s="86">
        <f t="shared" si="1"/>
        <v>0</v>
      </c>
      <c r="J20" s="67">
        <f>'1'!D22</f>
        <v>0</v>
      </c>
    </row>
    <row r="21" spans="2:10" x14ac:dyDescent="0.3">
      <c r="B21" s="87">
        <f>'1'!B9</f>
        <v>0</v>
      </c>
      <c r="C21" s="83">
        <f>'1'!D9-'1'!D23</f>
        <v>0</v>
      </c>
      <c r="D21" s="84">
        <f>'1'!F9</f>
        <v>0</v>
      </c>
      <c r="E21" s="83">
        <f t="shared" si="2"/>
        <v>0</v>
      </c>
      <c r="F21" s="85">
        <f t="shared" si="0"/>
        <v>0</v>
      </c>
      <c r="G21" s="38" t="str">
        <f t="shared" si="3"/>
        <v>UNIDADES</v>
      </c>
      <c r="H21" s="67">
        <f>'1'!D9</f>
        <v>0</v>
      </c>
      <c r="I21" s="86">
        <f t="shared" si="1"/>
        <v>0</v>
      </c>
      <c r="J21" s="67">
        <f>'1'!D23</f>
        <v>0</v>
      </c>
    </row>
    <row r="22" spans="2:10" x14ac:dyDescent="0.3">
      <c r="B22" s="87">
        <f>'1'!B10</f>
        <v>0</v>
      </c>
      <c r="C22" s="83">
        <f>'1'!D10-'1'!D24</f>
        <v>0</v>
      </c>
      <c r="D22" s="84">
        <f>'1'!F10</f>
        <v>0</v>
      </c>
      <c r="E22" s="83">
        <f t="shared" si="2"/>
        <v>0</v>
      </c>
      <c r="F22" s="85">
        <f t="shared" si="0"/>
        <v>0</v>
      </c>
      <c r="G22" s="38" t="str">
        <f t="shared" si="3"/>
        <v>UNIDADES</v>
      </c>
      <c r="H22" s="67">
        <f>'1'!D10</f>
        <v>0</v>
      </c>
      <c r="I22" s="86">
        <f t="shared" si="1"/>
        <v>0</v>
      </c>
      <c r="J22" s="67">
        <f>'1'!D24</f>
        <v>0</v>
      </c>
    </row>
    <row r="23" spans="2:10" x14ac:dyDescent="0.3">
      <c r="B23" s="87">
        <f>'1'!B11</f>
        <v>0</v>
      </c>
      <c r="C23" s="83">
        <f>'1'!D11-'1'!D25</f>
        <v>0</v>
      </c>
      <c r="D23" s="84">
        <f>'1'!F11</f>
        <v>0</v>
      </c>
      <c r="E23" s="83">
        <f t="shared" si="2"/>
        <v>0</v>
      </c>
      <c r="F23" s="85">
        <f t="shared" si="0"/>
        <v>0</v>
      </c>
      <c r="G23" s="38" t="str">
        <f t="shared" si="3"/>
        <v>UNIDADES</v>
      </c>
      <c r="H23" s="67">
        <f>'1'!D11</f>
        <v>0</v>
      </c>
      <c r="I23" s="86">
        <f t="shared" si="1"/>
        <v>0</v>
      </c>
      <c r="J23" s="67">
        <f>'1'!D25</f>
        <v>0</v>
      </c>
    </row>
    <row r="24" spans="2:10" x14ac:dyDescent="0.3">
      <c r="B24" s="87">
        <f>'1'!B12</f>
        <v>0</v>
      </c>
      <c r="C24" s="83">
        <f>'1'!D12-'1'!D26</f>
        <v>0</v>
      </c>
      <c r="D24" s="84">
        <f>'1'!F12</f>
        <v>0</v>
      </c>
      <c r="E24" s="83">
        <f t="shared" si="2"/>
        <v>0</v>
      </c>
      <c r="F24" s="85">
        <f t="shared" si="0"/>
        <v>0</v>
      </c>
      <c r="G24" s="38" t="str">
        <f t="shared" si="3"/>
        <v>UNIDADES</v>
      </c>
      <c r="H24" s="67">
        <f>'1'!D12</f>
        <v>0</v>
      </c>
      <c r="I24" s="86">
        <f t="shared" si="1"/>
        <v>0</v>
      </c>
      <c r="J24" s="67">
        <f>'1'!D26</f>
        <v>0</v>
      </c>
    </row>
    <row r="25" spans="2:10" ht="25.8" x14ac:dyDescent="0.5">
      <c r="C25" s="26"/>
      <c r="D25" s="88"/>
      <c r="E25" s="26"/>
      <c r="F25" s="89">
        <f>SUM(F15:F24)</f>
        <v>60.273621685473572</v>
      </c>
      <c r="G25" s="8" t="str">
        <f>G24</f>
        <v>UNIDADES</v>
      </c>
      <c r="H25" s="67"/>
      <c r="I25" s="86"/>
      <c r="J25" s="67"/>
    </row>
    <row r="26" spans="2:10" ht="12.75" customHeight="1" x14ac:dyDescent="0.5">
      <c r="C26" s="26"/>
      <c r="D26" s="88"/>
      <c r="E26" s="26"/>
      <c r="F26" s="89"/>
      <c r="H26" s="67"/>
      <c r="I26" s="86"/>
      <c r="J26" s="67"/>
    </row>
    <row r="27" spans="2:10" ht="21" customHeight="1" x14ac:dyDescent="0.45">
      <c r="B27" s="164" t="s">
        <v>147</v>
      </c>
      <c r="C27" s="164"/>
      <c r="D27" s="164"/>
      <c r="E27" s="90">
        <f>SUM(E15:E24)</f>
        <v>21402.397332810353</v>
      </c>
      <c r="H27" s="66"/>
      <c r="I27" s="66"/>
      <c r="J27" s="66"/>
    </row>
    <row r="28" spans="2:10" ht="19.5" customHeight="1" x14ac:dyDescent="0.5">
      <c r="B28" s="164" t="s">
        <v>148</v>
      </c>
      <c r="C28" s="164"/>
      <c r="D28" s="164"/>
      <c r="E28" s="89">
        <f>IF(E27=0,0,('2'!C23+'2'!F31+'2'!C25)/'5'!E27)</f>
        <v>60.273621685473579</v>
      </c>
      <c r="F28" s="91" t="s">
        <v>146</v>
      </c>
      <c r="H28" s="92"/>
    </row>
    <row r="29" spans="2:10" ht="25.2" x14ac:dyDescent="0.45">
      <c r="B29" s="164" t="s">
        <v>149</v>
      </c>
      <c r="C29" s="164"/>
      <c r="D29" s="164"/>
      <c r="E29" s="90">
        <f>E49</f>
        <v>3176901.0825025933</v>
      </c>
    </row>
    <row r="30" spans="2:10" x14ac:dyDescent="0.3">
      <c r="B30" s="124"/>
      <c r="C30" s="124"/>
      <c r="D30" s="124"/>
      <c r="E30" s="124"/>
      <c r="F30" s="124"/>
      <c r="G30" s="124"/>
    </row>
    <row r="31" spans="2:10" s="66" customFormat="1" x14ac:dyDescent="0.3"/>
    <row r="32" spans="2:10" s="66" customFormat="1" x14ac:dyDescent="0.3">
      <c r="C32" s="66" t="s">
        <v>150</v>
      </c>
      <c r="D32" s="66" t="s">
        <v>151</v>
      </c>
      <c r="E32" s="66" t="s">
        <v>152</v>
      </c>
      <c r="F32" s="66" t="s">
        <v>153</v>
      </c>
    </row>
    <row r="33" spans="2:6" s="66" customFormat="1" x14ac:dyDescent="0.3">
      <c r="B33" s="66">
        <v>0</v>
      </c>
      <c r="C33" s="67">
        <f>'2'!C25+'2'!F31+'2'!C23</f>
        <v>1290000</v>
      </c>
      <c r="D33" s="66">
        <f>0</f>
        <v>0</v>
      </c>
      <c r="E33" s="66">
        <v>0</v>
      </c>
      <c r="F33" s="67">
        <f>C33+E33</f>
        <v>1290000</v>
      </c>
    </row>
    <row r="34" spans="2:6" s="66" customFormat="1" x14ac:dyDescent="0.3">
      <c r="B34" s="86">
        <f>F25</f>
        <v>60.273621685473572</v>
      </c>
      <c r="C34" s="67">
        <f>C33</f>
        <v>1290000</v>
      </c>
      <c r="D34" s="125">
        <f>SUMPRODUCT(F15:F24,H15:H24)</f>
        <v>3176901.0825025933</v>
      </c>
      <c r="E34" s="125">
        <f>SUMPRODUCT(F15:F24,J15:J24)</f>
        <v>1886901.0825025938</v>
      </c>
      <c r="F34" s="67">
        <f t="shared" ref="F34:F35" si="4">C34+E34</f>
        <v>3176901.0825025938</v>
      </c>
    </row>
    <row r="35" spans="2:6" s="66" customFormat="1" x14ac:dyDescent="0.3">
      <c r="B35" s="86">
        <f>B34*2</f>
        <v>120.54724337094714</v>
      </c>
      <c r="C35" s="67">
        <f>C34</f>
        <v>1290000</v>
      </c>
      <c r="D35" s="125">
        <f>SUMPRODUCT(H15:H24,I15:I24)</f>
        <v>6353802.1650051866</v>
      </c>
      <c r="E35" s="125">
        <f>SUMPRODUCT(I15:I24,J15:J24)</f>
        <v>3773802.165005187</v>
      </c>
      <c r="F35" s="67">
        <f t="shared" si="4"/>
        <v>5063802.1650051866</v>
      </c>
    </row>
    <row r="36" spans="2:6" s="66" customFormat="1" x14ac:dyDescent="0.3">
      <c r="C36" s="67"/>
    </row>
    <row r="37" spans="2:6" s="66" customFormat="1" x14ac:dyDescent="0.3">
      <c r="C37" s="67"/>
    </row>
    <row r="38" spans="2:6" s="66" customFormat="1" x14ac:dyDescent="0.3">
      <c r="C38" s="126" t="s">
        <v>154</v>
      </c>
      <c r="D38" s="66" t="s">
        <v>146</v>
      </c>
      <c r="E38" s="66" t="s">
        <v>155</v>
      </c>
    </row>
    <row r="39" spans="2:6" s="66" customFormat="1" x14ac:dyDescent="0.3">
      <c r="B39" s="66">
        <v>1</v>
      </c>
      <c r="C39" s="67">
        <f>'1'!D3</f>
        <v>56990</v>
      </c>
      <c r="D39" s="86">
        <f>F15</f>
        <v>13.473205333811098</v>
      </c>
      <c r="E39" s="66">
        <f>C39*D39</f>
        <v>767837.97197389451</v>
      </c>
    </row>
    <row r="40" spans="2:6" s="66" customFormat="1" x14ac:dyDescent="0.3">
      <c r="B40" s="66">
        <f>B39+1</f>
        <v>2</v>
      </c>
      <c r="C40" s="67">
        <f>'1'!D4</f>
        <v>44990</v>
      </c>
      <c r="D40" s="86">
        <f t="shared" ref="D40:D48" si="5">F16</f>
        <v>10.636243340378334</v>
      </c>
      <c r="E40" s="66">
        <f t="shared" ref="E40:E48" si="6">C40*D40</f>
        <v>478524.58788362122</v>
      </c>
    </row>
    <row r="41" spans="2:6" s="66" customFormat="1" x14ac:dyDescent="0.3">
      <c r="B41" s="66">
        <f t="shared" ref="B41:B48" si="7">B40+1</f>
        <v>3</v>
      </c>
      <c r="C41" s="67">
        <f>'1'!D5</f>
        <v>49990</v>
      </c>
      <c r="D41" s="86">
        <f t="shared" si="5"/>
        <v>11.818310837641985</v>
      </c>
      <c r="E41" s="66">
        <f t="shared" si="6"/>
        <v>590797.35877372278</v>
      </c>
    </row>
    <row r="42" spans="2:6" s="66" customFormat="1" x14ac:dyDescent="0.3">
      <c r="B42" s="66">
        <f t="shared" si="7"/>
        <v>4</v>
      </c>
      <c r="C42" s="67">
        <f>'1'!D6</f>
        <v>37990</v>
      </c>
      <c r="D42" s="86">
        <f t="shared" si="5"/>
        <v>8.9813488442092222</v>
      </c>
      <c r="E42" s="66">
        <f t="shared" si="6"/>
        <v>341201.44259150833</v>
      </c>
    </row>
    <row r="43" spans="2:6" s="66" customFormat="1" x14ac:dyDescent="0.3">
      <c r="B43" s="66">
        <f t="shared" si="7"/>
        <v>5</v>
      </c>
      <c r="C43" s="67">
        <f>'1'!D7</f>
        <v>64990</v>
      </c>
      <c r="D43" s="86">
        <f t="shared" si="5"/>
        <v>15.36451332943294</v>
      </c>
      <c r="E43" s="66">
        <f t="shared" si="6"/>
        <v>998539.72127984674</v>
      </c>
    </row>
    <row r="44" spans="2:6" s="66" customFormat="1" x14ac:dyDescent="0.3">
      <c r="B44" s="66">
        <f t="shared" si="7"/>
        <v>6</v>
      </c>
      <c r="C44" s="67">
        <f>'1'!D8</f>
        <v>0</v>
      </c>
      <c r="D44" s="86">
        <f t="shared" si="5"/>
        <v>0</v>
      </c>
      <c r="E44" s="66">
        <f t="shared" si="6"/>
        <v>0</v>
      </c>
    </row>
    <row r="45" spans="2:6" s="66" customFormat="1" x14ac:dyDescent="0.3">
      <c r="B45" s="66">
        <f t="shared" si="7"/>
        <v>7</v>
      </c>
      <c r="C45" s="67">
        <f>'1'!D9</f>
        <v>0</v>
      </c>
      <c r="D45" s="86">
        <f t="shared" si="5"/>
        <v>0</v>
      </c>
      <c r="E45" s="66">
        <f t="shared" si="6"/>
        <v>0</v>
      </c>
    </row>
    <row r="46" spans="2:6" s="66" customFormat="1" x14ac:dyDescent="0.3">
      <c r="B46" s="66">
        <f t="shared" si="7"/>
        <v>8</v>
      </c>
      <c r="C46" s="67">
        <f>'1'!D10</f>
        <v>0</v>
      </c>
      <c r="D46" s="86">
        <f t="shared" si="5"/>
        <v>0</v>
      </c>
      <c r="E46" s="66">
        <f t="shared" si="6"/>
        <v>0</v>
      </c>
    </row>
    <row r="47" spans="2:6" s="66" customFormat="1" x14ac:dyDescent="0.3">
      <c r="B47" s="66">
        <f t="shared" si="7"/>
        <v>9</v>
      </c>
      <c r="C47" s="67">
        <f>'1'!D11</f>
        <v>0</v>
      </c>
      <c r="D47" s="86">
        <f t="shared" si="5"/>
        <v>0</v>
      </c>
      <c r="E47" s="66">
        <f t="shared" si="6"/>
        <v>0</v>
      </c>
    </row>
    <row r="48" spans="2:6" s="66" customFormat="1" x14ac:dyDescent="0.3">
      <c r="B48" s="66">
        <f t="shared" si="7"/>
        <v>10</v>
      </c>
      <c r="C48" s="67">
        <f>'1'!D12</f>
        <v>0</v>
      </c>
      <c r="D48" s="86">
        <f t="shared" si="5"/>
        <v>0</v>
      </c>
      <c r="E48" s="66">
        <f t="shared" si="6"/>
        <v>0</v>
      </c>
    </row>
    <row r="49" spans="2:8" s="66" customFormat="1" x14ac:dyDescent="0.3">
      <c r="C49" s="67"/>
      <c r="E49" s="127">
        <f>SUM(E39:E48)</f>
        <v>3176901.0825025933</v>
      </c>
    </row>
    <row r="50" spans="2:8" s="66" customFormat="1" x14ac:dyDescent="0.3"/>
    <row r="51" spans="2:8" s="66" customFormat="1" x14ac:dyDescent="0.3">
      <c r="C51" s="67"/>
    </row>
    <row r="52" spans="2:8" s="66" customFormat="1" x14ac:dyDescent="0.3">
      <c r="B52" s="162"/>
      <c r="C52" s="162"/>
      <c r="D52" s="162"/>
      <c r="G52" s="66" t="s">
        <v>156</v>
      </c>
      <c r="H52" s="128">
        <f>'4'!B32/'4'!B27</f>
        <v>0.61172386836921433</v>
      </c>
    </row>
    <row r="53" spans="2:8" s="66" customFormat="1" x14ac:dyDescent="0.3">
      <c r="C53" s="67"/>
      <c r="G53" s="66" t="s">
        <v>157</v>
      </c>
      <c r="H53" s="128">
        <f>'4'!B36/'4'!B27</f>
        <v>0.38827613163078561</v>
      </c>
    </row>
    <row r="54" spans="2:8" s="66" customFormat="1" x14ac:dyDescent="0.3">
      <c r="G54" s="66" t="s">
        <v>158</v>
      </c>
      <c r="H54" s="66">
        <f>'1'!AB7</f>
        <v>0.12</v>
      </c>
    </row>
    <row r="55" spans="2:8" s="66" customFormat="1" x14ac:dyDescent="0.3">
      <c r="G55" s="66" t="s">
        <v>159</v>
      </c>
      <c r="H55" s="128">
        <f>'3'!F4</f>
        <v>0.24</v>
      </c>
    </row>
    <row r="56" spans="2:8" s="66" customFormat="1" x14ac:dyDescent="0.3">
      <c r="G56" s="66" t="s">
        <v>160</v>
      </c>
    </row>
    <row r="57" spans="2:8" s="66" customFormat="1" x14ac:dyDescent="0.3"/>
    <row r="58" spans="2:8" s="66" customFormat="1" x14ac:dyDescent="0.3"/>
    <row r="59" spans="2:8" s="66" customFormat="1" x14ac:dyDescent="0.3"/>
    <row r="60" spans="2:8" s="66" customFormat="1" x14ac:dyDescent="0.3"/>
    <row r="61" spans="2:8" s="66" customFormat="1" x14ac:dyDescent="0.3"/>
    <row r="62" spans="2:8" x14ac:dyDescent="0.3">
      <c r="B62" s="124"/>
      <c r="C62" s="124"/>
      <c r="D62" s="124"/>
      <c r="E62" s="124"/>
      <c r="F62" s="124"/>
      <c r="G62" s="124"/>
    </row>
    <row r="63" spans="2:8" x14ac:dyDescent="0.3">
      <c r="B63" s="124"/>
      <c r="C63" s="124"/>
      <c r="D63" s="124"/>
      <c r="E63" s="124"/>
      <c r="F63" s="124"/>
      <c r="G63" s="124"/>
    </row>
    <row r="64" spans="2:8" x14ac:dyDescent="0.3">
      <c r="B64" s="124"/>
      <c r="C64" s="124"/>
      <c r="D64" s="124"/>
      <c r="E64" s="124"/>
      <c r="F64" s="124"/>
      <c r="G64" s="124"/>
    </row>
    <row r="65" spans="2:7" x14ac:dyDescent="0.3">
      <c r="B65" s="124"/>
      <c r="C65" s="124"/>
      <c r="D65" s="124"/>
      <c r="E65" s="124"/>
      <c r="F65" s="124"/>
      <c r="G65" s="124"/>
    </row>
    <row r="66" spans="2:7" x14ac:dyDescent="0.3">
      <c r="B66" s="124"/>
      <c r="C66" s="124"/>
      <c r="D66" s="124"/>
      <c r="E66" s="124"/>
      <c r="F66" s="124"/>
      <c r="G66" s="124"/>
    </row>
  </sheetData>
  <sheetProtection algorithmName="SHA-512" hashValue="moE6vkfzJ2/plS6QaAdzkQxb14QdB460QBAc3HmrFG0ryFmW05kTv+aMYJ1d6g/Yc3JKYjmDdomYwTZ9tQpztw==" saltValue="SIKXKXO1TjOxERs8DMAPeg=="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Kevin Díaz Merino</cp:lastModifiedBy>
  <cp:revision/>
  <dcterms:created xsi:type="dcterms:W3CDTF">2013-07-30T17:19:59Z</dcterms:created>
  <dcterms:modified xsi:type="dcterms:W3CDTF">2025-11-20T07:37:25Z</dcterms:modified>
  <cp:category/>
  <cp:contentStatus/>
</cp:coreProperties>
</file>