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ESTRÍA LM\4. Cuarto semestre\Proyecto de grado\"/>
    </mc:Choice>
  </mc:AlternateContent>
  <xr:revisionPtr revIDLastSave="0" documentId="8_{9485AC0E-C561-4921-AF2A-62780AAB2AEA}" xr6:coauthVersionLast="40" xr6:coauthVersionMax="40" xr10:uidLastSave="{00000000-0000-0000-0000-000000000000}"/>
  <bookViews>
    <workbookView xWindow="0" yWindow="0" windowWidth="20490" windowHeight="7545" firstSheet="2" activeTab="2" xr2:uid="{5347291D-3743-43B2-A11E-901F20DA0403}"/>
  </bookViews>
  <sheets>
    <sheet name="Anexo 1A Productos Físico" sheetId="2" r:id="rId1"/>
    <sheet name="Anexo 1B Productos Market Place" sheetId="6" r:id="rId2"/>
    <sheet name="Anexo 1B Cotizaciones " sheetId="14" r:id="rId3"/>
    <sheet name="Anexo 2A Costos Físico" sheetId="3" r:id="rId4"/>
    <sheet name="Anexo 2B Costos Market place" sheetId="4" r:id="rId5"/>
    <sheet name="Anexo 3A Nómina Físico" sheetId="1" r:id="rId6"/>
    <sheet name="Anexo 3B Nómina Market place" sheetId="5" r:id="rId7"/>
    <sheet name="Anexo 4 Encuesta " sheetId="12" r:id="rId8"/>
  </sheets>
  <externalReferences>
    <externalReference r:id="rId9"/>
  </externalReferences>
  <definedNames>
    <definedName name="_xlnm._FilterDatabase" localSheetId="5" hidden="1">'Anexo 3A Nómina Físico'!$AI$14:$AI$19</definedName>
    <definedName name="_xlnm._FilterDatabase" localSheetId="6" hidden="1">'Anexo 3B Nómina Market place'!$AI$14:$AI$19</definedName>
    <definedName name="_xlnm.Print_Area" localSheetId="5">'Anexo 3A Nómina Físico'!$C$1:$U$28</definedName>
    <definedName name="_xlnm.Print_Area" localSheetId="6">'Anexo 3B Nómina Market place'!$C$1:$U$28</definedName>
    <definedName name="_xlnm.Criteria" localSheetId="5">'Anexo 3A Nómina Físico'!#REF!</definedName>
    <definedName name="_xlnm.Criteria" localSheetId="6">'Anexo 3B Nómina Market place'!#REF!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1" i="4" l="1"/>
  <c r="E42" i="4" l="1"/>
  <c r="K33" i="4"/>
  <c r="K34" i="4"/>
  <c r="I26" i="4"/>
  <c r="I25" i="4"/>
  <c r="I24" i="4"/>
  <c r="X6" i="5"/>
  <c r="T6" i="5"/>
  <c r="P6" i="5"/>
  <c r="M6" i="5"/>
  <c r="AB19" i="14"/>
  <c r="AB18" i="14"/>
  <c r="X16" i="14"/>
  <c r="Q16" i="14"/>
  <c r="M16" i="14"/>
  <c r="I16" i="14"/>
  <c r="AC15" i="14"/>
  <c r="AA15" i="14"/>
  <c r="Z15" i="14"/>
  <c r="Y15" i="14"/>
  <c r="X15" i="14"/>
  <c r="W15" i="14"/>
  <c r="V15" i="14"/>
  <c r="U15" i="14"/>
  <c r="T15" i="14"/>
  <c r="R15" i="14"/>
  <c r="Q15" i="14"/>
  <c r="P15" i="14"/>
  <c r="O15" i="14"/>
  <c r="N15" i="14"/>
  <c r="M15" i="14"/>
  <c r="L15" i="14"/>
  <c r="J15" i="14"/>
  <c r="I15" i="14"/>
  <c r="H15" i="14"/>
  <c r="G15" i="14"/>
  <c r="F15" i="14"/>
  <c r="E15" i="14"/>
  <c r="D15" i="14"/>
  <c r="X14" i="14"/>
  <c r="U14" i="14"/>
  <c r="R14" i="14"/>
  <c r="Q14" i="14"/>
  <c r="O14" i="14"/>
  <c r="J14" i="14"/>
  <c r="I14" i="14"/>
  <c r="G14" i="14"/>
  <c r="F14" i="14"/>
  <c r="D14" i="14"/>
  <c r="X13" i="14"/>
  <c r="W13" i="14"/>
  <c r="V13" i="14"/>
  <c r="U13" i="14"/>
  <c r="T13" i="14"/>
  <c r="R13" i="14"/>
  <c r="Q13" i="14"/>
  <c r="P13" i="14"/>
  <c r="L13" i="14"/>
  <c r="J13" i="14"/>
  <c r="I13" i="14"/>
  <c r="G13" i="14"/>
  <c r="F13" i="14"/>
  <c r="E13" i="14"/>
  <c r="D13" i="14"/>
  <c r="AC12" i="14"/>
  <c r="AA12" i="14"/>
  <c r="Z12" i="14"/>
  <c r="Y12" i="14"/>
  <c r="X12" i="14"/>
  <c r="W12" i="14"/>
  <c r="V12" i="14"/>
  <c r="U12" i="14"/>
  <c r="T12" i="14"/>
  <c r="R12" i="14"/>
  <c r="Q12" i="14"/>
  <c r="P12" i="14"/>
  <c r="O12" i="14"/>
  <c r="M12" i="14"/>
  <c r="I12" i="14"/>
  <c r="H12" i="14"/>
  <c r="F12" i="14"/>
  <c r="E12" i="14"/>
  <c r="D12" i="14"/>
  <c r="R11" i="14"/>
  <c r="O11" i="14"/>
  <c r="I11" i="14"/>
  <c r="H11" i="14"/>
  <c r="G11" i="14"/>
  <c r="F11" i="14"/>
  <c r="O10" i="14"/>
  <c r="K10" i="14"/>
  <c r="I10" i="14"/>
  <c r="F10" i="14"/>
  <c r="E10" i="14"/>
  <c r="AA9" i="14"/>
  <c r="W9" i="14"/>
  <c r="U9" i="14"/>
  <c r="T9" i="14"/>
  <c r="R9" i="14"/>
  <c r="Q9" i="14"/>
  <c r="N9" i="14"/>
  <c r="M9" i="14"/>
  <c r="L9" i="14"/>
  <c r="J9" i="14"/>
  <c r="I9" i="14"/>
  <c r="H9" i="14"/>
  <c r="F9" i="14"/>
  <c r="E9" i="14"/>
  <c r="D9" i="14"/>
  <c r="R8" i="14"/>
  <c r="Z7" i="14"/>
  <c r="Y7" i="14"/>
  <c r="U7" i="14"/>
  <c r="R7" i="14"/>
  <c r="Q7" i="14"/>
  <c r="N7" i="14"/>
  <c r="L7" i="14"/>
  <c r="J7" i="14"/>
  <c r="H7" i="14"/>
  <c r="D7" i="14"/>
  <c r="E21" i="6"/>
  <c r="F21" i="6" s="1"/>
  <c r="E20" i="6"/>
  <c r="F20" i="6" s="1"/>
  <c r="E19" i="6"/>
  <c r="F19" i="6" s="1"/>
  <c r="E18" i="6"/>
  <c r="F18" i="6" s="1"/>
  <c r="E17" i="6"/>
  <c r="F17" i="6" s="1"/>
  <c r="K16" i="6"/>
  <c r="L16" i="6" s="1"/>
  <c r="E16" i="6"/>
  <c r="F16" i="6" s="1"/>
  <c r="K15" i="6"/>
  <c r="L15" i="6" s="1"/>
  <c r="E15" i="6"/>
  <c r="F15" i="6" s="1"/>
  <c r="K14" i="6"/>
  <c r="L14" i="6" s="1"/>
  <c r="E14" i="6"/>
  <c r="F14" i="6" s="1"/>
  <c r="K13" i="6"/>
  <c r="L13" i="6" s="1"/>
  <c r="E13" i="6"/>
  <c r="F13" i="6" s="1"/>
  <c r="K12" i="6"/>
  <c r="L12" i="6" s="1"/>
  <c r="E12" i="6"/>
  <c r="F12" i="6" s="1"/>
  <c r="K11" i="6"/>
  <c r="L11" i="6" s="1"/>
  <c r="E11" i="6"/>
  <c r="F11" i="6" s="1"/>
  <c r="K10" i="6"/>
  <c r="L10" i="6" s="1"/>
  <c r="E10" i="6"/>
  <c r="F10" i="6" s="1"/>
  <c r="K9" i="6"/>
  <c r="L9" i="6" s="1"/>
  <c r="E9" i="6"/>
  <c r="F9" i="6" s="1"/>
  <c r="K8" i="6"/>
  <c r="L8" i="6" s="1"/>
  <c r="E8" i="6"/>
  <c r="F8" i="6" s="1"/>
  <c r="K7" i="6"/>
  <c r="E7" i="6"/>
  <c r="E41" i="4"/>
  <c r="E39" i="4"/>
  <c r="J22" i="4"/>
  <c r="J23" i="4"/>
  <c r="E18" i="4"/>
  <c r="D19" i="14" l="1"/>
  <c r="D18" i="14"/>
  <c r="H19" i="14"/>
  <c r="H18" i="14"/>
  <c r="J19" i="14"/>
  <c r="J18" i="14"/>
  <c r="L19" i="14"/>
  <c r="L18" i="14"/>
  <c r="N19" i="14"/>
  <c r="N18" i="14"/>
  <c r="Q19" i="14"/>
  <c r="Q18" i="14"/>
  <c r="R19" i="14"/>
  <c r="R18" i="14"/>
  <c r="U19" i="14"/>
  <c r="U18" i="14"/>
  <c r="Y19" i="14"/>
  <c r="Y18" i="14"/>
  <c r="Z19" i="14"/>
  <c r="Z18" i="14"/>
  <c r="E19" i="14"/>
  <c r="E18" i="14"/>
  <c r="F19" i="14"/>
  <c r="F18" i="14"/>
  <c r="I19" i="14"/>
  <c r="I18" i="14"/>
  <c r="M19" i="14"/>
  <c r="M18" i="14"/>
  <c r="T19" i="14"/>
  <c r="T18" i="14"/>
  <c r="W19" i="14"/>
  <c r="W18" i="14"/>
  <c r="AA19" i="14"/>
  <c r="AA18" i="14"/>
  <c r="K19" i="14"/>
  <c r="K18" i="14"/>
  <c r="O19" i="14"/>
  <c r="O18" i="14"/>
  <c r="G19" i="14"/>
  <c r="G18" i="14"/>
  <c r="P19" i="14"/>
  <c r="P18" i="14"/>
  <c r="V19" i="14"/>
  <c r="V18" i="14"/>
  <c r="X19" i="14"/>
  <c r="X18" i="14"/>
  <c r="AC19" i="14"/>
  <c r="AC18" i="14"/>
  <c r="AB21" i="14"/>
  <c r="AB20" i="14"/>
  <c r="E22" i="6"/>
  <c r="F7" i="6"/>
  <c r="F22" i="6" s="1"/>
  <c r="K17" i="6"/>
  <c r="L7" i="6"/>
  <c r="L17" i="6" s="1"/>
  <c r="E36" i="4"/>
  <c r="R11" i="5"/>
  <c r="Q11" i="5"/>
  <c r="O11" i="5"/>
  <c r="K11" i="5"/>
  <c r="J11" i="5"/>
  <c r="I11" i="5"/>
  <c r="H11" i="5"/>
  <c r="E11" i="5"/>
  <c r="D11" i="5"/>
  <c r="F10" i="5"/>
  <c r="F9" i="5"/>
  <c r="Y8" i="5"/>
  <c r="X8" i="5"/>
  <c r="F8" i="5"/>
  <c r="Y7" i="5"/>
  <c r="X7" i="5"/>
  <c r="F7" i="5"/>
  <c r="Y6" i="5"/>
  <c r="Y11" i="5" s="1"/>
  <c r="X11" i="5"/>
  <c r="F6" i="5"/>
  <c r="E15" i="4"/>
  <c r="E37" i="4"/>
  <c r="E40" i="4"/>
  <c r="E35" i="4"/>
  <c r="E33" i="4"/>
  <c r="E32" i="4"/>
  <c r="E31" i="4"/>
  <c r="E30" i="4"/>
  <c r="E29" i="4"/>
  <c r="E26" i="4"/>
  <c r="E25" i="4"/>
  <c r="E24" i="4"/>
  <c r="E23" i="4"/>
  <c r="E22" i="4"/>
  <c r="E21" i="4"/>
  <c r="E20" i="4"/>
  <c r="J18" i="4"/>
  <c r="J17" i="4"/>
  <c r="E17" i="4"/>
  <c r="J16" i="4"/>
  <c r="E16" i="4"/>
  <c r="J15" i="4"/>
  <c r="J14" i="4"/>
  <c r="E14" i="4"/>
  <c r="J13" i="4"/>
  <c r="E13" i="4"/>
  <c r="J12" i="4"/>
  <c r="E12" i="4"/>
  <c r="J11" i="4"/>
  <c r="E11" i="4"/>
  <c r="I10" i="4"/>
  <c r="J10" i="4" s="1"/>
  <c r="E10" i="4"/>
  <c r="J17" i="3"/>
  <c r="J16" i="3"/>
  <c r="J11" i="3"/>
  <c r="J12" i="3"/>
  <c r="X10" i="1"/>
  <c r="Y10" i="1"/>
  <c r="F9" i="1"/>
  <c r="L9" i="1" s="1"/>
  <c r="F8" i="1"/>
  <c r="L8" i="1" s="1"/>
  <c r="F7" i="1"/>
  <c r="L7" i="1" s="1"/>
  <c r="E17" i="3"/>
  <c r="I10" i="3"/>
  <c r="J10" i="3" s="1"/>
  <c r="J21" i="3"/>
  <c r="E31" i="3"/>
  <c r="E21" i="3"/>
  <c r="E35" i="3"/>
  <c r="J27" i="3"/>
  <c r="J28" i="3"/>
  <c r="E10" i="3"/>
  <c r="E11" i="3"/>
  <c r="E12" i="3"/>
  <c r="E13" i="3"/>
  <c r="E14" i="3"/>
  <c r="E15" i="3"/>
  <c r="E16" i="3"/>
  <c r="E18" i="3"/>
  <c r="E20" i="3"/>
  <c r="E22" i="3"/>
  <c r="E23" i="3"/>
  <c r="E24" i="3"/>
  <c r="E25" i="3"/>
  <c r="E26" i="3"/>
  <c r="E28" i="3"/>
  <c r="E29" i="3"/>
  <c r="E30" i="3"/>
  <c r="E32" i="3"/>
  <c r="E33" i="3"/>
  <c r="E34" i="3"/>
  <c r="E36" i="3"/>
  <c r="E37" i="3"/>
  <c r="E38" i="3"/>
  <c r="E39" i="3"/>
  <c r="J23" i="3"/>
  <c r="J22" i="3"/>
  <c r="J18" i="3"/>
  <c r="J15" i="3"/>
  <c r="J14" i="3"/>
  <c r="J13" i="3"/>
  <c r="L8" i="2"/>
  <c r="L9" i="2"/>
  <c r="L10" i="2"/>
  <c r="L11" i="2"/>
  <c r="L12" i="2"/>
  <c r="L13" i="2"/>
  <c r="L14" i="2"/>
  <c r="L15" i="2"/>
  <c r="L16" i="2"/>
  <c r="L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7" i="2"/>
  <c r="K17" i="2"/>
  <c r="E22" i="2"/>
  <c r="F10" i="1"/>
  <c r="AD10" i="1" s="1"/>
  <c r="R11" i="1"/>
  <c r="Q11" i="1"/>
  <c r="K11" i="1"/>
  <c r="J11" i="1"/>
  <c r="I11" i="1"/>
  <c r="H11" i="1"/>
  <c r="E11" i="1"/>
  <c r="D11" i="1"/>
  <c r="AK9" i="1"/>
  <c r="AG9" i="1"/>
  <c r="Y9" i="1"/>
  <c r="X9" i="1"/>
  <c r="W9" i="1"/>
  <c r="AK8" i="1"/>
  <c r="Y8" i="1"/>
  <c r="X8" i="1"/>
  <c r="W8" i="1"/>
  <c r="AK7" i="1"/>
  <c r="AG7" i="1"/>
  <c r="Y7" i="1"/>
  <c r="X7" i="1"/>
  <c r="W7" i="1"/>
  <c r="Y6" i="1"/>
  <c r="X6" i="1"/>
  <c r="F6" i="1"/>
  <c r="L19" i="6" l="1"/>
  <c r="F24" i="6"/>
  <c r="AB23" i="14"/>
  <c r="AB22" i="14"/>
  <c r="AC21" i="14"/>
  <c r="AC20" i="14"/>
  <c r="X21" i="14"/>
  <c r="X20" i="14"/>
  <c r="V21" i="14"/>
  <c r="V20" i="14"/>
  <c r="P21" i="14"/>
  <c r="P20" i="14"/>
  <c r="G21" i="14"/>
  <c r="G20" i="14"/>
  <c r="O21" i="14"/>
  <c r="O20" i="14"/>
  <c r="K21" i="14"/>
  <c r="K20" i="14"/>
  <c r="AA21" i="14"/>
  <c r="AA20" i="14"/>
  <c r="W21" i="14"/>
  <c r="W20" i="14"/>
  <c r="T21" i="14"/>
  <c r="T20" i="14"/>
  <c r="M21" i="14"/>
  <c r="M20" i="14"/>
  <c r="I21" i="14"/>
  <c r="I20" i="14"/>
  <c r="F21" i="14"/>
  <c r="F20" i="14"/>
  <c r="E21" i="14"/>
  <c r="E20" i="14"/>
  <c r="Z21" i="14"/>
  <c r="Z20" i="14"/>
  <c r="Y21" i="14"/>
  <c r="Y20" i="14"/>
  <c r="U21" i="14"/>
  <c r="U20" i="14"/>
  <c r="R21" i="14"/>
  <c r="R20" i="14"/>
  <c r="Q21" i="14"/>
  <c r="Q20" i="14"/>
  <c r="N21" i="14"/>
  <c r="N20" i="14"/>
  <c r="L21" i="14"/>
  <c r="L20" i="14"/>
  <c r="J21" i="14"/>
  <c r="J20" i="14"/>
  <c r="H21" i="14"/>
  <c r="H20" i="14"/>
  <c r="D21" i="14"/>
  <c r="D20" i="14"/>
  <c r="J24" i="6"/>
  <c r="L20" i="6"/>
  <c r="F25" i="6"/>
  <c r="J23" i="6"/>
  <c r="J25" i="6" s="1"/>
  <c r="J26" i="6" s="1"/>
  <c r="E38" i="4"/>
  <c r="E19" i="4"/>
  <c r="E27" i="4"/>
  <c r="E43" i="4" s="1"/>
  <c r="E46" i="4" s="1"/>
  <c r="J19" i="4"/>
  <c r="L19" i="4" s="1"/>
  <c r="AL6" i="1"/>
  <c r="AI6" i="1"/>
  <c r="L6" i="1"/>
  <c r="P6" i="1" s="1"/>
  <c r="F11" i="5"/>
  <c r="AL6" i="5"/>
  <c r="AK6" i="5"/>
  <c r="AJ6" i="5"/>
  <c r="AI6" i="5"/>
  <c r="AH6" i="5"/>
  <c r="AG6" i="5"/>
  <c r="AF6" i="5"/>
  <c r="AE6" i="5"/>
  <c r="AD6" i="5"/>
  <c r="W6" i="5"/>
  <c r="V6" i="5"/>
  <c r="L6" i="5"/>
  <c r="AL7" i="5"/>
  <c r="AK7" i="5"/>
  <c r="AJ7" i="5"/>
  <c r="AI7" i="5"/>
  <c r="AH7" i="5"/>
  <c r="AG7" i="5"/>
  <c r="AF7" i="5"/>
  <c r="AE7" i="5"/>
  <c r="AD7" i="5"/>
  <c r="AM7" i="5" s="1"/>
  <c r="W7" i="5"/>
  <c r="V7" i="5"/>
  <c r="Z7" i="5" s="1"/>
  <c r="AA7" i="5" s="1"/>
  <c r="L7" i="5"/>
  <c r="AL8" i="5"/>
  <c r="AK8" i="5"/>
  <c r="AJ8" i="5"/>
  <c r="AI8" i="5"/>
  <c r="AH8" i="5"/>
  <c r="AG8" i="5"/>
  <c r="AF8" i="5"/>
  <c r="AE8" i="5"/>
  <c r="AD8" i="5"/>
  <c r="AM8" i="5" s="1"/>
  <c r="W8" i="5"/>
  <c r="V8" i="5"/>
  <c r="Z8" i="5" s="1"/>
  <c r="AA8" i="5" s="1"/>
  <c r="L8" i="5"/>
  <c r="AM9" i="5"/>
  <c r="L9" i="5"/>
  <c r="AM10" i="5"/>
  <c r="L10" i="5"/>
  <c r="W10" i="1"/>
  <c r="AI10" i="1"/>
  <c r="AE10" i="1"/>
  <c r="L10" i="1"/>
  <c r="AK10" i="1"/>
  <c r="AG10" i="1"/>
  <c r="N10" i="1"/>
  <c r="X11" i="1"/>
  <c r="AE6" i="1"/>
  <c r="AG8" i="1"/>
  <c r="V10" i="1"/>
  <c r="Z10" i="1" s="1"/>
  <c r="AL10" i="1"/>
  <c r="AJ10" i="1"/>
  <c r="AH10" i="1"/>
  <c r="AF10" i="1"/>
  <c r="AM10" i="1" s="1"/>
  <c r="Y11" i="1"/>
  <c r="N8" i="1"/>
  <c r="M8" i="1"/>
  <c r="N7" i="1"/>
  <c r="M7" i="1"/>
  <c r="S7" i="1" s="1"/>
  <c r="T7" i="1" s="1"/>
  <c r="N9" i="1"/>
  <c r="M9" i="1"/>
  <c r="AL7" i="1"/>
  <c r="AE7" i="1"/>
  <c r="AI7" i="1"/>
  <c r="AL8" i="1"/>
  <c r="AE8" i="1"/>
  <c r="AI8" i="1"/>
  <c r="AL9" i="1"/>
  <c r="AE9" i="1"/>
  <c r="AI9" i="1"/>
  <c r="W6" i="1"/>
  <c r="AG6" i="1"/>
  <c r="AG11" i="1" s="1"/>
  <c r="AK6" i="1"/>
  <c r="F11" i="1"/>
  <c r="J19" i="3"/>
  <c r="L19" i="3" s="1"/>
  <c r="E40" i="3"/>
  <c r="E19" i="3"/>
  <c r="E27" i="3"/>
  <c r="L17" i="2"/>
  <c r="L19" i="2" s="1"/>
  <c r="F22" i="2"/>
  <c r="F24" i="2" s="1"/>
  <c r="L11" i="1"/>
  <c r="N6" i="1"/>
  <c r="M6" i="1"/>
  <c r="V6" i="1"/>
  <c r="AD6" i="1"/>
  <c r="AF6" i="1"/>
  <c r="AH6" i="1"/>
  <c r="AJ6" i="1"/>
  <c r="V7" i="1"/>
  <c r="Z7" i="1" s="1"/>
  <c r="AA7" i="1" s="1"/>
  <c r="AD7" i="1"/>
  <c r="AF7" i="1"/>
  <c r="AH7" i="1"/>
  <c r="AJ7" i="1"/>
  <c r="V8" i="1"/>
  <c r="Z8" i="1" s="1"/>
  <c r="AA8" i="1" s="1"/>
  <c r="AD8" i="1"/>
  <c r="AF8" i="1"/>
  <c r="AH8" i="1"/>
  <c r="AJ8" i="1"/>
  <c r="V9" i="1"/>
  <c r="Z9" i="1" s="1"/>
  <c r="AD9" i="1"/>
  <c r="AF9" i="1"/>
  <c r="AH9" i="1"/>
  <c r="AJ9" i="1"/>
  <c r="AA9" i="5" l="1"/>
  <c r="AA10" i="5"/>
  <c r="AM11" i="5"/>
  <c r="D23" i="14"/>
  <c r="D22" i="14"/>
  <c r="H23" i="14"/>
  <c r="H22" i="14"/>
  <c r="J23" i="14"/>
  <c r="J22" i="14"/>
  <c r="L23" i="14"/>
  <c r="L22" i="14"/>
  <c r="N23" i="14"/>
  <c r="N22" i="14"/>
  <c r="Q23" i="14"/>
  <c r="Q22" i="14"/>
  <c r="R23" i="14"/>
  <c r="R22" i="14"/>
  <c r="U23" i="14"/>
  <c r="U22" i="14"/>
  <c r="Y23" i="14"/>
  <c r="Y22" i="14"/>
  <c r="Z23" i="14"/>
  <c r="Z22" i="14"/>
  <c r="E23" i="14"/>
  <c r="E22" i="14"/>
  <c r="F23" i="14"/>
  <c r="F22" i="14"/>
  <c r="I23" i="14"/>
  <c r="I22" i="14"/>
  <c r="M23" i="14"/>
  <c r="M22" i="14"/>
  <c r="T23" i="14"/>
  <c r="T22" i="14"/>
  <c r="W23" i="14"/>
  <c r="W22" i="14"/>
  <c r="AA23" i="14"/>
  <c r="AA22" i="14"/>
  <c r="K23" i="14"/>
  <c r="K22" i="14"/>
  <c r="O23" i="14"/>
  <c r="O22" i="14"/>
  <c r="G23" i="14"/>
  <c r="G22" i="14"/>
  <c r="P23" i="14"/>
  <c r="P22" i="14"/>
  <c r="V23" i="14"/>
  <c r="V22" i="14"/>
  <c r="X23" i="14"/>
  <c r="X22" i="14"/>
  <c r="AC23" i="14"/>
  <c r="AC22" i="14"/>
  <c r="K23" i="2"/>
  <c r="F25" i="2"/>
  <c r="L20" i="2"/>
  <c r="K24" i="2"/>
  <c r="E41" i="3"/>
  <c r="AI11" i="1"/>
  <c r="S10" i="5"/>
  <c r="T10" i="5" s="1"/>
  <c r="S9" i="5"/>
  <c r="T9" i="5" s="1"/>
  <c r="N8" i="5"/>
  <c r="M8" i="5"/>
  <c r="S8" i="5" s="1"/>
  <c r="T8" i="5" s="1"/>
  <c r="N7" i="5"/>
  <c r="M7" i="5"/>
  <c r="S7" i="5" s="1"/>
  <c r="T7" i="5" s="1"/>
  <c r="L11" i="5"/>
  <c r="P11" i="5"/>
  <c r="N6" i="5"/>
  <c r="N11" i="5" s="1"/>
  <c r="V11" i="5"/>
  <c r="Z6" i="5"/>
  <c r="W11" i="5"/>
  <c r="AD11" i="5"/>
  <c r="AM6" i="5"/>
  <c r="AE11" i="5"/>
  <c r="AF11" i="5"/>
  <c r="AG11" i="5"/>
  <c r="AH11" i="5"/>
  <c r="AI11" i="5"/>
  <c r="AJ11" i="5"/>
  <c r="AK11" i="5"/>
  <c r="AL11" i="5"/>
  <c r="AK11" i="1"/>
  <c r="W11" i="1"/>
  <c r="M10" i="1"/>
  <c r="S10" i="1"/>
  <c r="T10" i="1" s="1"/>
  <c r="AA9" i="1"/>
  <c r="AE11" i="1"/>
  <c r="AL11" i="1"/>
  <c r="S9" i="1"/>
  <c r="T9" i="1" s="1"/>
  <c r="S8" i="1"/>
  <c r="T8" i="1" s="1"/>
  <c r="AJ11" i="1"/>
  <c r="AF11" i="1"/>
  <c r="Z6" i="1"/>
  <c r="V11" i="1"/>
  <c r="S6" i="1"/>
  <c r="M11" i="1"/>
  <c r="N11" i="1"/>
  <c r="AM9" i="1"/>
  <c r="AM8" i="1"/>
  <c r="AM7" i="1"/>
  <c r="AH11" i="1"/>
  <c r="AD11" i="1"/>
  <c r="AM6" i="1"/>
  <c r="O11" i="1"/>
  <c r="P11" i="1"/>
  <c r="AM12" i="5" l="1"/>
  <c r="K25" i="2"/>
  <c r="K26" i="2" s="1"/>
  <c r="Z11" i="5"/>
  <c r="AA6" i="5"/>
  <c r="AA11" i="5" s="1"/>
  <c r="M11" i="5"/>
  <c r="S6" i="5"/>
  <c r="AM11" i="1"/>
  <c r="AM12" i="1" s="1"/>
  <c r="S11" i="1"/>
  <c r="T6" i="1"/>
  <c r="T11" i="1" s="1"/>
  <c r="Z11" i="1"/>
  <c r="AA6" i="1"/>
  <c r="AA11" i="1" s="1"/>
  <c r="I26" i="3" l="1"/>
  <c r="J26" i="3" s="1"/>
  <c r="J26" i="4"/>
  <c r="I24" i="3"/>
  <c r="J24" i="3" s="1"/>
  <c r="J24" i="4"/>
  <c r="I25" i="3"/>
  <c r="J25" i="3" s="1"/>
  <c r="J25" i="4"/>
  <c r="S11" i="5"/>
  <c r="T11" i="5"/>
  <c r="J29" i="3"/>
  <c r="L29" i="3" s="1"/>
  <c r="J28" i="4" l="1"/>
  <c r="L28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Mauricio Borja</author>
  </authors>
  <commentList>
    <comment ref="L19" authorId="0" shapeId="0" xr:uid="{1EAA5332-B81D-4488-8559-1BD52502BA26}">
      <text>
        <r>
          <rPr>
            <b/>
            <sz val="9"/>
            <color indexed="81"/>
            <rFont val="Tahoma"/>
            <family val="2"/>
          </rPr>
          <t>Mauricio Borja:</t>
        </r>
        <r>
          <rPr>
            <sz val="9"/>
            <color indexed="81"/>
            <rFont val="Tahoma"/>
            <family val="2"/>
          </rPr>
          <t xml:space="preserve">
Considerando 1000 unidades mensuales con precio promedio de las 10 variedades</t>
        </r>
      </text>
    </comment>
    <comment ref="F24" authorId="0" shapeId="0" xr:uid="{566B1D0A-B51A-43F1-9566-8A11A63A74A6}">
      <text>
        <r>
          <rPr>
            <b/>
            <sz val="9"/>
            <color indexed="81"/>
            <rFont val="Tahoma"/>
            <family val="2"/>
          </rPr>
          <t>Mauricio Borja:</t>
        </r>
        <r>
          <rPr>
            <sz val="9"/>
            <color indexed="81"/>
            <rFont val="Tahoma"/>
            <family val="2"/>
          </rPr>
          <t xml:space="preserve">
Considerando 1000 unidades mensuales con precio promedio de las 15 variedades</t>
        </r>
      </text>
    </comment>
    <comment ref="C28" authorId="0" shapeId="0" xr:uid="{32EF0795-3723-4328-A120-E88F6138F249}">
      <text>
        <r>
          <rPr>
            <b/>
            <sz val="9"/>
            <color indexed="81"/>
            <rFont val="Tahoma"/>
            <family val="2"/>
          </rPr>
          <t>Mauricio Borja:</t>
        </r>
        <r>
          <rPr>
            <sz val="9"/>
            <color indexed="81"/>
            <rFont val="Tahoma"/>
            <family val="2"/>
          </rPr>
          <t xml:space="preserve">
Considerando 5 entregas por semana
</t>
        </r>
      </text>
    </comment>
    <comment ref="C29" authorId="0" shapeId="0" xr:uid="{5E9CD551-1CA2-45D2-A6F7-D34228132156}">
      <text>
        <r>
          <rPr>
            <b/>
            <sz val="9"/>
            <color indexed="81"/>
            <rFont val="Tahoma"/>
            <family val="2"/>
          </rPr>
          <t>Mauricio Borja:</t>
        </r>
        <r>
          <rPr>
            <sz val="9"/>
            <color indexed="81"/>
            <rFont val="Tahoma"/>
            <family val="2"/>
          </rPr>
          <t xml:space="preserve">
Considerando 2 entregas por semana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Mauricio Borja</author>
  </authors>
  <commentList>
    <comment ref="L19" authorId="0" shapeId="0" xr:uid="{2F7F5AF1-2F82-4BC8-9B31-33FE3F00797D}">
      <text>
        <r>
          <rPr>
            <b/>
            <sz val="9"/>
            <color indexed="81"/>
            <rFont val="Tahoma"/>
            <family val="2"/>
          </rPr>
          <t>Mauricio Borja:</t>
        </r>
        <r>
          <rPr>
            <sz val="9"/>
            <color indexed="81"/>
            <rFont val="Tahoma"/>
            <family val="2"/>
          </rPr>
          <t xml:space="preserve">
Considerando 1000 unidades mensuales para 25 adscritos y con precio promedio de las 10
 variedades</t>
        </r>
      </text>
    </comment>
    <comment ref="F24" authorId="0" shapeId="0" xr:uid="{B01714EA-47A4-47DE-B2CD-36DAC825A9E0}">
      <text>
        <r>
          <rPr>
            <b/>
            <sz val="9"/>
            <color indexed="81"/>
            <rFont val="Tahoma"/>
            <family val="2"/>
          </rPr>
          <t>Mauricio Borja:</t>
        </r>
        <r>
          <rPr>
            <sz val="9"/>
            <color indexed="81"/>
            <rFont val="Tahoma"/>
            <family val="2"/>
          </rPr>
          <t xml:space="preserve">
Considerando 1000 unidades mensuales para 25 adscritos y con precio promedio de las 15 variedades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Mauricio Borja</author>
  </authors>
  <commentList>
    <comment ref="O6" authorId="0" shapeId="0" xr:uid="{002DBC42-D490-4DE2-9379-A48DDA05A413}">
      <text>
        <r>
          <rPr>
            <b/>
            <sz val="9"/>
            <color indexed="81"/>
            <rFont val="Tahoma"/>
            <family val="2"/>
          </rPr>
          <t>Mauricio Borja:</t>
        </r>
        <r>
          <rPr>
            <sz val="9"/>
            <color indexed="81"/>
            <rFont val="Tahoma"/>
            <family val="2"/>
          </rPr>
          <t xml:space="preserve">
28% entre 150 y 360 UVT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Mauricio Borja</author>
    <author>tc={397267D1-01F7-4543-8720-F7DF8EAD3F27}</author>
  </authors>
  <commentList>
    <comment ref="O6" authorId="0" shapeId="0" xr:uid="{34D4F241-5FB1-4DBD-96F6-AE3B3BC4A882}">
      <text>
        <r>
          <rPr>
            <b/>
            <sz val="9"/>
            <color indexed="81"/>
            <rFont val="Tahoma"/>
            <family val="2"/>
          </rPr>
          <t>Mauricio Borja:</t>
        </r>
        <r>
          <rPr>
            <sz val="9"/>
            <color indexed="81"/>
            <rFont val="Tahoma"/>
            <family val="2"/>
          </rPr>
          <t xml:space="preserve">
28% entre 150 y 360 UVT
</t>
        </r>
      </text>
    </comment>
    <comment ref="C9" authorId="1" shapeId="0" xr:uid="{397267D1-01F7-4543-8720-F7DF8EAD3F27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Prestación de servicios externos. No tienen carga parafiscal, pago mediente cuenta de cobro por utilización de servicios.</t>
        </r>
      </text>
    </comment>
  </commentList>
</comments>
</file>

<file path=xl/sharedStrings.xml><?xml version="1.0" encoding="utf-8"?>
<sst xmlns="http://schemas.openxmlformats.org/spreadsheetml/2006/main" count="627" uniqueCount="278">
  <si>
    <t>PROPUESTA MEJUMA PRODUCTOS FISICO</t>
  </si>
  <si>
    <t>#</t>
  </si>
  <si>
    <t>Frutas</t>
  </si>
  <si>
    <t>Unidad de medida</t>
  </si>
  <si>
    <t>Precio Promedio Mercado</t>
  </si>
  <si>
    <t>Precio Promedio Venta</t>
  </si>
  <si>
    <t>Veduras</t>
  </si>
  <si>
    <t>Pera criolla</t>
  </si>
  <si>
    <t>500gr</t>
  </si>
  <si>
    <t>Cebolla</t>
  </si>
  <si>
    <t>Aguacate Hass</t>
  </si>
  <si>
    <t>Pimenton</t>
  </si>
  <si>
    <t>Naranja</t>
  </si>
  <si>
    <t>250gr</t>
  </si>
  <si>
    <t>Zanahoria</t>
  </si>
  <si>
    <t>ciruela</t>
  </si>
  <si>
    <t>Zapayo</t>
  </si>
  <si>
    <t>Kiwi</t>
  </si>
  <si>
    <t>Habichuela</t>
  </si>
  <si>
    <t>Arandanos</t>
  </si>
  <si>
    <t>Tomate cherry</t>
  </si>
  <si>
    <t>limon</t>
  </si>
  <si>
    <t>Rúgula</t>
  </si>
  <si>
    <t>150gr</t>
  </si>
  <si>
    <t>Piña</t>
  </si>
  <si>
    <t>Pepino</t>
  </si>
  <si>
    <t>Banano</t>
  </si>
  <si>
    <t>Esparragos</t>
  </si>
  <si>
    <t>Papaya</t>
  </si>
  <si>
    <t>Brocoli</t>
  </si>
  <si>
    <t>400gr</t>
  </si>
  <si>
    <t>Melon</t>
  </si>
  <si>
    <t>PROMEDIO</t>
  </si>
  <si>
    <t>Uchuvas</t>
  </si>
  <si>
    <t>Fresa</t>
  </si>
  <si>
    <t>Mes</t>
  </si>
  <si>
    <t>Granadilla</t>
  </si>
  <si>
    <t>Año</t>
  </si>
  <si>
    <t>Durazno</t>
  </si>
  <si>
    <t>Verduras</t>
  </si>
  <si>
    <t>Total Mes</t>
  </si>
  <si>
    <t>VALORES ADICIONALES CONSIDERADOS PARA EL PUNTO FISICO</t>
  </si>
  <si>
    <t>Total Año</t>
  </si>
  <si>
    <t>Servicio de suscripción</t>
  </si>
  <si>
    <t>Servicio de entrega Normal  - al siguiente dia (Inferior a $50.000)</t>
  </si>
  <si>
    <t xml:space="preserve">Servicio de entrega express - El mismo dia </t>
  </si>
  <si>
    <t>PROPUESTA MEJUMA MARKET PLACE</t>
  </si>
  <si>
    <t>Comisión Promedio Venta 10%</t>
  </si>
  <si>
    <t>Servicio de entrega Normal</t>
  </si>
  <si>
    <t>Responsabilidad del vendedor</t>
  </si>
  <si>
    <t>FRUTAS</t>
  </si>
  <si>
    <t>VERDURAS</t>
  </si>
  <si>
    <t>Precios Agosto 2022</t>
  </si>
  <si>
    <t>Carulla</t>
  </si>
  <si>
    <t>Vida Organica</t>
  </si>
  <si>
    <t>Éxito</t>
  </si>
  <si>
    <t>Merkaorganico</t>
  </si>
  <si>
    <t>Mercaviva</t>
  </si>
  <si>
    <t>Surtifrutas</t>
  </si>
  <si>
    <t>Frubana</t>
  </si>
  <si>
    <t>Gastronomy Market</t>
  </si>
  <si>
    <t>Pricesmart</t>
  </si>
  <si>
    <t>Compraorganico</t>
  </si>
  <si>
    <t>Limite Superior</t>
  </si>
  <si>
    <t>Limite Inferior</t>
  </si>
  <si>
    <t>Media</t>
  </si>
  <si>
    <t>Desviación Estandar</t>
  </si>
  <si>
    <t>Desviación Estandar Inferior</t>
  </si>
  <si>
    <t>Desviación Estandar Superior</t>
  </si>
  <si>
    <t>PROPUESTA MEJUMA FÍSICO</t>
  </si>
  <si>
    <t>COSTOS DE INVERSIÓN</t>
  </si>
  <si>
    <t xml:space="preserve">COSTOS VARIABLES </t>
  </si>
  <si>
    <t>CANT.</t>
  </si>
  <si>
    <t>PRODUCTO</t>
  </si>
  <si>
    <t>COSTO UNIT.</t>
  </si>
  <si>
    <t>COSTO TOTAL</t>
  </si>
  <si>
    <t>DESCRIPCIÓN</t>
  </si>
  <si>
    <t>AREA LOCAL</t>
  </si>
  <si>
    <t>caja registradora</t>
  </si>
  <si>
    <t>Transportes</t>
  </si>
  <si>
    <t>nevera</t>
  </si>
  <si>
    <t>Nutricionista</t>
  </si>
  <si>
    <t>bascula</t>
  </si>
  <si>
    <t>Chef</t>
  </si>
  <si>
    <t>estantes de frutas y verduras</t>
  </si>
  <si>
    <t>Agua</t>
  </si>
  <si>
    <t xml:space="preserve">canastas </t>
  </si>
  <si>
    <t>Luz</t>
  </si>
  <si>
    <t>vitrina</t>
  </si>
  <si>
    <t>Teléfono Internet</t>
  </si>
  <si>
    <t>telefono inalambrico</t>
  </si>
  <si>
    <t>Mercadeo</t>
  </si>
  <si>
    <t>bicicletas</t>
  </si>
  <si>
    <t>Varios - Consumibles</t>
  </si>
  <si>
    <t>telefono celular</t>
  </si>
  <si>
    <t>celular</t>
  </si>
  <si>
    <t>ÁREA ADMINISTRATIVA</t>
  </si>
  <si>
    <t>TOTAL</t>
  </si>
  <si>
    <t>TOTAL MES</t>
  </si>
  <si>
    <t>TOTAL AÑO</t>
  </si>
  <si>
    <t>Escritorio</t>
  </si>
  <si>
    <t xml:space="preserve">COSTOS FIJOS </t>
  </si>
  <si>
    <t>Arriendo</t>
  </si>
  <si>
    <t>Computador</t>
  </si>
  <si>
    <t>Contador</t>
  </si>
  <si>
    <t>Impresora</t>
  </si>
  <si>
    <t>Mantenimiento</t>
  </si>
  <si>
    <t>Silla ergonomica</t>
  </si>
  <si>
    <t>Nomina</t>
  </si>
  <si>
    <t>Sillas auxiliares</t>
  </si>
  <si>
    <t>Seguridad Social</t>
  </si>
  <si>
    <t>Software fruver</t>
  </si>
  <si>
    <t>Prestaciones sociales</t>
  </si>
  <si>
    <t>ADECUACIÓN GENERAL</t>
  </si>
  <si>
    <t>Elementos aseo</t>
  </si>
  <si>
    <t>Pintura</t>
  </si>
  <si>
    <t>Seguridad  - Vigilancia</t>
  </si>
  <si>
    <t>Decoracion</t>
  </si>
  <si>
    <t>Divisiones</t>
  </si>
  <si>
    <t>Aviso principal</t>
  </si>
  <si>
    <t>Avisos advertencias</t>
  </si>
  <si>
    <t>Baños</t>
  </si>
  <si>
    <t>Lockers</t>
  </si>
  <si>
    <t>Diseñador de interiores</t>
  </si>
  <si>
    <t>Equipo primeros auxilios</t>
  </si>
  <si>
    <t>Costos Legales y constitucion</t>
  </si>
  <si>
    <t>APP basica</t>
  </si>
  <si>
    <t>Seguros</t>
  </si>
  <si>
    <t>GASTOS DE INVERSIÓN</t>
  </si>
  <si>
    <t>PRODUCTO/SERVICIO</t>
  </si>
  <si>
    <t>GASTO UNIT.</t>
  </si>
  <si>
    <t>GASTO TOTAL</t>
  </si>
  <si>
    <t>EQUIPO DE OFICINA</t>
  </si>
  <si>
    <t>Agua (Auxilio hogar)</t>
  </si>
  <si>
    <t>Luz (Auxilio hogar)</t>
  </si>
  <si>
    <t>Teléfono, Internet (Auxilio hogar)</t>
  </si>
  <si>
    <t>Estrategia de comercialización (Impresión y distribución periódicos-volantes), perifoneo</t>
  </si>
  <si>
    <t>Servicios de seguridad</t>
  </si>
  <si>
    <t>Celular</t>
  </si>
  <si>
    <t>Telefonia celular</t>
  </si>
  <si>
    <t>MUEBLES Y ENSERES</t>
  </si>
  <si>
    <t>Ingeniero de sistemas</t>
  </si>
  <si>
    <t>Servicios de aseo</t>
  </si>
  <si>
    <t>GASTOS DE PUESTA EN MARCHA</t>
  </si>
  <si>
    <t>Costos/ cantidades mes</t>
  </si>
  <si>
    <t>Costo unitario para simulador financiero</t>
  </si>
  <si>
    <t>Gastos legales y constitución</t>
  </si>
  <si>
    <t>MARKETING MIX</t>
  </si>
  <si>
    <t>Marca del market place MEJUMA</t>
  </si>
  <si>
    <t>Host  aplicación (1 año) y mantenimiento</t>
  </si>
  <si>
    <t>Diseño de mensajes en periódicos, volantes, redes sociales, perifoneo, correo masivo)</t>
  </si>
  <si>
    <t>Mensual</t>
  </si>
  <si>
    <t>NOMINA MEJUMA SAS</t>
  </si>
  <si>
    <t xml:space="preserve">Prestaciones Sociales </t>
  </si>
  <si>
    <t xml:space="preserve">Seguridad Social </t>
  </si>
  <si>
    <t>Grupo</t>
  </si>
  <si>
    <t>Nombre  del  Trabajador</t>
  </si>
  <si>
    <t xml:space="preserve">Sueldo </t>
  </si>
  <si>
    <t xml:space="preserve">Dias </t>
  </si>
  <si>
    <t>Auxilio de</t>
  </si>
  <si>
    <t>Vacaciones</t>
  </si>
  <si>
    <t>Bono</t>
  </si>
  <si>
    <t xml:space="preserve">Otros </t>
  </si>
  <si>
    <t xml:space="preserve">Total </t>
  </si>
  <si>
    <t>Valor</t>
  </si>
  <si>
    <t xml:space="preserve">Valor </t>
  </si>
  <si>
    <t xml:space="preserve">Fondo </t>
  </si>
  <si>
    <t>Otros</t>
  </si>
  <si>
    <t>APORTES</t>
  </si>
  <si>
    <t xml:space="preserve">Neto </t>
  </si>
  <si>
    <t>Prima Servicios</t>
  </si>
  <si>
    <t>Cesantias</t>
  </si>
  <si>
    <t>I.Cesantias</t>
  </si>
  <si>
    <t>Vacaciones ( No prestación- derecho a descanso remunerado)</t>
  </si>
  <si>
    <t>Mes Provisión</t>
  </si>
  <si>
    <t>Tipo de Riesgo ARL</t>
  </si>
  <si>
    <t>Salud Patrono</t>
  </si>
  <si>
    <t>Salud Empleado</t>
  </si>
  <si>
    <t>Pensión Patrono</t>
  </si>
  <si>
    <t xml:space="preserve">Pensión Empleado </t>
  </si>
  <si>
    <t>Fondo de solidaridad pensional</t>
  </si>
  <si>
    <t>Caja de compensación familiar</t>
  </si>
  <si>
    <t>ARL</t>
  </si>
  <si>
    <t>ICBF</t>
  </si>
  <si>
    <t>SENA</t>
  </si>
  <si>
    <t>Básico</t>
  </si>
  <si>
    <t>Lab</t>
  </si>
  <si>
    <t>Devengado</t>
  </si>
  <si>
    <t>Transporte</t>
  </si>
  <si>
    <t>Prestacional</t>
  </si>
  <si>
    <t>NO Prestacional</t>
  </si>
  <si>
    <t>Devengos</t>
  </si>
  <si>
    <t>EPS</t>
  </si>
  <si>
    <t>Pensión</t>
  </si>
  <si>
    <t>Retefuente</t>
  </si>
  <si>
    <t>Solidaridad</t>
  </si>
  <si>
    <t>Dtos</t>
  </si>
  <si>
    <t>AFC</t>
  </si>
  <si>
    <t>Descuentos</t>
  </si>
  <si>
    <t>a Pagar</t>
  </si>
  <si>
    <t>Enero</t>
  </si>
  <si>
    <t xml:space="preserve">
Riesgo I (Mínimo) - 0,522%
Riesgo II (Bajo) - 1,044%
Riesgo III (medio) - 2,436%
Riesgo IV (Alto) - 4,350%
Riesgo V (máximo) - 6,960%</t>
  </si>
  <si>
    <t>Riesgo I, II, II, IV, V</t>
  </si>
  <si>
    <t>Administrador - Cajero</t>
  </si>
  <si>
    <t>A</t>
  </si>
  <si>
    <t>Personal multifuncion</t>
  </si>
  <si>
    <t>B</t>
  </si>
  <si>
    <t>C</t>
  </si>
  <si>
    <t>D</t>
  </si>
  <si>
    <t>E</t>
  </si>
  <si>
    <t>TOTAL GENERAL</t>
  </si>
  <si>
    <t>Riesgos Laborales</t>
  </si>
  <si>
    <t>PRESTACIONES SOCIALES  A CARGO DEL EMPLEADOR</t>
  </si>
  <si>
    <t>PRESTACIONES SOCIALES A CARGO DE ENTIDADES DE SEGURIDAD SOCIAL</t>
  </si>
  <si>
    <t>PARAFISCALES</t>
  </si>
  <si>
    <t>CONCEPTO</t>
  </si>
  <si>
    <t>% DEL SALARIO MENSUAL  A CARGO DEL EMPLEADOR</t>
  </si>
  <si>
    <t>CAUSACIÓN</t>
  </si>
  <si>
    <t>PAGO</t>
  </si>
  <si>
    <t>% DE CONTRIBUCIÓN</t>
  </si>
  <si>
    <t>% DE CONTRIBUCIÓN EMPLEADOR</t>
  </si>
  <si>
    <t>Cesantías</t>
  </si>
  <si>
    <t xml:space="preserve"> Corresponde a un mes de salario por cada año de servicios o proporcional por fracción de año</t>
  </si>
  <si>
    <t xml:space="preserve">Se consigna al Fondo de Cesantías en febrero de cada año
</t>
  </si>
  <si>
    <t>Sistema de salud</t>
  </si>
  <si>
    <t>Empleador 8,5% y trabajador 4%</t>
  </si>
  <si>
    <t>Febrero</t>
  </si>
  <si>
    <t>Intereses de Cesantías</t>
  </si>
  <si>
    <t>12%  anual  sobre  los  saldos  a  31  de diciembre de cada año o en las fechas de retiro del trabajador o liquidación parcial de cesantía.</t>
  </si>
  <si>
    <t>Enero de cada año o en la fecha de terminación definitiva o al mes siguiente de la liquidación parcial de cesantías</t>
  </si>
  <si>
    <t>Pensiones</t>
  </si>
  <si>
    <t>Empleador 12% y trabajador 4%</t>
  </si>
  <si>
    <t>Marzo</t>
  </si>
  <si>
    <t>Prima de servicios</t>
  </si>
  <si>
    <t>Corresponde a 30 días de salario por año proporcional al tiempo trabajado</t>
  </si>
  <si>
    <t xml:space="preserve">Se paga en dos fracciones semestralmente.
*Plazo máximo I semestre:30 de junio. 
*Plazo máximo II semestre:20 de Diciembre 
</t>
  </si>
  <si>
    <t>Riesgos laborales</t>
  </si>
  <si>
    <t>Empleador
Riesgo I (Mínimo) - 0,522%
Riesgo II (Bajo) - 1,044%
Riesgo III (medio) - 2,436%
Riesgo IV (Alto) - 4,350%
Riesgo V (máximo) - 6,960%</t>
  </si>
  <si>
    <t>CAJA DE COMPENSACIÓN</t>
  </si>
  <si>
    <t>Abril</t>
  </si>
  <si>
    <t>Auxilio de transporte</t>
  </si>
  <si>
    <t>Salario mínimo año 2021 $908.526
Auxilio de transporte $106.454</t>
  </si>
  <si>
    <t xml:space="preserve">Mensualmente
</t>
  </si>
  <si>
    <t>Mayo</t>
  </si>
  <si>
    <t>Vacaciones ( no prestación - descanso reunerado)</t>
  </si>
  <si>
    <t>15 días de descanso por cada año trabajado y proporcionalmente por fracción</t>
  </si>
  <si>
    <t>Se hace exigible (el tiempo) en el año siguiente al año de causación.</t>
  </si>
  <si>
    <t>Junio</t>
  </si>
  <si>
    <t>Julio</t>
  </si>
  <si>
    <t>Agosto</t>
  </si>
  <si>
    <t>Septiembre</t>
  </si>
  <si>
    <t>Octubre</t>
  </si>
  <si>
    <t>Noviembre</t>
  </si>
  <si>
    <t>Diciembre</t>
  </si>
  <si>
    <t>Directivos</t>
  </si>
  <si>
    <t>Director de Maketing</t>
  </si>
  <si>
    <t>Director de Compras</t>
  </si>
  <si>
    <t>Director de Operaciones</t>
  </si>
  <si>
    <t>Outsourcing</t>
  </si>
  <si>
    <t>ENCUESTA ENTREGA DE PEDIDOS MEJUMA</t>
  </si>
  <si>
    <t>ENCUESTA DE SATISFACCIÓN</t>
  </si>
  <si>
    <t>Considera hacer devolución</t>
  </si>
  <si>
    <t>Grado de Satisfacción del Servicio</t>
  </si>
  <si>
    <t>Le agradecemos valore la calidad del servicio con base en la escala:</t>
  </si>
  <si>
    <t>Atención Suministrada</t>
  </si>
  <si>
    <r>
      <rPr>
        <b/>
        <sz val="9"/>
        <rFont val="Arial"/>
        <family val="2"/>
      </rPr>
      <t>1</t>
    </r>
    <r>
      <rPr>
        <sz val="9"/>
        <rFont val="Arial"/>
        <family val="2"/>
      </rPr>
      <t xml:space="preserve">- PÉSIMO, </t>
    </r>
    <r>
      <rPr>
        <b/>
        <sz val="9"/>
        <rFont val="Arial"/>
        <family val="2"/>
      </rPr>
      <t>2</t>
    </r>
    <r>
      <rPr>
        <sz val="9"/>
        <rFont val="Arial"/>
        <family val="2"/>
      </rPr>
      <t xml:space="preserve">- MALO, </t>
    </r>
    <r>
      <rPr>
        <b/>
        <sz val="9"/>
        <rFont val="Arial"/>
        <family val="2"/>
      </rPr>
      <t>3</t>
    </r>
    <r>
      <rPr>
        <sz val="9"/>
        <rFont val="Arial"/>
        <family val="2"/>
      </rPr>
      <t xml:space="preserve">- REGULAR, </t>
    </r>
    <r>
      <rPr>
        <b/>
        <sz val="9"/>
        <rFont val="Arial"/>
        <family val="2"/>
      </rPr>
      <t>4</t>
    </r>
    <r>
      <rPr>
        <sz val="9"/>
        <rFont val="Arial"/>
        <family val="2"/>
      </rPr>
      <t xml:space="preserve">- BUENO, </t>
    </r>
    <r>
      <rPr>
        <b/>
        <sz val="9"/>
        <rFont val="Arial"/>
        <family val="2"/>
      </rPr>
      <t>5</t>
    </r>
    <r>
      <rPr>
        <sz val="9"/>
        <rFont val="Arial"/>
        <family val="2"/>
      </rPr>
      <t>- EXCELENTE</t>
    </r>
  </si>
  <si>
    <t>Calidad de los productos</t>
  </si>
  <si>
    <t>Comentarios:</t>
  </si>
  <si>
    <t>Frescura de los alimentos</t>
  </si>
  <si>
    <t>Puntualidad</t>
  </si>
  <si>
    <t>Cumplimiento Vs. Pedido</t>
  </si>
  <si>
    <t>Calificación general del pedido</t>
  </si>
  <si>
    <t>FIRMAS:</t>
  </si>
  <si>
    <t>Relacion de Despacho:</t>
  </si>
  <si>
    <t>Representante del Cliente:</t>
  </si>
  <si>
    <t>Firma:</t>
  </si>
  <si>
    <t>Nombre:</t>
  </si>
  <si>
    <t>Fecha: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</si>
</sst>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&quot;$&quot;\ #,##0;[Red]\-&quot;$&quot;\ #,##0"/>
    <numFmt numFmtId="165" formatCode="0.0%"/>
    <numFmt numFmtId="166" formatCode="_ * #,##0.00_ ;_ * \-#,##0.00_ ;_ * &quot;-&quot;??_ ;_ @_ "/>
    <numFmt numFmtId="167" formatCode="_ * #,##0_ ;_ * \-#,##0_ ;_ * &quot;-&quot;??_ ;_ @_ "/>
    <numFmt numFmtId="168" formatCode="_ &quot;$&quot;\ * #,##0.00_ ;_ &quot;$&quot;\ * \-#,##0.00_ ;_ &quot;$&quot;\ * &quot;-&quot;??_ ;_ @_ "/>
    <numFmt numFmtId="169" formatCode="_ &quot;$&quot;\ * #,##0_ ;_ &quot;$&quot;\ * \-#,##0_ ;_ &quot;$&quot;\ * &quot;-&quot;??_ ;_ @_ "/>
    <numFmt numFmtId="170" formatCode="0.000%"/>
    <numFmt numFmtId="171" formatCode="_(* #,##0.00_);_(* \(#,##0.00\);_(* &quot;-&quot;??_);_(@_)"/>
    <numFmt numFmtId="172" formatCode="_(* #,##0_);_(* \(#,##0\);_(* &quot;-&quot;??_);_(@_)"/>
    <numFmt numFmtId="173" formatCode="dd/mm/yy;@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8"/>
      <color rgb="FF000080"/>
      <name val="Times New Roman"/>
      <family val="1"/>
    </font>
    <font>
      <sz val="14"/>
      <name val="Arial"/>
      <family val="2"/>
    </font>
    <font>
      <b/>
      <i/>
      <sz val="14"/>
      <color rgb="FF000080"/>
      <name val="Times New Roman"/>
      <family val="1"/>
    </font>
    <font>
      <b/>
      <sz val="8"/>
      <color theme="0"/>
      <name val="Arial"/>
      <family val="2"/>
    </font>
    <font>
      <b/>
      <sz val="7"/>
      <color theme="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i/>
      <sz val="8"/>
      <name val="Arial"/>
      <family val="2"/>
    </font>
    <font>
      <b/>
      <sz val="8"/>
      <color rgb="FF000000"/>
      <name val="Arial"/>
      <family val="2"/>
    </font>
    <font>
      <b/>
      <sz val="8"/>
      <color rgb="FF002060"/>
      <name val="Arial"/>
      <family val="2"/>
    </font>
    <font>
      <b/>
      <sz val="9"/>
      <color rgb="FF00000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11"/>
      <color indexed="9"/>
      <name val="Arial"/>
      <family val="2"/>
    </font>
    <font>
      <sz val="11"/>
      <name val="Calibri"/>
      <family val="2"/>
    </font>
    <font>
      <b/>
      <sz val="10"/>
      <color theme="0"/>
      <name val="Calibri"/>
      <family val="2"/>
      <scheme val="minor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10"/>
      <color theme="0"/>
      <name val="Arial"/>
      <family val="2"/>
    </font>
    <font>
      <b/>
      <sz val="8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0"/>
      <name val="Arial"/>
      <family val="2"/>
    </font>
    <font>
      <b/>
      <sz val="2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Arial"/>
      <family val="2"/>
    </font>
    <font>
      <b/>
      <sz val="11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2"/>
      <color theme="1"/>
      <name val="Arial"/>
      <family val="2"/>
    </font>
    <font>
      <sz val="6"/>
      <color theme="1"/>
      <name val="Calibri"/>
      <family val="2"/>
      <scheme val="minor"/>
    </font>
    <font>
      <sz val="8"/>
      <color rgb="FF000000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22" fillId="0" borderId="0" applyNumberForma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5">
    <xf numFmtId="0" fontId="0" fillId="0" borderId="0" xfId="0"/>
    <xf numFmtId="0" fontId="6" fillId="2" borderId="0" xfId="4" applyFont="1" applyFill="1"/>
    <xf numFmtId="0" fontId="6" fillId="2" borderId="0" xfId="4" applyFont="1" applyFill="1" applyAlignment="1">
      <alignment vertical="center"/>
    </xf>
    <xf numFmtId="0" fontId="7" fillId="2" borderId="0" xfId="4" applyFont="1" applyFill="1" applyAlignment="1">
      <alignment vertical="center"/>
    </xf>
    <xf numFmtId="0" fontId="7" fillId="2" borderId="0" xfId="4" applyFont="1" applyFill="1" applyAlignment="1">
      <alignment horizontal="center" vertical="center"/>
    </xf>
    <xf numFmtId="0" fontId="8" fillId="3" borderId="0" xfId="4" applyFont="1" applyFill="1" applyAlignment="1">
      <alignment horizontal="center" vertical="center"/>
    </xf>
    <xf numFmtId="0" fontId="4" fillId="2" borderId="0" xfId="4" applyFill="1" applyAlignment="1">
      <alignment horizontal="center"/>
    </xf>
    <xf numFmtId="0" fontId="8" fillId="3" borderId="0" xfId="4" applyFont="1" applyFill="1" applyAlignment="1">
      <alignment horizontal="center" vertical="center" wrapText="1"/>
    </xf>
    <xf numFmtId="0" fontId="4" fillId="3" borderId="0" xfId="4" applyFill="1" applyAlignment="1">
      <alignment horizontal="center"/>
    </xf>
    <xf numFmtId="0" fontId="8" fillId="3" borderId="0" xfId="4" applyFont="1" applyFill="1" applyAlignment="1">
      <alignment horizontal="center"/>
    </xf>
    <xf numFmtId="10" fontId="8" fillId="3" borderId="0" xfId="4" applyNumberFormat="1" applyFont="1" applyFill="1" applyAlignment="1">
      <alignment horizontal="center" vertical="center"/>
    </xf>
    <xf numFmtId="165" fontId="9" fillId="3" borderId="0" xfId="4" applyNumberFormat="1" applyFont="1" applyFill="1" applyAlignment="1">
      <alignment horizontal="center" wrapText="1"/>
    </xf>
    <xf numFmtId="165" fontId="8" fillId="3" borderId="0" xfId="4" applyNumberFormat="1" applyFont="1" applyFill="1" applyAlignment="1">
      <alignment horizontal="center" vertical="center"/>
    </xf>
    <xf numFmtId="9" fontId="8" fillId="3" borderId="0" xfId="4" applyNumberFormat="1" applyFont="1" applyFill="1" applyAlignment="1">
      <alignment horizontal="center" vertical="center"/>
    </xf>
    <xf numFmtId="0" fontId="10" fillId="2" borderId="2" xfId="4" applyFont="1" applyFill="1" applyBorder="1" applyAlignment="1">
      <alignment vertical="center"/>
    </xf>
    <xf numFmtId="0" fontId="11" fillId="2" borderId="2" xfId="4" applyFont="1" applyFill="1" applyBorder="1" applyAlignment="1">
      <alignment horizontal="center" vertical="center"/>
    </xf>
    <xf numFmtId="3" fontId="11" fillId="2" borderId="2" xfId="4" applyNumberFormat="1" applyFont="1" applyFill="1" applyBorder="1" applyAlignment="1">
      <alignment vertical="center"/>
    </xf>
    <xf numFmtId="167" fontId="11" fillId="2" borderId="2" xfId="1" applyNumberFormat="1" applyFont="1" applyFill="1" applyBorder="1" applyAlignment="1">
      <alignment vertical="center"/>
    </xf>
    <xf numFmtId="3" fontId="12" fillId="2" borderId="0" xfId="4" applyNumberFormat="1" applyFont="1" applyFill="1"/>
    <xf numFmtId="169" fontId="13" fillId="2" borderId="2" xfId="2" applyNumberFormat="1" applyFont="1" applyFill="1" applyBorder="1" applyAlignment="1">
      <alignment vertical="center"/>
    </xf>
    <xf numFmtId="0" fontId="10" fillId="2" borderId="0" xfId="4" applyFont="1" applyFill="1"/>
    <xf numFmtId="170" fontId="14" fillId="2" borderId="2" xfId="3" applyNumberFormat="1" applyFont="1" applyFill="1" applyBorder="1" applyAlignment="1">
      <alignment horizontal="center" vertical="center" wrapText="1"/>
    </xf>
    <xf numFmtId="3" fontId="11" fillId="0" borderId="2" xfId="4" applyNumberFormat="1" applyFont="1" applyBorder="1" applyAlignment="1">
      <alignment vertical="center"/>
    </xf>
    <xf numFmtId="167" fontId="11" fillId="0" borderId="2" xfId="1" applyNumberFormat="1" applyFont="1" applyFill="1" applyBorder="1" applyAlignment="1">
      <alignment vertical="center"/>
    </xf>
    <xf numFmtId="0" fontId="4" fillId="2" borderId="0" xfId="4" applyFill="1" applyAlignment="1">
      <alignment vertical="center"/>
    </xf>
    <xf numFmtId="0" fontId="15" fillId="2" borderId="2" xfId="4" applyFont="1" applyFill="1" applyBorder="1" applyAlignment="1">
      <alignment vertical="center"/>
    </xf>
    <xf numFmtId="3" fontId="15" fillId="2" borderId="2" xfId="4" applyNumberFormat="1" applyFont="1" applyFill="1" applyBorder="1" applyAlignment="1">
      <alignment vertical="center"/>
    </xf>
    <xf numFmtId="167" fontId="13" fillId="2" borderId="2" xfId="1" applyNumberFormat="1" applyFont="1" applyFill="1" applyBorder="1" applyAlignment="1">
      <alignment vertical="center"/>
    </xf>
    <xf numFmtId="0" fontId="4" fillId="2" borderId="0" xfId="4" applyFill="1"/>
    <xf numFmtId="164" fontId="16" fillId="0" borderId="0" xfId="4" applyNumberFormat="1" applyFont="1"/>
    <xf numFmtId="164" fontId="4" fillId="0" borderId="0" xfId="4" applyNumberFormat="1"/>
    <xf numFmtId="3" fontId="4" fillId="2" borderId="0" xfId="4" applyNumberFormat="1" applyFill="1"/>
    <xf numFmtId="167" fontId="4" fillId="2" borderId="0" xfId="4" applyNumberFormat="1" applyFill="1"/>
    <xf numFmtId="0" fontId="17" fillId="2" borderId="0" xfId="4" applyFont="1" applyFill="1" applyAlignment="1">
      <alignment vertical="center" wrapText="1"/>
    </xf>
    <xf numFmtId="3" fontId="10" fillId="2" borderId="0" xfId="4" applyNumberFormat="1" applyFont="1" applyFill="1"/>
    <xf numFmtId="0" fontId="4" fillId="0" borderId="0" xfId="4"/>
    <xf numFmtId="0" fontId="18" fillId="2" borderId="0" xfId="4" applyFont="1" applyFill="1" applyAlignment="1">
      <alignment horizontal="left" vertical="center" wrapText="1"/>
    </xf>
    <xf numFmtId="0" fontId="10" fillId="2" borderId="0" xfId="4" applyFont="1" applyFill="1" applyAlignment="1">
      <alignment vertical="center"/>
    </xf>
    <xf numFmtId="0" fontId="20" fillId="0" borderId="0" xfId="4" applyFont="1" applyAlignment="1">
      <alignment vertical="center"/>
    </xf>
    <xf numFmtId="170" fontId="18" fillId="2" borderId="0" xfId="4" applyNumberFormat="1" applyFont="1" applyFill="1" applyAlignment="1">
      <alignment horizontal="left" vertical="center" wrapText="1"/>
    </xf>
    <xf numFmtId="0" fontId="2" fillId="3" borderId="3" xfId="4" applyFont="1" applyFill="1" applyBorder="1" applyAlignment="1">
      <alignment vertical="center" wrapText="1"/>
    </xf>
    <xf numFmtId="0" fontId="21" fillId="3" borderId="4" xfId="4" applyFont="1" applyFill="1" applyBorder="1" applyAlignment="1">
      <alignment horizontal="center" vertical="center" wrapText="1"/>
    </xf>
    <xf numFmtId="0" fontId="2" fillId="3" borderId="3" xfId="4" applyFont="1" applyFill="1" applyBorder="1" applyAlignment="1">
      <alignment horizontal="center" vertical="center" wrapText="1"/>
    </xf>
    <xf numFmtId="0" fontId="18" fillId="2" borderId="0" xfId="4" applyFont="1" applyFill="1"/>
    <xf numFmtId="10" fontId="18" fillId="2" borderId="0" xfId="4" applyNumberFormat="1" applyFont="1" applyFill="1" applyAlignment="1">
      <alignment horizontal="left" vertical="center" wrapText="1"/>
    </xf>
    <xf numFmtId="0" fontId="10" fillId="0" borderId="2" xfId="4" applyFont="1" applyBorder="1" applyAlignment="1">
      <alignment vertical="center" wrapText="1"/>
    </xf>
    <xf numFmtId="170" fontId="23" fillId="0" borderId="2" xfId="3" applyNumberFormat="1" applyFont="1" applyFill="1" applyBorder="1" applyAlignment="1">
      <alignment horizontal="center" vertical="center" wrapText="1"/>
    </xf>
    <xf numFmtId="0" fontId="10" fillId="0" borderId="2" xfId="4" applyFont="1" applyBorder="1" applyAlignment="1">
      <alignment horizontal="left" vertical="center" wrapText="1"/>
    </xf>
    <xf numFmtId="9" fontId="23" fillId="0" borderId="2" xfId="3" applyFont="1" applyFill="1" applyBorder="1" applyAlignment="1">
      <alignment horizontal="center" vertical="center" wrapText="1"/>
    </xf>
    <xf numFmtId="0" fontId="24" fillId="2" borderId="0" xfId="4" applyFont="1" applyFill="1"/>
    <xf numFmtId="0" fontId="28" fillId="2" borderId="0" xfId="4" applyFont="1" applyFill="1" applyAlignment="1">
      <alignment horizontal="center" vertical="center" wrapText="1"/>
    </xf>
    <xf numFmtId="0" fontId="25" fillId="2" borderId="0" xfId="4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9" fontId="0" fillId="0" borderId="2" xfId="2" applyNumberFormat="1" applyFont="1" applyBorder="1"/>
    <xf numFmtId="169" fontId="0" fillId="0" borderId="0" xfId="0" applyNumberFormat="1"/>
    <xf numFmtId="0" fontId="3" fillId="5" borderId="2" xfId="0" applyFont="1" applyFill="1" applyBorder="1" applyAlignment="1">
      <alignment horizontal="center" vertical="center"/>
    </xf>
    <xf numFmtId="0" fontId="3" fillId="5" borderId="2" xfId="0" applyFont="1" applyFill="1" applyBorder="1"/>
    <xf numFmtId="0" fontId="3" fillId="6" borderId="2" xfId="0" applyFont="1" applyFill="1" applyBorder="1" applyAlignment="1">
      <alignment horizontal="center" vertical="center"/>
    </xf>
    <xf numFmtId="0" fontId="3" fillId="6" borderId="2" xfId="0" applyFont="1" applyFill="1" applyBorder="1"/>
    <xf numFmtId="169" fontId="3" fillId="0" borderId="2" xfId="0" applyNumberFormat="1" applyFont="1" applyBorder="1"/>
    <xf numFmtId="169" fontId="0" fillId="0" borderId="2" xfId="2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172" fontId="1" fillId="0" borderId="0" xfId="6" applyNumberFormat="1" applyFont="1"/>
    <xf numFmtId="172" fontId="3" fillId="0" borderId="0" xfId="6" applyNumberFormat="1" applyFont="1"/>
    <xf numFmtId="172" fontId="3" fillId="0" borderId="8" xfId="6" applyNumberFormat="1" applyFont="1" applyBorder="1"/>
    <xf numFmtId="172" fontId="3" fillId="0" borderId="9" xfId="6" applyNumberFormat="1" applyFont="1" applyBorder="1"/>
    <xf numFmtId="172" fontId="3" fillId="0" borderId="10" xfId="6" applyNumberFormat="1" applyFont="1" applyBorder="1"/>
    <xf numFmtId="172" fontId="1" fillId="0" borderId="11" xfId="6" applyNumberFormat="1" applyFont="1" applyBorder="1"/>
    <xf numFmtId="172" fontId="1" fillId="0" borderId="12" xfId="6" applyNumberFormat="1" applyFont="1" applyBorder="1"/>
    <xf numFmtId="172" fontId="1" fillId="0" borderId="13" xfId="6" applyNumberFormat="1" applyFont="1" applyBorder="1"/>
    <xf numFmtId="172" fontId="1" fillId="0" borderId="14" xfId="6" applyNumberFormat="1" applyFont="1" applyBorder="1"/>
    <xf numFmtId="172" fontId="1" fillId="0" borderId="15" xfId="6" applyNumberFormat="1" applyFont="1" applyBorder="1"/>
    <xf numFmtId="172" fontId="1" fillId="0" borderId="16" xfId="6" applyNumberFormat="1" applyFont="1" applyBorder="1"/>
    <xf numFmtId="0" fontId="1" fillId="0" borderId="0" xfId="6" applyNumberFormat="1" applyFont="1"/>
    <xf numFmtId="172" fontId="1" fillId="0" borderId="18" xfId="6" applyNumberFormat="1" applyFont="1" applyFill="1" applyBorder="1"/>
    <xf numFmtId="172" fontId="1" fillId="0" borderId="2" xfId="6" applyNumberFormat="1" applyFont="1" applyFill="1" applyBorder="1"/>
    <xf numFmtId="172" fontId="1" fillId="0" borderId="19" xfId="6" applyNumberFormat="1" applyFont="1" applyBorder="1"/>
    <xf numFmtId="172" fontId="1" fillId="0" borderId="18" xfId="6" applyNumberFormat="1" applyFont="1" applyBorder="1"/>
    <xf numFmtId="172" fontId="1" fillId="0" borderId="2" xfId="6" applyNumberFormat="1" applyFont="1" applyBorder="1"/>
    <xf numFmtId="172" fontId="1" fillId="0" borderId="0" xfId="6" applyNumberFormat="1" applyFont="1" applyAlignment="1">
      <alignment horizontal="right"/>
    </xf>
    <xf numFmtId="172" fontId="1" fillId="0" borderId="20" xfId="6" applyNumberFormat="1" applyFont="1" applyBorder="1"/>
    <xf numFmtId="172" fontId="1" fillId="0" borderId="21" xfId="6" applyNumberFormat="1" applyFont="1" applyBorder="1"/>
    <xf numFmtId="172" fontId="32" fillId="5" borderId="0" xfId="6" applyNumberFormat="1" applyFont="1" applyFill="1" applyBorder="1"/>
    <xf numFmtId="172" fontId="32" fillId="5" borderId="23" xfId="6" applyNumberFormat="1" applyFont="1" applyFill="1" applyBorder="1"/>
    <xf numFmtId="172" fontId="32" fillId="5" borderId="5" xfId="6" applyNumberFormat="1" applyFont="1" applyFill="1" applyBorder="1"/>
    <xf numFmtId="172" fontId="32" fillId="5" borderId="6" xfId="6" applyNumberFormat="1" applyFont="1" applyFill="1" applyBorder="1"/>
    <xf numFmtId="172" fontId="32" fillId="5" borderId="7" xfId="6" applyNumberFormat="1" applyFont="1" applyFill="1" applyBorder="1"/>
    <xf numFmtId="172" fontId="1" fillId="0" borderId="0" xfId="6" applyNumberFormat="1" applyFont="1" applyBorder="1"/>
    <xf numFmtId="172" fontId="1" fillId="8" borderId="2" xfId="6" applyNumberFormat="1" applyFont="1" applyFill="1" applyBorder="1"/>
    <xf numFmtId="172" fontId="32" fillId="5" borderId="17" xfId="6" applyNumberFormat="1" applyFont="1" applyFill="1" applyBorder="1"/>
    <xf numFmtId="172" fontId="31" fillId="0" borderId="22" xfId="6" applyNumberFormat="1" applyFont="1" applyBorder="1" applyAlignment="1">
      <alignment horizontal="center" vertical="center" textRotation="90"/>
    </xf>
    <xf numFmtId="172" fontId="31" fillId="0" borderId="22" xfId="6" applyNumberFormat="1" applyFont="1" applyBorder="1" applyAlignment="1">
      <alignment horizontal="center" vertical="center" textRotation="90" wrapText="1"/>
    </xf>
    <xf numFmtId="172" fontId="31" fillId="8" borderId="24" xfId="6" applyNumberFormat="1" applyFont="1" applyFill="1" applyBorder="1"/>
    <xf numFmtId="172" fontId="30" fillId="8" borderId="25" xfId="6" applyNumberFormat="1" applyFont="1" applyFill="1" applyBorder="1"/>
    <xf numFmtId="172" fontId="1" fillId="2" borderId="18" xfId="6" applyNumberFormat="1" applyFont="1" applyFill="1" applyBorder="1"/>
    <xf numFmtId="172" fontId="1" fillId="2" borderId="2" xfId="6" applyNumberFormat="1" applyFont="1" applyFill="1" applyBorder="1"/>
    <xf numFmtId="172" fontId="1" fillId="2" borderId="19" xfId="6" applyNumberFormat="1" applyFont="1" applyFill="1" applyBorder="1"/>
    <xf numFmtId="9" fontId="0" fillId="0" borderId="0" xfId="7" applyFont="1" applyAlignment="1" applyProtection="1">
      <alignment horizontal="center"/>
      <protection hidden="1"/>
    </xf>
    <xf numFmtId="172" fontId="1" fillId="8" borderId="18" xfId="6" applyNumberFormat="1" applyFont="1" applyFill="1" applyBorder="1"/>
    <xf numFmtId="172" fontId="1" fillId="8" borderId="19" xfId="6" applyNumberFormat="1" applyFont="1" applyFill="1" applyBorder="1"/>
    <xf numFmtId="0" fontId="33" fillId="0" borderId="2" xfId="0" applyFont="1" applyBorder="1" applyAlignment="1">
      <alignment horizontal="center" vertical="center" wrapText="1"/>
    </xf>
    <xf numFmtId="169" fontId="3" fillId="5" borderId="2" xfId="0" applyNumberFormat="1" applyFont="1" applyFill="1" applyBorder="1" applyAlignment="1">
      <alignment horizontal="center" vertical="center"/>
    </xf>
    <xf numFmtId="169" fontId="3" fillId="6" borderId="2" xfId="0" applyNumberFormat="1" applyFont="1" applyFill="1" applyBorder="1" applyAlignment="1">
      <alignment horizontal="center" vertical="center"/>
    </xf>
    <xf numFmtId="172" fontId="3" fillId="5" borderId="2" xfId="6" applyNumberFormat="1" applyFont="1" applyFill="1" applyBorder="1" applyAlignment="1">
      <alignment horizontal="center" vertical="center"/>
    </xf>
    <xf numFmtId="9" fontId="1" fillId="0" borderId="0" xfId="3" applyFont="1"/>
    <xf numFmtId="172" fontId="1" fillId="0" borderId="2" xfId="6" applyNumberFormat="1" applyFont="1" applyBorder="1" applyAlignment="1">
      <alignment wrapText="1"/>
    </xf>
    <xf numFmtId="0" fontId="36" fillId="0" borderId="29" xfId="4" applyFont="1" applyBorder="1"/>
    <xf numFmtId="0" fontId="36" fillId="0" borderId="30" xfId="4" applyFont="1" applyBorder="1"/>
    <xf numFmtId="0" fontId="36" fillId="9" borderId="30" xfId="4" applyFont="1" applyFill="1" applyBorder="1" applyAlignment="1">
      <alignment vertical="top"/>
    </xf>
    <xf numFmtId="0" fontId="36" fillId="0" borderId="3" xfId="4" applyFont="1" applyBorder="1"/>
    <xf numFmtId="0" fontId="36" fillId="0" borderId="32" xfId="4" applyFont="1" applyBorder="1"/>
    <xf numFmtId="0" fontId="36" fillId="0" borderId="1" xfId="4" applyFont="1" applyBorder="1"/>
    <xf numFmtId="0" fontId="36" fillId="9" borderId="1" xfId="4" applyFont="1" applyFill="1" applyBorder="1" applyAlignment="1">
      <alignment vertical="top"/>
    </xf>
    <xf numFmtId="0" fontId="4" fillId="0" borderId="31" xfId="4" applyBorder="1"/>
    <xf numFmtId="0" fontId="40" fillId="0" borderId="31" xfId="4" applyFont="1" applyBorder="1"/>
    <xf numFmtId="0" fontId="4" fillId="0" borderId="1" xfId="4" applyBorder="1"/>
    <xf numFmtId="0" fontId="43" fillId="0" borderId="31" xfId="0" applyFont="1" applyBorder="1"/>
    <xf numFmtId="173" fontId="44" fillId="0" borderId="1" xfId="0" applyNumberFormat="1" applyFont="1" applyBorder="1" applyAlignment="1" applyProtection="1">
      <alignment horizontal="left"/>
      <protection locked="0"/>
    </xf>
    <xf numFmtId="0" fontId="0" fillId="0" borderId="17" xfId="0" applyBorder="1"/>
    <xf numFmtId="0" fontId="0" fillId="0" borderId="23" xfId="0" applyBorder="1"/>
    <xf numFmtId="0" fontId="35" fillId="0" borderId="17" xfId="0" applyFont="1" applyBorder="1" applyAlignment="1">
      <alignment vertical="center"/>
    </xf>
    <xf numFmtId="0" fontId="36" fillId="9" borderId="0" xfId="4" applyFont="1" applyFill="1" applyAlignment="1">
      <alignment vertical="top"/>
    </xf>
    <xf numFmtId="11" fontId="36" fillId="9" borderId="0" xfId="4" applyNumberFormat="1" applyFont="1" applyFill="1" applyAlignment="1">
      <alignment vertical="top"/>
    </xf>
    <xf numFmtId="0" fontId="4" fillId="0" borderId="23" xfId="4" applyBorder="1"/>
    <xf numFmtId="0" fontId="36" fillId="0" borderId="0" xfId="4" applyFont="1"/>
    <xf numFmtId="0" fontId="36" fillId="9" borderId="23" xfId="4" applyFont="1" applyFill="1" applyBorder="1" applyAlignment="1">
      <alignment vertical="top"/>
    </xf>
    <xf numFmtId="0" fontId="36" fillId="9" borderId="33" xfId="4" applyFont="1" applyFill="1" applyBorder="1" applyAlignment="1">
      <alignment vertical="top"/>
    </xf>
    <xf numFmtId="0" fontId="36" fillId="9" borderId="34" xfId="4" applyFont="1" applyFill="1" applyBorder="1" applyAlignment="1">
      <alignment vertical="top"/>
    </xf>
    <xf numFmtId="0" fontId="38" fillId="0" borderId="17" xfId="0" applyFont="1" applyBorder="1"/>
    <xf numFmtId="0" fontId="38" fillId="0" borderId="0" xfId="0" applyFont="1"/>
    <xf numFmtId="0" fontId="38" fillId="0" borderId="23" xfId="0" applyFont="1" applyBorder="1"/>
    <xf numFmtId="0" fontId="39" fillId="0" borderId="17" xfId="0" applyFont="1" applyBorder="1"/>
    <xf numFmtId="0" fontId="40" fillId="0" borderId="0" xfId="4" applyFont="1"/>
    <xf numFmtId="0" fontId="41" fillId="0" borderId="0" xfId="0" applyFont="1"/>
    <xf numFmtId="0" fontId="42" fillId="0" borderId="17" xfId="0" applyFont="1" applyBorder="1"/>
    <xf numFmtId="0" fontId="43" fillId="0" borderId="0" xfId="0" applyFont="1"/>
    <xf numFmtId="0" fontId="16" fillId="0" borderId="0" xfId="0" applyFont="1"/>
    <xf numFmtId="0" fontId="43" fillId="0" borderId="23" xfId="0" applyFont="1" applyBorder="1"/>
    <xf numFmtId="0" fontId="41" fillId="0" borderId="17" xfId="4" applyFont="1" applyBorder="1"/>
    <xf numFmtId="0" fontId="41" fillId="0" borderId="0" xfId="4" applyFont="1"/>
    <xf numFmtId="0" fontId="16" fillId="0" borderId="17" xfId="4" applyFont="1" applyBorder="1"/>
    <xf numFmtId="0" fontId="16" fillId="0" borderId="0" xfId="4" applyFont="1"/>
    <xf numFmtId="0" fontId="4" fillId="0" borderId="17" xfId="4" applyBorder="1"/>
    <xf numFmtId="0" fontId="39" fillId="0" borderId="0" xfId="0" applyFont="1" applyAlignment="1">
      <alignment horizontal="right"/>
    </xf>
    <xf numFmtId="0" fontId="39" fillId="0" borderId="0" xfId="0" applyFont="1"/>
    <xf numFmtId="0" fontId="38" fillId="0" borderId="35" xfId="0" applyFont="1" applyBorder="1"/>
    <xf numFmtId="0" fontId="38" fillId="0" borderId="24" xfId="0" applyFont="1" applyBorder="1"/>
    <xf numFmtId="0" fontId="4" fillId="0" borderId="24" xfId="4" applyBorder="1"/>
    <xf numFmtId="0" fontId="4" fillId="0" borderId="36" xfId="4" applyBorder="1"/>
    <xf numFmtId="0" fontId="38" fillId="0" borderId="25" xfId="0" applyFont="1" applyBorder="1"/>
    <xf numFmtId="0" fontId="3" fillId="0" borderId="0" xfId="0" applyFont="1"/>
    <xf numFmtId="172" fontId="3" fillId="5" borderId="2" xfId="6" applyNumberFormat="1" applyFont="1" applyFill="1" applyBorder="1"/>
    <xf numFmtId="172" fontId="3" fillId="5" borderId="8" xfId="6" applyNumberFormat="1" applyFont="1" applyFill="1" applyBorder="1"/>
    <xf numFmtId="172" fontId="3" fillId="5" borderId="10" xfId="6" applyNumberFormat="1" applyFont="1" applyFill="1" applyBorder="1"/>
    <xf numFmtId="172" fontId="3" fillId="0" borderId="0" xfId="6" applyNumberFormat="1" applyFont="1" applyBorder="1"/>
    <xf numFmtId="171" fontId="3" fillId="6" borderId="27" xfId="6" applyFont="1" applyFill="1" applyBorder="1"/>
    <xf numFmtId="172" fontId="1" fillId="0" borderId="37" xfId="6" applyNumberFormat="1" applyFont="1" applyBorder="1"/>
    <xf numFmtId="172" fontId="1" fillId="0" borderId="28" xfId="6" applyNumberFormat="1" applyFont="1" applyBorder="1"/>
    <xf numFmtId="172" fontId="1" fillId="0" borderId="38" xfId="6" applyNumberFormat="1" applyFont="1" applyBorder="1"/>
    <xf numFmtId="172" fontId="1" fillId="0" borderId="39" xfId="6" applyNumberFormat="1" applyFont="1" applyBorder="1"/>
    <xf numFmtId="172" fontId="1" fillId="0" borderId="4" xfId="6" applyNumberFormat="1" applyFont="1" applyBorder="1"/>
    <xf numFmtId="172" fontId="1" fillId="0" borderId="40" xfId="6" applyNumberFormat="1" applyFont="1" applyBorder="1"/>
    <xf numFmtId="172" fontId="32" fillId="5" borderId="12" xfId="6" applyNumberFormat="1" applyFont="1" applyFill="1" applyBorder="1"/>
    <xf numFmtId="172" fontId="32" fillId="5" borderId="13" xfId="6" applyNumberFormat="1" applyFont="1" applyFill="1" applyBorder="1"/>
    <xf numFmtId="172" fontId="0" fillId="0" borderId="2" xfId="6" applyNumberFormat="1" applyFont="1" applyBorder="1"/>
    <xf numFmtId="172" fontId="0" fillId="2" borderId="2" xfId="6" applyNumberFormat="1" applyFont="1" applyFill="1" applyBorder="1"/>
    <xf numFmtId="172" fontId="31" fillId="0" borderId="17" xfId="6" applyNumberFormat="1" applyFont="1" applyBorder="1" applyAlignment="1">
      <alignment horizontal="center" vertical="center" textRotation="90" wrapText="1"/>
    </xf>
    <xf numFmtId="172" fontId="1" fillId="0" borderId="19" xfId="6" applyNumberFormat="1" applyFont="1" applyFill="1" applyBorder="1"/>
    <xf numFmtId="172" fontId="0" fillId="0" borderId="2" xfId="6" applyNumberFormat="1" applyFont="1" applyBorder="1" applyAlignment="1">
      <alignment wrapText="1"/>
    </xf>
    <xf numFmtId="172" fontId="0" fillId="0" borderId="41" xfId="6" applyNumberFormat="1" applyFont="1" applyBorder="1"/>
    <xf numFmtId="172" fontId="1" fillId="0" borderId="41" xfId="6" applyNumberFormat="1" applyFont="1" applyBorder="1"/>
    <xf numFmtId="172" fontId="1" fillId="0" borderId="43" xfId="6" applyNumberFormat="1" applyFont="1" applyFill="1" applyBorder="1"/>
    <xf numFmtId="172" fontId="1" fillId="0" borderId="44" xfId="6" applyNumberFormat="1" applyFont="1" applyBorder="1"/>
    <xf numFmtId="172" fontId="1" fillId="0" borderId="2" xfId="6" applyNumberFormat="1" applyFont="1" applyBorder="1" applyAlignment="1">
      <alignment vertical="center"/>
    </xf>
    <xf numFmtId="172" fontId="1" fillId="0" borderId="2" xfId="6" applyNumberFormat="1" applyFont="1" applyFill="1" applyBorder="1" applyAlignment="1">
      <alignment vertical="center"/>
    </xf>
    <xf numFmtId="172" fontId="1" fillId="0" borderId="19" xfId="6" applyNumberFormat="1" applyFont="1" applyBorder="1" applyAlignment="1">
      <alignment vertical="center"/>
    </xf>
    <xf numFmtId="172" fontId="1" fillId="0" borderId="0" xfId="6" applyNumberFormat="1" applyFont="1" applyAlignment="1">
      <alignment vertical="center"/>
    </xf>
    <xf numFmtId="172" fontId="1" fillId="0" borderId="18" xfId="6" applyNumberFormat="1" applyFont="1" applyBorder="1" applyAlignment="1">
      <alignment vertical="center"/>
    </xf>
    <xf numFmtId="172" fontId="0" fillId="0" borderId="2" xfId="6" applyNumberFormat="1" applyFont="1" applyBorder="1" applyAlignment="1">
      <alignment vertical="center" wrapText="1"/>
    </xf>
    <xf numFmtId="172" fontId="1" fillId="0" borderId="2" xfId="6" applyNumberFormat="1" applyFont="1" applyBorder="1" applyAlignment="1">
      <alignment horizontal="left" vertical="center"/>
    </xf>
    <xf numFmtId="172" fontId="3" fillId="0" borderId="0" xfId="6" applyNumberFormat="1" applyFont="1" applyFill="1" applyBorder="1" applyAlignment="1">
      <alignment horizontal="left" vertical="center" wrapText="1"/>
    </xf>
    <xf numFmtId="172" fontId="0" fillId="0" borderId="41" xfId="6" applyNumberFormat="1" applyFont="1" applyBorder="1" applyAlignment="1">
      <alignment wrapText="1"/>
    </xf>
    <xf numFmtId="172" fontId="1" fillId="0" borderId="0" xfId="6" applyNumberFormat="1" applyFont="1" applyAlignment="1">
      <alignment horizontal="center"/>
    </xf>
    <xf numFmtId="172" fontId="32" fillId="5" borderId="45" xfId="6" applyNumberFormat="1" applyFont="1" applyFill="1" applyBorder="1"/>
    <xf numFmtId="172" fontId="3" fillId="0" borderId="8" xfId="6" applyNumberFormat="1" applyFont="1" applyBorder="1" applyAlignment="1">
      <alignment horizontal="center"/>
    </xf>
    <xf numFmtId="172" fontId="3" fillId="0" borderId="9" xfId="6" applyNumberFormat="1" applyFont="1" applyBorder="1" applyAlignment="1">
      <alignment horizontal="center"/>
    </xf>
    <xf numFmtId="172" fontId="3" fillId="0" borderId="10" xfId="6" applyNumberFormat="1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3" fillId="8" borderId="2" xfId="0" applyFont="1" applyFill="1" applyBorder="1"/>
    <xf numFmtId="169" fontId="0" fillId="8" borderId="2" xfId="2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45" fillId="0" borderId="31" xfId="0" applyFont="1" applyBorder="1" applyAlignment="1">
      <alignment textRotation="255"/>
    </xf>
    <xf numFmtId="0" fontId="3" fillId="10" borderId="2" xfId="0" applyFont="1" applyFill="1" applyBorder="1"/>
    <xf numFmtId="169" fontId="0" fillId="10" borderId="2" xfId="0" applyNumberFormat="1" applyFill="1" applyBorder="1"/>
    <xf numFmtId="0" fontId="3" fillId="10" borderId="2" xfId="0" applyFont="1" applyFill="1" applyBorder="1" applyAlignment="1">
      <alignment wrapText="1"/>
    </xf>
    <xf numFmtId="171" fontId="1" fillId="0" borderId="0" xfId="6" applyNumberFormat="1" applyFont="1"/>
    <xf numFmtId="171" fontId="3" fillId="0" borderId="2" xfId="6" applyNumberFormat="1" applyFont="1" applyBorder="1"/>
    <xf numFmtId="0" fontId="3" fillId="0" borderId="2" xfId="0" applyFont="1" applyBorder="1" applyAlignment="1">
      <alignment horizontal="center"/>
    </xf>
    <xf numFmtId="0" fontId="29" fillId="0" borderId="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0" fillId="5" borderId="2" xfId="0" applyFont="1" applyFill="1" applyBorder="1" applyAlignment="1">
      <alignment horizontal="center"/>
    </xf>
    <xf numFmtId="172" fontId="31" fillId="0" borderId="2" xfId="6" applyNumberFormat="1" applyFont="1" applyBorder="1" applyAlignment="1">
      <alignment horizontal="center" vertical="center" textRotation="90" wrapText="1"/>
    </xf>
    <xf numFmtId="172" fontId="3" fillId="0" borderId="0" xfId="6" applyNumberFormat="1" applyFont="1" applyAlignment="1">
      <alignment horizontal="center"/>
    </xf>
    <xf numFmtId="172" fontId="30" fillId="7" borderId="5" xfId="6" applyNumberFormat="1" applyFont="1" applyFill="1" applyBorder="1" applyAlignment="1">
      <alignment horizontal="center"/>
    </xf>
    <xf numFmtId="172" fontId="30" fillId="7" borderId="6" xfId="6" applyNumberFormat="1" applyFont="1" applyFill="1" applyBorder="1" applyAlignment="1">
      <alignment horizontal="center"/>
    </xf>
    <xf numFmtId="172" fontId="30" fillId="7" borderId="7" xfId="6" applyNumberFormat="1" applyFont="1" applyFill="1" applyBorder="1" applyAlignment="1">
      <alignment horizontal="center"/>
    </xf>
    <xf numFmtId="172" fontId="31" fillId="0" borderId="26" xfId="6" applyNumberFormat="1" applyFont="1" applyBorder="1" applyAlignment="1">
      <alignment horizontal="center" vertical="center" textRotation="90"/>
    </xf>
    <xf numFmtId="172" fontId="31" fillId="0" borderId="22" xfId="6" applyNumberFormat="1" applyFont="1" applyBorder="1" applyAlignment="1">
      <alignment horizontal="center" vertical="center" textRotation="90"/>
    </xf>
    <xf numFmtId="172" fontId="32" fillId="0" borderId="26" xfId="6" applyNumberFormat="1" applyFont="1" applyBorder="1" applyAlignment="1">
      <alignment horizontal="center" vertical="center" textRotation="90" wrapText="1"/>
    </xf>
    <xf numFmtId="172" fontId="32" fillId="0" borderId="22" xfId="6" applyNumberFormat="1" applyFont="1" applyBorder="1" applyAlignment="1">
      <alignment horizontal="center" vertical="center" textRotation="90" wrapText="1"/>
    </xf>
    <xf numFmtId="172" fontId="32" fillId="0" borderId="29" xfId="6" applyNumberFormat="1" applyFont="1" applyBorder="1" applyAlignment="1">
      <alignment horizontal="center" vertical="center" textRotation="90" wrapText="1"/>
    </xf>
    <xf numFmtId="172" fontId="32" fillId="0" borderId="3" xfId="6" applyNumberFormat="1" applyFont="1" applyBorder="1" applyAlignment="1">
      <alignment horizontal="center" vertical="center" textRotation="90" wrapText="1"/>
    </xf>
    <xf numFmtId="172" fontId="32" fillId="0" borderId="32" xfId="6" applyNumberFormat="1" applyFont="1" applyBorder="1" applyAlignment="1">
      <alignment horizontal="center" vertical="center" textRotation="90" wrapText="1"/>
    </xf>
    <xf numFmtId="172" fontId="3" fillId="0" borderId="12" xfId="6" applyNumberFormat="1" applyFont="1" applyBorder="1" applyAlignment="1">
      <alignment horizontal="center" vertical="center" textRotation="90"/>
    </xf>
    <xf numFmtId="172" fontId="3" fillId="0" borderId="0" xfId="6" applyNumberFormat="1" applyFont="1" applyBorder="1" applyAlignment="1">
      <alignment horizontal="center" vertical="center" textRotation="90"/>
    </xf>
    <xf numFmtId="172" fontId="3" fillId="0" borderId="24" xfId="6" applyNumberFormat="1" applyFont="1" applyBorder="1" applyAlignment="1">
      <alignment horizontal="center" vertical="center" textRotation="90"/>
    </xf>
    <xf numFmtId="172" fontId="32" fillId="0" borderId="13" xfId="6" applyNumberFormat="1" applyFont="1" applyBorder="1" applyAlignment="1">
      <alignment horizontal="center" vertical="center" textRotation="90" wrapText="1"/>
    </xf>
    <xf numFmtId="172" fontId="32" fillId="0" borderId="23" xfId="6" applyNumberFormat="1" applyFont="1" applyBorder="1" applyAlignment="1">
      <alignment horizontal="center" vertical="center" textRotation="90" wrapText="1"/>
    </xf>
    <xf numFmtId="172" fontId="32" fillId="0" borderId="34" xfId="6" applyNumberFormat="1" applyFont="1" applyBorder="1" applyAlignment="1">
      <alignment horizontal="center" vertical="center" textRotation="90" wrapText="1"/>
    </xf>
    <xf numFmtId="172" fontId="30" fillId="7" borderId="5" xfId="6" applyNumberFormat="1" applyFont="1" applyFill="1" applyBorder="1" applyAlignment="1">
      <alignment horizontal="center" vertical="center"/>
    </xf>
    <xf numFmtId="172" fontId="30" fillId="7" borderId="6" xfId="6" applyNumberFormat="1" applyFont="1" applyFill="1" applyBorder="1" applyAlignment="1">
      <alignment horizontal="center" vertical="center"/>
    </xf>
    <xf numFmtId="172" fontId="30" fillId="7" borderId="7" xfId="6" applyNumberFormat="1" applyFont="1" applyFill="1" applyBorder="1" applyAlignment="1">
      <alignment horizontal="center" vertical="center"/>
    </xf>
    <xf numFmtId="172" fontId="3" fillId="5" borderId="2" xfId="6" applyNumberFormat="1" applyFont="1" applyFill="1" applyBorder="1" applyAlignment="1">
      <alignment horizontal="left" vertical="center" wrapText="1"/>
    </xf>
    <xf numFmtId="172" fontId="32" fillId="0" borderId="4" xfId="6" applyNumberFormat="1" applyFont="1" applyBorder="1" applyAlignment="1">
      <alignment horizontal="center" vertical="center" textRotation="90" wrapText="1"/>
    </xf>
    <xf numFmtId="172" fontId="32" fillId="0" borderId="41" xfId="6" applyNumberFormat="1" applyFont="1" applyBorder="1" applyAlignment="1">
      <alignment horizontal="center" vertical="center" textRotation="90" wrapText="1"/>
    </xf>
    <xf numFmtId="172" fontId="32" fillId="0" borderId="42" xfId="6" applyNumberFormat="1" applyFont="1" applyBorder="1" applyAlignment="1">
      <alignment horizontal="center" vertical="center" textRotation="90" wrapText="1"/>
    </xf>
    <xf numFmtId="0" fontId="10" fillId="0" borderId="2" xfId="4" applyFont="1" applyBorder="1" applyAlignment="1">
      <alignment horizontal="left" vertical="center" wrapText="1"/>
    </xf>
    <xf numFmtId="0" fontId="19" fillId="4" borderId="0" xfId="4" applyFont="1" applyFill="1" applyAlignment="1">
      <alignment horizontal="center" vertical="center" wrapText="1"/>
    </xf>
    <xf numFmtId="0" fontId="2" fillId="3" borderId="2" xfId="4" applyFont="1" applyFill="1" applyBorder="1" applyAlignment="1">
      <alignment horizontal="center" vertical="center" wrapText="1"/>
    </xf>
    <xf numFmtId="0" fontId="22" fillId="2" borderId="0" xfId="5" applyFill="1" applyAlignment="1">
      <alignment horizontal="center" wrapText="1"/>
    </xf>
    <xf numFmtId="0" fontId="5" fillId="2" borderId="0" xfId="4" applyFont="1" applyFill="1" applyAlignment="1">
      <alignment horizontal="center" vertical="center" wrapText="1"/>
    </xf>
    <xf numFmtId="0" fontId="7" fillId="2" borderId="0" xfId="4" applyFont="1" applyFill="1" applyAlignment="1">
      <alignment horizontal="center" vertical="center"/>
    </xf>
    <xf numFmtId="0" fontId="8" fillId="3" borderId="0" xfId="4" applyFont="1" applyFill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 wrapText="1"/>
    </xf>
    <xf numFmtId="0" fontId="34" fillId="3" borderId="17" xfId="0" applyFont="1" applyFill="1" applyBorder="1" applyAlignment="1">
      <alignment horizontal="left"/>
    </xf>
    <xf numFmtId="0" fontId="34" fillId="3" borderId="0" xfId="0" applyFont="1" applyFill="1" applyAlignment="1">
      <alignment horizontal="left"/>
    </xf>
    <xf numFmtId="0" fontId="34" fillId="3" borderId="23" xfId="0" applyFont="1" applyFill="1" applyBorder="1" applyAlignment="1">
      <alignment horizontal="left"/>
    </xf>
    <xf numFmtId="0" fontId="44" fillId="0" borderId="1" xfId="0" applyFont="1" applyBorder="1" applyAlignment="1" applyProtection="1">
      <alignment horizontal="left"/>
      <protection locked="0"/>
    </xf>
    <xf numFmtId="0" fontId="34" fillId="3" borderId="17" xfId="0" applyFont="1" applyFill="1" applyBorder="1" applyAlignment="1">
      <alignment horizontal="center" vertical="center" wrapText="1"/>
    </xf>
    <xf numFmtId="0" fontId="34" fillId="3" borderId="0" xfId="0" applyFont="1" applyFill="1" applyAlignment="1">
      <alignment horizontal="center" vertical="center" wrapText="1"/>
    </xf>
    <xf numFmtId="0" fontId="34" fillId="3" borderId="23" xfId="0" applyFont="1" applyFill="1" applyBorder="1" applyAlignment="1">
      <alignment horizontal="center" vertical="center" wrapText="1"/>
    </xf>
  </cellXfs>
  <cellStyles count="8">
    <cellStyle name="Hipervínculo" xfId="5" builtinId="8"/>
    <cellStyle name="Millares" xfId="1" builtinId="3"/>
    <cellStyle name="Millares 2" xfId="6" xr:uid="{679EFF9E-1C04-45D4-B799-45A56CCD6F97}"/>
    <cellStyle name="Moneda" xfId="2" builtinId="4"/>
    <cellStyle name="Normal" xfId="0" builtinId="0"/>
    <cellStyle name="Normal 2" xfId="4" xr:uid="{7C372009-38A1-4E9B-A3AB-69C9092653BB}"/>
    <cellStyle name="Porcentaje" xfId="3" builtinId="5"/>
    <cellStyle name="Porcentaje 2" xfId="7" xr:uid="{30415B25-0F91-44B2-A3C7-550B5C9794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393581</xdr:colOff>
          <xdr:row>5</xdr:row>
          <xdr:rowOff>125376</xdr:rowOff>
        </xdr:from>
        <xdr:to>
          <xdr:col>7</xdr:col>
          <xdr:colOff>390423</xdr:colOff>
          <xdr:row>7</xdr:row>
          <xdr:rowOff>12663</xdr:rowOff>
        </xdr:to>
        <xdr:grpSp>
          <xdr:nvGrpSpPr>
            <xdr:cNvPr id="2" name="Group 5">
              <a:extLst>
                <a:ext uri="{FF2B5EF4-FFF2-40B4-BE49-F238E27FC236}">
                  <a16:creationId xmlns:a16="http://schemas.microsoft.com/office/drawing/2014/main" id="{00000000-0008-0000-0700-000002000000}"/>
                </a:ext>
              </a:extLst>
            </xdr:cNvPr>
            <xdr:cNvGrpSpPr/>
          </xdr:nvGrpSpPr>
          <xdr:grpSpPr>
            <a:xfrm>
              <a:off x="4203581" y="1192157"/>
              <a:ext cx="1520842" cy="268287"/>
              <a:chOff x="4735511" y="17206760"/>
              <a:chExt cx="1520842" cy="196850"/>
            </a:xfrm>
          </xdr:grpSpPr>
          <xdr:sp macro="" textlink="">
            <xdr:nvSpPr>
              <xdr:cNvPr id="10241" name="Check Box 1" descr="3" hidden="1">
                <a:extLst>
                  <a:ext uri="{63B3BB69-23CF-44E3-9099-C40C66FF867C}">
                    <a14:compatExt spid="_x0000_s10241"/>
                  </a:ext>
                  <a:ext uri="{FF2B5EF4-FFF2-40B4-BE49-F238E27FC236}">
                    <a16:creationId xmlns:a16="http://schemas.microsoft.com/office/drawing/2014/main" id="{00000000-0008-0000-0700-000001280000}"/>
                  </a:ext>
                </a:extLst>
              </xdr:cNvPr>
              <xdr:cNvSpPr/>
            </xdr:nvSpPr>
            <xdr:spPr bwMode="auto">
              <a:xfrm>
                <a:off x="4735511" y="17206913"/>
                <a:ext cx="368300" cy="1936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CO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</a:t>
                </a:r>
              </a:p>
            </xdr:txBody>
          </xdr:sp>
          <xdr:sp macro="" textlink="">
            <xdr:nvSpPr>
              <xdr:cNvPr id="10242" name="Check Box 2" descr="3" hidden="1">
                <a:extLst>
                  <a:ext uri="{63B3BB69-23CF-44E3-9099-C40C66FF867C}">
                    <a14:compatExt spid="_x0000_s10242"/>
                  </a:ext>
                  <a:ext uri="{FF2B5EF4-FFF2-40B4-BE49-F238E27FC236}">
                    <a16:creationId xmlns:a16="http://schemas.microsoft.com/office/drawing/2014/main" id="{00000000-0008-0000-0700-000002280000}"/>
                  </a:ext>
                </a:extLst>
              </xdr:cNvPr>
              <xdr:cNvSpPr/>
            </xdr:nvSpPr>
            <xdr:spPr bwMode="auto">
              <a:xfrm>
                <a:off x="5020472" y="17206913"/>
                <a:ext cx="371475" cy="1936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CO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2</a:t>
                </a:r>
              </a:p>
            </xdr:txBody>
          </xdr:sp>
          <xdr:sp macro="" textlink="">
            <xdr:nvSpPr>
              <xdr:cNvPr id="10243" name="Check Box 3" descr="3" hidden="1">
                <a:extLst>
                  <a:ext uri="{63B3BB69-23CF-44E3-9099-C40C66FF867C}">
                    <a14:compatExt spid="_x0000_s10243"/>
                  </a:ext>
                  <a:ext uri="{FF2B5EF4-FFF2-40B4-BE49-F238E27FC236}">
                    <a16:creationId xmlns:a16="http://schemas.microsoft.com/office/drawing/2014/main" id="{00000000-0008-0000-0700-000003280000}"/>
                  </a:ext>
                </a:extLst>
              </xdr:cNvPr>
              <xdr:cNvSpPr/>
            </xdr:nvSpPr>
            <xdr:spPr bwMode="auto">
              <a:xfrm>
                <a:off x="5308608" y="17206913"/>
                <a:ext cx="371475" cy="1936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CO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3</a:t>
                </a:r>
              </a:p>
            </xdr:txBody>
          </xdr:sp>
          <xdr:sp macro="" textlink="">
            <xdr:nvSpPr>
              <xdr:cNvPr id="10244" name="Check Box 4" descr="3" hidden="1">
                <a:extLst>
                  <a:ext uri="{63B3BB69-23CF-44E3-9099-C40C66FF867C}">
                    <a14:compatExt spid="_x0000_s10244"/>
                  </a:ext>
                  <a:ext uri="{FF2B5EF4-FFF2-40B4-BE49-F238E27FC236}">
                    <a16:creationId xmlns:a16="http://schemas.microsoft.com/office/drawing/2014/main" id="{00000000-0008-0000-0700-000004280000}"/>
                  </a:ext>
                </a:extLst>
              </xdr:cNvPr>
              <xdr:cNvSpPr/>
            </xdr:nvSpPr>
            <xdr:spPr bwMode="auto">
              <a:xfrm>
                <a:off x="5596744" y="17206913"/>
                <a:ext cx="371475" cy="1936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CO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4</a:t>
                </a:r>
              </a:p>
            </xdr:txBody>
          </xdr:sp>
          <xdr:sp macro="" textlink="">
            <xdr:nvSpPr>
              <xdr:cNvPr id="10245" name="Check Box 5" descr="3" hidden="1">
                <a:extLst>
                  <a:ext uri="{63B3BB69-23CF-44E3-9099-C40C66FF867C}">
                    <a14:compatExt spid="_x0000_s10245"/>
                  </a:ext>
                  <a:ext uri="{FF2B5EF4-FFF2-40B4-BE49-F238E27FC236}">
                    <a16:creationId xmlns:a16="http://schemas.microsoft.com/office/drawing/2014/main" id="{00000000-0008-0000-0700-000005280000}"/>
                  </a:ext>
                </a:extLst>
              </xdr:cNvPr>
              <xdr:cNvSpPr/>
            </xdr:nvSpPr>
            <xdr:spPr bwMode="auto">
              <a:xfrm>
                <a:off x="5884878" y="17206760"/>
                <a:ext cx="371475" cy="1968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CO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5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393581</xdr:colOff>
          <xdr:row>7</xdr:row>
          <xdr:rowOff>142206</xdr:rowOff>
        </xdr:from>
        <xdr:to>
          <xdr:col>7</xdr:col>
          <xdr:colOff>390423</xdr:colOff>
          <xdr:row>9</xdr:row>
          <xdr:rowOff>21556</xdr:rowOff>
        </xdr:to>
        <xdr:grpSp>
          <xdr:nvGrpSpPr>
            <xdr:cNvPr id="8" name="Group 54">
              <a:extLst>
                <a:ext uri="{FF2B5EF4-FFF2-40B4-BE49-F238E27FC236}">
                  <a16:creationId xmlns:a16="http://schemas.microsoft.com/office/drawing/2014/main" id="{00000000-0008-0000-0700-000008000000}"/>
                </a:ext>
              </a:extLst>
            </xdr:cNvPr>
            <xdr:cNvGrpSpPr/>
          </xdr:nvGrpSpPr>
          <xdr:grpSpPr>
            <a:xfrm>
              <a:off x="4203581" y="1589989"/>
              <a:ext cx="1520842" cy="260350"/>
              <a:chOff x="4735511" y="17206718"/>
              <a:chExt cx="1520842" cy="196850"/>
            </a:xfrm>
          </xdr:grpSpPr>
          <xdr:sp macro="" textlink="">
            <xdr:nvSpPr>
              <xdr:cNvPr id="10246" name="Check Box 6" descr="3" hidden="1">
                <a:extLst>
                  <a:ext uri="{63B3BB69-23CF-44E3-9099-C40C66FF867C}">
                    <a14:compatExt spid="_x0000_s10246"/>
                  </a:ext>
                  <a:ext uri="{FF2B5EF4-FFF2-40B4-BE49-F238E27FC236}">
                    <a16:creationId xmlns:a16="http://schemas.microsoft.com/office/drawing/2014/main" id="{00000000-0008-0000-0700-000006280000}"/>
                  </a:ext>
                </a:extLst>
              </xdr:cNvPr>
              <xdr:cNvSpPr/>
            </xdr:nvSpPr>
            <xdr:spPr bwMode="auto">
              <a:xfrm>
                <a:off x="4735511" y="17206913"/>
                <a:ext cx="368300" cy="1936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CO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</a:t>
                </a:r>
              </a:p>
            </xdr:txBody>
          </xdr:sp>
          <xdr:sp macro="" textlink="">
            <xdr:nvSpPr>
              <xdr:cNvPr id="10247" name="Check Box 7" descr="3" hidden="1">
                <a:extLst>
                  <a:ext uri="{63B3BB69-23CF-44E3-9099-C40C66FF867C}">
                    <a14:compatExt spid="_x0000_s10247"/>
                  </a:ext>
                  <a:ext uri="{FF2B5EF4-FFF2-40B4-BE49-F238E27FC236}">
                    <a16:creationId xmlns:a16="http://schemas.microsoft.com/office/drawing/2014/main" id="{00000000-0008-0000-0700-000007280000}"/>
                  </a:ext>
                </a:extLst>
              </xdr:cNvPr>
              <xdr:cNvSpPr/>
            </xdr:nvSpPr>
            <xdr:spPr bwMode="auto">
              <a:xfrm>
                <a:off x="5020472" y="17206913"/>
                <a:ext cx="371475" cy="1936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CO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2</a:t>
                </a:r>
              </a:p>
            </xdr:txBody>
          </xdr:sp>
          <xdr:sp macro="" textlink="">
            <xdr:nvSpPr>
              <xdr:cNvPr id="10248" name="Check Box 8" descr="3" hidden="1">
                <a:extLst>
                  <a:ext uri="{63B3BB69-23CF-44E3-9099-C40C66FF867C}">
                    <a14:compatExt spid="_x0000_s10248"/>
                  </a:ext>
                  <a:ext uri="{FF2B5EF4-FFF2-40B4-BE49-F238E27FC236}">
                    <a16:creationId xmlns:a16="http://schemas.microsoft.com/office/drawing/2014/main" id="{00000000-0008-0000-0700-000008280000}"/>
                  </a:ext>
                </a:extLst>
              </xdr:cNvPr>
              <xdr:cNvSpPr/>
            </xdr:nvSpPr>
            <xdr:spPr bwMode="auto">
              <a:xfrm>
                <a:off x="5308608" y="17206913"/>
                <a:ext cx="371475" cy="1936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CO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3</a:t>
                </a:r>
              </a:p>
            </xdr:txBody>
          </xdr:sp>
          <xdr:sp macro="" textlink="">
            <xdr:nvSpPr>
              <xdr:cNvPr id="10249" name="Check Box 9" descr="3" hidden="1">
                <a:extLst>
                  <a:ext uri="{63B3BB69-23CF-44E3-9099-C40C66FF867C}">
                    <a14:compatExt spid="_x0000_s10249"/>
                  </a:ext>
                  <a:ext uri="{FF2B5EF4-FFF2-40B4-BE49-F238E27FC236}">
                    <a16:creationId xmlns:a16="http://schemas.microsoft.com/office/drawing/2014/main" id="{00000000-0008-0000-0700-000009280000}"/>
                  </a:ext>
                </a:extLst>
              </xdr:cNvPr>
              <xdr:cNvSpPr/>
            </xdr:nvSpPr>
            <xdr:spPr bwMode="auto">
              <a:xfrm>
                <a:off x="5596744" y="17206913"/>
                <a:ext cx="371475" cy="1936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CO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4</a:t>
                </a:r>
              </a:p>
            </xdr:txBody>
          </xdr:sp>
          <xdr:sp macro="" textlink="">
            <xdr:nvSpPr>
              <xdr:cNvPr id="10250" name="Check Box 10" descr="3" hidden="1">
                <a:extLst>
                  <a:ext uri="{63B3BB69-23CF-44E3-9099-C40C66FF867C}">
                    <a14:compatExt spid="_x0000_s10250"/>
                  </a:ext>
                  <a:ext uri="{FF2B5EF4-FFF2-40B4-BE49-F238E27FC236}">
                    <a16:creationId xmlns:a16="http://schemas.microsoft.com/office/drawing/2014/main" id="{00000000-0008-0000-0700-00000A280000}"/>
                  </a:ext>
                </a:extLst>
              </xdr:cNvPr>
              <xdr:cNvSpPr/>
            </xdr:nvSpPr>
            <xdr:spPr bwMode="auto">
              <a:xfrm>
                <a:off x="5884878" y="17206718"/>
                <a:ext cx="371475" cy="1968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CO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5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393581</xdr:colOff>
          <xdr:row>8</xdr:row>
          <xdr:rowOff>146651</xdr:rowOff>
        </xdr:from>
        <xdr:to>
          <xdr:col>7</xdr:col>
          <xdr:colOff>390423</xdr:colOff>
          <xdr:row>10</xdr:row>
          <xdr:rowOff>26001</xdr:rowOff>
        </xdr:to>
        <xdr:grpSp>
          <xdr:nvGrpSpPr>
            <xdr:cNvPr id="14" name="Group 60">
              <a:extLst>
                <a:ext uri="{FF2B5EF4-FFF2-40B4-BE49-F238E27FC236}">
                  <a16:creationId xmlns:a16="http://schemas.microsoft.com/office/drawing/2014/main" id="{00000000-0008-0000-0700-00000E000000}"/>
                </a:ext>
              </a:extLst>
            </xdr:cNvPr>
            <xdr:cNvGrpSpPr/>
          </xdr:nvGrpSpPr>
          <xdr:grpSpPr>
            <a:xfrm>
              <a:off x="4203581" y="1784934"/>
              <a:ext cx="1520842" cy="260350"/>
              <a:chOff x="4735511" y="17206718"/>
              <a:chExt cx="1520842" cy="196850"/>
            </a:xfrm>
          </xdr:grpSpPr>
          <xdr:sp macro="" textlink="">
            <xdr:nvSpPr>
              <xdr:cNvPr id="10251" name="Check Box 11" descr="3" hidden="1">
                <a:extLst>
                  <a:ext uri="{63B3BB69-23CF-44E3-9099-C40C66FF867C}">
                    <a14:compatExt spid="_x0000_s10251"/>
                  </a:ext>
                  <a:ext uri="{FF2B5EF4-FFF2-40B4-BE49-F238E27FC236}">
                    <a16:creationId xmlns:a16="http://schemas.microsoft.com/office/drawing/2014/main" id="{00000000-0008-0000-0700-00000B280000}"/>
                  </a:ext>
                </a:extLst>
              </xdr:cNvPr>
              <xdr:cNvSpPr/>
            </xdr:nvSpPr>
            <xdr:spPr bwMode="auto">
              <a:xfrm>
                <a:off x="4735511" y="17206913"/>
                <a:ext cx="368300" cy="1936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CO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</a:t>
                </a:r>
              </a:p>
            </xdr:txBody>
          </xdr:sp>
          <xdr:sp macro="" textlink="">
            <xdr:nvSpPr>
              <xdr:cNvPr id="10252" name="Check Box 12" descr="3" hidden="1">
                <a:extLst>
                  <a:ext uri="{63B3BB69-23CF-44E3-9099-C40C66FF867C}">
                    <a14:compatExt spid="_x0000_s10252"/>
                  </a:ext>
                  <a:ext uri="{FF2B5EF4-FFF2-40B4-BE49-F238E27FC236}">
                    <a16:creationId xmlns:a16="http://schemas.microsoft.com/office/drawing/2014/main" id="{00000000-0008-0000-0700-00000C280000}"/>
                  </a:ext>
                </a:extLst>
              </xdr:cNvPr>
              <xdr:cNvSpPr/>
            </xdr:nvSpPr>
            <xdr:spPr bwMode="auto">
              <a:xfrm>
                <a:off x="5020472" y="17206913"/>
                <a:ext cx="371475" cy="1936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CO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2</a:t>
                </a:r>
              </a:p>
            </xdr:txBody>
          </xdr:sp>
          <xdr:sp macro="" textlink="">
            <xdr:nvSpPr>
              <xdr:cNvPr id="10253" name="Check Box 13" descr="3" hidden="1">
                <a:extLst>
                  <a:ext uri="{63B3BB69-23CF-44E3-9099-C40C66FF867C}">
                    <a14:compatExt spid="_x0000_s10253"/>
                  </a:ext>
                  <a:ext uri="{FF2B5EF4-FFF2-40B4-BE49-F238E27FC236}">
                    <a16:creationId xmlns:a16="http://schemas.microsoft.com/office/drawing/2014/main" id="{00000000-0008-0000-0700-00000D280000}"/>
                  </a:ext>
                </a:extLst>
              </xdr:cNvPr>
              <xdr:cNvSpPr/>
            </xdr:nvSpPr>
            <xdr:spPr bwMode="auto">
              <a:xfrm>
                <a:off x="5308608" y="17206913"/>
                <a:ext cx="371475" cy="1936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CO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3</a:t>
                </a:r>
              </a:p>
            </xdr:txBody>
          </xdr:sp>
          <xdr:sp macro="" textlink="">
            <xdr:nvSpPr>
              <xdr:cNvPr id="10254" name="Check Box 14" descr="3" hidden="1">
                <a:extLst>
                  <a:ext uri="{63B3BB69-23CF-44E3-9099-C40C66FF867C}">
                    <a14:compatExt spid="_x0000_s10254"/>
                  </a:ext>
                  <a:ext uri="{FF2B5EF4-FFF2-40B4-BE49-F238E27FC236}">
                    <a16:creationId xmlns:a16="http://schemas.microsoft.com/office/drawing/2014/main" id="{00000000-0008-0000-0700-00000E280000}"/>
                  </a:ext>
                </a:extLst>
              </xdr:cNvPr>
              <xdr:cNvSpPr/>
            </xdr:nvSpPr>
            <xdr:spPr bwMode="auto">
              <a:xfrm>
                <a:off x="5596744" y="17206913"/>
                <a:ext cx="371475" cy="1936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CO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4</a:t>
                </a:r>
              </a:p>
            </xdr:txBody>
          </xdr:sp>
          <xdr:sp macro="" textlink="">
            <xdr:nvSpPr>
              <xdr:cNvPr id="10255" name="Check Box 15" descr="3" hidden="1">
                <a:extLst>
                  <a:ext uri="{63B3BB69-23CF-44E3-9099-C40C66FF867C}">
                    <a14:compatExt spid="_x0000_s10255"/>
                  </a:ext>
                  <a:ext uri="{FF2B5EF4-FFF2-40B4-BE49-F238E27FC236}">
                    <a16:creationId xmlns:a16="http://schemas.microsoft.com/office/drawing/2014/main" id="{00000000-0008-0000-0700-00000F280000}"/>
                  </a:ext>
                </a:extLst>
              </xdr:cNvPr>
              <xdr:cNvSpPr/>
            </xdr:nvSpPr>
            <xdr:spPr bwMode="auto">
              <a:xfrm>
                <a:off x="5884878" y="17206718"/>
                <a:ext cx="371475" cy="1968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CO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5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393581</xdr:colOff>
          <xdr:row>9</xdr:row>
          <xdr:rowOff>151096</xdr:rowOff>
        </xdr:from>
        <xdr:to>
          <xdr:col>7</xdr:col>
          <xdr:colOff>390423</xdr:colOff>
          <xdr:row>11</xdr:row>
          <xdr:rowOff>30446</xdr:rowOff>
        </xdr:to>
        <xdr:grpSp>
          <xdr:nvGrpSpPr>
            <xdr:cNvPr id="20" name="Group 66">
              <a:extLst>
                <a:ext uri="{FF2B5EF4-FFF2-40B4-BE49-F238E27FC236}">
                  <a16:creationId xmlns:a16="http://schemas.microsoft.com/office/drawing/2014/main" id="{00000000-0008-0000-0700-000014000000}"/>
                </a:ext>
              </a:extLst>
            </xdr:cNvPr>
            <xdr:cNvGrpSpPr/>
          </xdr:nvGrpSpPr>
          <xdr:grpSpPr>
            <a:xfrm>
              <a:off x="4203581" y="1979879"/>
              <a:ext cx="1520842" cy="260350"/>
              <a:chOff x="4735511" y="17206718"/>
              <a:chExt cx="1520842" cy="196850"/>
            </a:xfrm>
          </xdr:grpSpPr>
          <xdr:sp macro="" textlink="">
            <xdr:nvSpPr>
              <xdr:cNvPr id="10256" name="Check Box 16" descr="3" hidden="1">
                <a:extLst>
                  <a:ext uri="{63B3BB69-23CF-44E3-9099-C40C66FF867C}">
                    <a14:compatExt spid="_x0000_s10256"/>
                  </a:ext>
                  <a:ext uri="{FF2B5EF4-FFF2-40B4-BE49-F238E27FC236}">
                    <a16:creationId xmlns:a16="http://schemas.microsoft.com/office/drawing/2014/main" id="{00000000-0008-0000-0700-000010280000}"/>
                  </a:ext>
                </a:extLst>
              </xdr:cNvPr>
              <xdr:cNvSpPr/>
            </xdr:nvSpPr>
            <xdr:spPr bwMode="auto">
              <a:xfrm>
                <a:off x="4735511" y="17206913"/>
                <a:ext cx="368300" cy="1936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CO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</a:t>
                </a:r>
              </a:p>
            </xdr:txBody>
          </xdr:sp>
          <xdr:sp macro="" textlink="">
            <xdr:nvSpPr>
              <xdr:cNvPr id="10257" name="Check Box 17" descr="3" hidden="1">
                <a:extLst>
                  <a:ext uri="{63B3BB69-23CF-44E3-9099-C40C66FF867C}">
                    <a14:compatExt spid="_x0000_s10257"/>
                  </a:ext>
                  <a:ext uri="{FF2B5EF4-FFF2-40B4-BE49-F238E27FC236}">
                    <a16:creationId xmlns:a16="http://schemas.microsoft.com/office/drawing/2014/main" id="{00000000-0008-0000-0700-000011280000}"/>
                  </a:ext>
                </a:extLst>
              </xdr:cNvPr>
              <xdr:cNvSpPr/>
            </xdr:nvSpPr>
            <xdr:spPr bwMode="auto">
              <a:xfrm>
                <a:off x="5020472" y="17206913"/>
                <a:ext cx="371475" cy="1936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CO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2</a:t>
                </a:r>
              </a:p>
            </xdr:txBody>
          </xdr:sp>
          <xdr:sp macro="" textlink="">
            <xdr:nvSpPr>
              <xdr:cNvPr id="10258" name="Check Box 18" descr="3" hidden="1">
                <a:extLst>
                  <a:ext uri="{63B3BB69-23CF-44E3-9099-C40C66FF867C}">
                    <a14:compatExt spid="_x0000_s10258"/>
                  </a:ext>
                  <a:ext uri="{FF2B5EF4-FFF2-40B4-BE49-F238E27FC236}">
                    <a16:creationId xmlns:a16="http://schemas.microsoft.com/office/drawing/2014/main" id="{00000000-0008-0000-0700-000012280000}"/>
                  </a:ext>
                </a:extLst>
              </xdr:cNvPr>
              <xdr:cNvSpPr/>
            </xdr:nvSpPr>
            <xdr:spPr bwMode="auto">
              <a:xfrm>
                <a:off x="5308608" y="17206913"/>
                <a:ext cx="371475" cy="1936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CO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3</a:t>
                </a:r>
              </a:p>
            </xdr:txBody>
          </xdr:sp>
          <xdr:sp macro="" textlink="">
            <xdr:nvSpPr>
              <xdr:cNvPr id="10259" name="Check Box 19" descr="3" hidden="1">
                <a:extLst>
                  <a:ext uri="{63B3BB69-23CF-44E3-9099-C40C66FF867C}">
                    <a14:compatExt spid="_x0000_s10259"/>
                  </a:ext>
                  <a:ext uri="{FF2B5EF4-FFF2-40B4-BE49-F238E27FC236}">
                    <a16:creationId xmlns:a16="http://schemas.microsoft.com/office/drawing/2014/main" id="{00000000-0008-0000-0700-000013280000}"/>
                  </a:ext>
                </a:extLst>
              </xdr:cNvPr>
              <xdr:cNvSpPr/>
            </xdr:nvSpPr>
            <xdr:spPr bwMode="auto">
              <a:xfrm>
                <a:off x="5596744" y="17206913"/>
                <a:ext cx="371475" cy="1936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CO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4</a:t>
                </a:r>
              </a:p>
            </xdr:txBody>
          </xdr:sp>
          <xdr:sp macro="" textlink="">
            <xdr:nvSpPr>
              <xdr:cNvPr id="10260" name="Check Box 20" descr="3" hidden="1">
                <a:extLst>
                  <a:ext uri="{63B3BB69-23CF-44E3-9099-C40C66FF867C}">
                    <a14:compatExt spid="_x0000_s10260"/>
                  </a:ext>
                  <a:ext uri="{FF2B5EF4-FFF2-40B4-BE49-F238E27FC236}">
                    <a16:creationId xmlns:a16="http://schemas.microsoft.com/office/drawing/2014/main" id="{00000000-0008-0000-0700-000014280000}"/>
                  </a:ext>
                </a:extLst>
              </xdr:cNvPr>
              <xdr:cNvSpPr/>
            </xdr:nvSpPr>
            <xdr:spPr bwMode="auto">
              <a:xfrm>
                <a:off x="5884878" y="17206718"/>
                <a:ext cx="371475" cy="1968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CO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5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393581</xdr:colOff>
          <xdr:row>10</xdr:row>
          <xdr:rowOff>155636</xdr:rowOff>
        </xdr:from>
        <xdr:to>
          <xdr:col>7</xdr:col>
          <xdr:colOff>390423</xdr:colOff>
          <xdr:row>12</xdr:row>
          <xdr:rowOff>23857</xdr:rowOff>
        </xdr:to>
        <xdr:grpSp>
          <xdr:nvGrpSpPr>
            <xdr:cNvPr id="26" name="Group 72">
              <a:extLst>
                <a:ext uri="{FF2B5EF4-FFF2-40B4-BE49-F238E27FC236}">
                  <a16:creationId xmlns:a16="http://schemas.microsoft.com/office/drawing/2014/main" id="{00000000-0008-0000-0700-00001A000000}"/>
                </a:ext>
              </a:extLst>
            </xdr:cNvPr>
            <xdr:cNvGrpSpPr/>
          </xdr:nvGrpSpPr>
          <xdr:grpSpPr>
            <a:xfrm>
              <a:off x="4203581" y="2174936"/>
              <a:ext cx="1520842" cy="249221"/>
              <a:chOff x="4735511" y="17206913"/>
              <a:chExt cx="1520842" cy="196892"/>
            </a:xfrm>
          </xdr:grpSpPr>
          <xdr:sp macro="" textlink="">
            <xdr:nvSpPr>
              <xdr:cNvPr id="10261" name="Check Box 21" descr="3" hidden="1">
                <a:extLst>
                  <a:ext uri="{63B3BB69-23CF-44E3-9099-C40C66FF867C}">
                    <a14:compatExt spid="_x0000_s10261"/>
                  </a:ext>
                  <a:ext uri="{FF2B5EF4-FFF2-40B4-BE49-F238E27FC236}">
                    <a16:creationId xmlns:a16="http://schemas.microsoft.com/office/drawing/2014/main" id="{00000000-0008-0000-0700-000015280000}"/>
                  </a:ext>
                </a:extLst>
              </xdr:cNvPr>
              <xdr:cNvSpPr/>
            </xdr:nvSpPr>
            <xdr:spPr bwMode="auto">
              <a:xfrm>
                <a:off x="4735511" y="17206913"/>
                <a:ext cx="368300" cy="1936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CO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</a:t>
                </a:r>
              </a:p>
            </xdr:txBody>
          </xdr:sp>
          <xdr:sp macro="" textlink="">
            <xdr:nvSpPr>
              <xdr:cNvPr id="10262" name="Check Box 22" descr="3" hidden="1">
                <a:extLst>
                  <a:ext uri="{63B3BB69-23CF-44E3-9099-C40C66FF867C}">
                    <a14:compatExt spid="_x0000_s10262"/>
                  </a:ext>
                  <a:ext uri="{FF2B5EF4-FFF2-40B4-BE49-F238E27FC236}">
                    <a16:creationId xmlns:a16="http://schemas.microsoft.com/office/drawing/2014/main" id="{00000000-0008-0000-0700-000016280000}"/>
                  </a:ext>
                </a:extLst>
              </xdr:cNvPr>
              <xdr:cNvSpPr/>
            </xdr:nvSpPr>
            <xdr:spPr bwMode="auto">
              <a:xfrm>
                <a:off x="5020472" y="17206913"/>
                <a:ext cx="371475" cy="1936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CO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2</a:t>
                </a:r>
              </a:p>
            </xdr:txBody>
          </xdr:sp>
          <xdr:sp macro="" textlink="">
            <xdr:nvSpPr>
              <xdr:cNvPr id="10263" name="Check Box 23" descr="3" hidden="1">
                <a:extLst>
                  <a:ext uri="{63B3BB69-23CF-44E3-9099-C40C66FF867C}">
                    <a14:compatExt spid="_x0000_s10263"/>
                  </a:ext>
                  <a:ext uri="{FF2B5EF4-FFF2-40B4-BE49-F238E27FC236}">
                    <a16:creationId xmlns:a16="http://schemas.microsoft.com/office/drawing/2014/main" id="{00000000-0008-0000-0700-000017280000}"/>
                  </a:ext>
                </a:extLst>
              </xdr:cNvPr>
              <xdr:cNvSpPr/>
            </xdr:nvSpPr>
            <xdr:spPr bwMode="auto">
              <a:xfrm>
                <a:off x="5308608" y="17206913"/>
                <a:ext cx="371475" cy="1936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CO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3</a:t>
                </a:r>
              </a:p>
            </xdr:txBody>
          </xdr:sp>
          <xdr:sp macro="" textlink="">
            <xdr:nvSpPr>
              <xdr:cNvPr id="10264" name="Check Box 24" descr="3" hidden="1">
                <a:extLst>
                  <a:ext uri="{63B3BB69-23CF-44E3-9099-C40C66FF867C}">
                    <a14:compatExt spid="_x0000_s10264"/>
                  </a:ext>
                  <a:ext uri="{FF2B5EF4-FFF2-40B4-BE49-F238E27FC236}">
                    <a16:creationId xmlns:a16="http://schemas.microsoft.com/office/drawing/2014/main" id="{00000000-0008-0000-0700-000018280000}"/>
                  </a:ext>
                </a:extLst>
              </xdr:cNvPr>
              <xdr:cNvSpPr/>
            </xdr:nvSpPr>
            <xdr:spPr bwMode="auto">
              <a:xfrm>
                <a:off x="5596744" y="17206913"/>
                <a:ext cx="371475" cy="1936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CO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4</a:t>
                </a:r>
              </a:p>
            </xdr:txBody>
          </xdr:sp>
          <xdr:sp macro="" textlink="">
            <xdr:nvSpPr>
              <xdr:cNvPr id="10265" name="Check Box 25" descr="3" hidden="1">
                <a:extLst>
                  <a:ext uri="{63B3BB69-23CF-44E3-9099-C40C66FF867C}">
                    <a14:compatExt spid="_x0000_s10265"/>
                  </a:ext>
                  <a:ext uri="{FF2B5EF4-FFF2-40B4-BE49-F238E27FC236}">
                    <a16:creationId xmlns:a16="http://schemas.microsoft.com/office/drawing/2014/main" id="{00000000-0008-0000-0700-000019280000}"/>
                  </a:ext>
                </a:extLst>
              </xdr:cNvPr>
              <xdr:cNvSpPr/>
            </xdr:nvSpPr>
            <xdr:spPr bwMode="auto">
              <a:xfrm>
                <a:off x="5884878" y="17206956"/>
                <a:ext cx="371475" cy="1968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CO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5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393581</xdr:colOff>
          <xdr:row>6</xdr:row>
          <xdr:rowOff>137761</xdr:rowOff>
        </xdr:from>
        <xdr:to>
          <xdr:col>7</xdr:col>
          <xdr:colOff>390423</xdr:colOff>
          <xdr:row>8</xdr:row>
          <xdr:rowOff>17111</xdr:rowOff>
        </xdr:to>
        <xdr:grpSp>
          <xdr:nvGrpSpPr>
            <xdr:cNvPr id="32" name="Group 78">
              <a:extLst>
                <a:ext uri="{FF2B5EF4-FFF2-40B4-BE49-F238E27FC236}">
                  <a16:creationId xmlns:a16="http://schemas.microsoft.com/office/drawing/2014/main" id="{00000000-0008-0000-0700-000020000000}"/>
                </a:ext>
              </a:extLst>
            </xdr:cNvPr>
            <xdr:cNvGrpSpPr/>
          </xdr:nvGrpSpPr>
          <xdr:grpSpPr>
            <a:xfrm>
              <a:off x="4203581" y="1395044"/>
              <a:ext cx="1520842" cy="260350"/>
              <a:chOff x="4735511" y="17206718"/>
              <a:chExt cx="1520842" cy="196850"/>
            </a:xfrm>
          </xdr:grpSpPr>
          <xdr:sp macro="" textlink="">
            <xdr:nvSpPr>
              <xdr:cNvPr id="10266" name="Check Box 26" descr="3" hidden="1">
                <a:extLst>
                  <a:ext uri="{63B3BB69-23CF-44E3-9099-C40C66FF867C}">
                    <a14:compatExt spid="_x0000_s10266"/>
                  </a:ext>
                  <a:ext uri="{FF2B5EF4-FFF2-40B4-BE49-F238E27FC236}">
                    <a16:creationId xmlns:a16="http://schemas.microsoft.com/office/drawing/2014/main" id="{00000000-0008-0000-0700-00001A280000}"/>
                  </a:ext>
                </a:extLst>
              </xdr:cNvPr>
              <xdr:cNvSpPr/>
            </xdr:nvSpPr>
            <xdr:spPr bwMode="auto">
              <a:xfrm>
                <a:off x="4735511" y="17206913"/>
                <a:ext cx="368300" cy="1936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CO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</a:t>
                </a:r>
              </a:p>
            </xdr:txBody>
          </xdr:sp>
          <xdr:sp macro="" textlink="">
            <xdr:nvSpPr>
              <xdr:cNvPr id="10267" name="Check Box 27" descr="3" hidden="1">
                <a:extLst>
                  <a:ext uri="{63B3BB69-23CF-44E3-9099-C40C66FF867C}">
                    <a14:compatExt spid="_x0000_s10267"/>
                  </a:ext>
                  <a:ext uri="{FF2B5EF4-FFF2-40B4-BE49-F238E27FC236}">
                    <a16:creationId xmlns:a16="http://schemas.microsoft.com/office/drawing/2014/main" id="{00000000-0008-0000-0700-00001B280000}"/>
                  </a:ext>
                </a:extLst>
              </xdr:cNvPr>
              <xdr:cNvSpPr/>
            </xdr:nvSpPr>
            <xdr:spPr bwMode="auto">
              <a:xfrm>
                <a:off x="5020472" y="17206913"/>
                <a:ext cx="371475" cy="1936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CO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2</a:t>
                </a:r>
              </a:p>
            </xdr:txBody>
          </xdr:sp>
          <xdr:sp macro="" textlink="">
            <xdr:nvSpPr>
              <xdr:cNvPr id="10268" name="Check Box 28" descr="3" hidden="1">
                <a:extLst>
                  <a:ext uri="{63B3BB69-23CF-44E3-9099-C40C66FF867C}">
                    <a14:compatExt spid="_x0000_s10268"/>
                  </a:ext>
                  <a:ext uri="{FF2B5EF4-FFF2-40B4-BE49-F238E27FC236}">
                    <a16:creationId xmlns:a16="http://schemas.microsoft.com/office/drawing/2014/main" id="{00000000-0008-0000-0700-00001C280000}"/>
                  </a:ext>
                </a:extLst>
              </xdr:cNvPr>
              <xdr:cNvSpPr/>
            </xdr:nvSpPr>
            <xdr:spPr bwMode="auto">
              <a:xfrm>
                <a:off x="5308608" y="17206913"/>
                <a:ext cx="371475" cy="1936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CO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3</a:t>
                </a:r>
              </a:p>
            </xdr:txBody>
          </xdr:sp>
          <xdr:sp macro="" textlink="">
            <xdr:nvSpPr>
              <xdr:cNvPr id="10269" name="Check Box 29" descr="3" hidden="1">
                <a:extLst>
                  <a:ext uri="{63B3BB69-23CF-44E3-9099-C40C66FF867C}">
                    <a14:compatExt spid="_x0000_s10269"/>
                  </a:ext>
                  <a:ext uri="{FF2B5EF4-FFF2-40B4-BE49-F238E27FC236}">
                    <a16:creationId xmlns:a16="http://schemas.microsoft.com/office/drawing/2014/main" id="{00000000-0008-0000-0700-00001D280000}"/>
                  </a:ext>
                </a:extLst>
              </xdr:cNvPr>
              <xdr:cNvSpPr/>
            </xdr:nvSpPr>
            <xdr:spPr bwMode="auto">
              <a:xfrm>
                <a:off x="5596744" y="17206913"/>
                <a:ext cx="371475" cy="1936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CO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4</a:t>
                </a:r>
              </a:p>
            </xdr:txBody>
          </xdr:sp>
          <xdr:sp macro="" textlink="">
            <xdr:nvSpPr>
              <xdr:cNvPr id="10270" name="Check Box 30" descr="3" hidden="1">
                <a:extLst>
                  <a:ext uri="{63B3BB69-23CF-44E3-9099-C40C66FF867C}">
                    <a14:compatExt spid="_x0000_s10270"/>
                  </a:ext>
                  <a:ext uri="{FF2B5EF4-FFF2-40B4-BE49-F238E27FC236}">
                    <a16:creationId xmlns:a16="http://schemas.microsoft.com/office/drawing/2014/main" id="{00000000-0008-0000-0700-00001E280000}"/>
                  </a:ext>
                </a:extLst>
              </xdr:cNvPr>
              <xdr:cNvSpPr/>
            </xdr:nvSpPr>
            <xdr:spPr bwMode="auto">
              <a:xfrm>
                <a:off x="5884878" y="17206718"/>
                <a:ext cx="371475" cy="1968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CO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5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393581</xdr:colOff>
          <xdr:row>11</xdr:row>
          <xdr:rowOff>155636</xdr:rowOff>
        </xdr:from>
        <xdr:to>
          <xdr:col>7</xdr:col>
          <xdr:colOff>390423</xdr:colOff>
          <xdr:row>13</xdr:row>
          <xdr:rowOff>23857</xdr:rowOff>
        </xdr:to>
        <xdr:grpSp>
          <xdr:nvGrpSpPr>
            <xdr:cNvPr id="38" name="Group 72">
              <a:extLst>
                <a:ext uri="{FF2B5EF4-FFF2-40B4-BE49-F238E27FC236}">
                  <a16:creationId xmlns:a16="http://schemas.microsoft.com/office/drawing/2014/main" id="{00000000-0008-0000-0700-000026000000}"/>
                </a:ext>
              </a:extLst>
            </xdr:cNvPr>
            <xdr:cNvGrpSpPr/>
          </xdr:nvGrpSpPr>
          <xdr:grpSpPr>
            <a:xfrm>
              <a:off x="4203581" y="2365436"/>
              <a:ext cx="1520842" cy="249221"/>
              <a:chOff x="4735511" y="17206913"/>
              <a:chExt cx="1520842" cy="196892"/>
            </a:xfrm>
          </xdr:grpSpPr>
          <xdr:sp macro="" textlink="">
            <xdr:nvSpPr>
              <xdr:cNvPr id="10271" name="Check Box 31" descr="3" hidden="1">
                <a:extLst>
                  <a:ext uri="{63B3BB69-23CF-44E3-9099-C40C66FF867C}">
                    <a14:compatExt spid="_x0000_s10271"/>
                  </a:ext>
                  <a:ext uri="{FF2B5EF4-FFF2-40B4-BE49-F238E27FC236}">
                    <a16:creationId xmlns:a16="http://schemas.microsoft.com/office/drawing/2014/main" id="{00000000-0008-0000-0700-00001F280000}"/>
                  </a:ext>
                </a:extLst>
              </xdr:cNvPr>
              <xdr:cNvSpPr/>
            </xdr:nvSpPr>
            <xdr:spPr bwMode="auto">
              <a:xfrm>
                <a:off x="4735511" y="17206913"/>
                <a:ext cx="368300" cy="1936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CO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</a:t>
                </a:r>
              </a:p>
            </xdr:txBody>
          </xdr:sp>
          <xdr:sp macro="" textlink="">
            <xdr:nvSpPr>
              <xdr:cNvPr id="10272" name="Check Box 32" descr="3" hidden="1">
                <a:extLst>
                  <a:ext uri="{63B3BB69-23CF-44E3-9099-C40C66FF867C}">
                    <a14:compatExt spid="_x0000_s10272"/>
                  </a:ext>
                  <a:ext uri="{FF2B5EF4-FFF2-40B4-BE49-F238E27FC236}">
                    <a16:creationId xmlns:a16="http://schemas.microsoft.com/office/drawing/2014/main" id="{00000000-0008-0000-0700-000020280000}"/>
                  </a:ext>
                </a:extLst>
              </xdr:cNvPr>
              <xdr:cNvSpPr/>
            </xdr:nvSpPr>
            <xdr:spPr bwMode="auto">
              <a:xfrm>
                <a:off x="5020472" y="17206913"/>
                <a:ext cx="371475" cy="1936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CO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2</a:t>
                </a:r>
              </a:p>
            </xdr:txBody>
          </xdr:sp>
          <xdr:sp macro="" textlink="">
            <xdr:nvSpPr>
              <xdr:cNvPr id="10273" name="Check Box 33" descr="3" hidden="1">
                <a:extLst>
                  <a:ext uri="{63B3BB69-23CF-44E3-9099-C40C66FF867C}">
                    <a14:compatExt spid="_x0000_s10273"/>
                  </a:ext>
                  <a:ext uri="{FF2B5EF4-FFF2-40B4-BE49-F238E27FC236}">
                    <a16:creationId xmlns:a16="http://schemas.microsoft.com/office/drawing/2014/main" id="{00000000-0008-0000-0700-000021280000}"/>
                  </a:ext>
                </a:extLst>
              </xdr:cNvPr>
              <xdr:cNvSpPr/>
            </xdr:nvSpPr>
            <xdr:spPr bwMode="auto">
              <a:xfrm>
                <a:off x="5308608" y="17206913"/>
                <a:ext cx="371475" cy="1936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CO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3</a:t>
                </a:r>
              </a:p>
            </xdr:txBody>
          </xdr:sp>
          <xdr:sp macro="" textlink="">
            <xdr:nvSpPr>
              <xdr:cNvPr id="10274" name="Check Box 34" descr="3" hidden="1">
                <a:extLst>
                  <a:ext uri="{63B3BB69-23CF-44E3-9099-C40C66FF867C}">
                    <a14:compatExt spid="_x0000_s10274"/>
                  </a:ext>
                  <a:ext uri="{FF2B5EF4-FFF2-40B4-BE49-F238E27FC236}">
                    <a16:creationId xmlns:a16="http://schemas.microsoft.com/office/drawing/2014/main" id="{00000000-0008-0000-0700-000022280000}"/>
                  </a:ext>
                </a:extLst>
              </xdr:cNvPr>
              <xdr:cNvSpPr/>
            </xdr:nvSpPr>
            <xdr:spPr bwMode="auto">
              <a:xfrm>
                <a:off x="5596744" y="17206913"/>
                <a:ext cx="371475" cy="1936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CO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4</a:t>
                </a:r>
              </a:p>
            </xdr:txBody>
          </xdr:sp>
          <xdr:sp macro="" textlink="">
            <xdr:nvSpPr>
              <xdr:cNvPr id="10275" name="Check Box 35" descr="3" hidden="1">
                <a:extLst>
                  <a:ext uri="{63B3BB69-23CF-44E3-9099-C40C66FF867C}">
                    <a14:compatExt spid="_x0000_s10275"/>
                  </a:ext>
                  <a:ext uri="{FF2B5EF4-FFF2-40B4-BE49-F238E27FC236}">
                    <a16:creationId xmlns:a16="http://schemas.microsoft.com/office/drawing/2014/main" id="{00000000-0008-0000-0700-000023280000}"/>
                  </a:ext>
                </a:extLst>
              </xdr:cNvPr>
              <xdr:cNvSpPr/>
            </xdr:nvSpPr>
            <xdr:spPr bwMode="auto">
              <a:xfrm>
                <a:off x="5884878" y="17206956"/>
                <a:ext cx="371475" cy="1968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CO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5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404703</xdr:colOff>
          <xdr:row>4</xdr:row>
          <xdr:rowOff>134956</xdr:rowOff>
        </xdr:from>
        <xdr:to>
          <xdr:col>6</xdr:col>
          <xdr:colOff>302314</xdr:colOff>
          <xdr:row>6</xdr:row>
          <xdr:rowOff>18069</xdr:rowOff>
        </xdr:to>
        <xdr:grpSp>
          <xdr:nvGrpSpPr>
            <xdr:cNvPr id="44" name="Group 5">
              <a:extLst>
                <a:ext uri="{FF2B5EF4-FFF2-40B4-BE49-F238E27FC236}">
                  <a16:creationId xmlns:a16="http://schemas.microsoft.com/office/drawing/2014/main" id="{00000000-0008-0000-0700-00002C000000}"/>
                </a:ext>
              </a:extLst>
            </xdr:cNvPr>
            <xdr:cNvGrpSpPr/>
          </xdr:nvGrpSpPr>
          <xdr:grpSpPr>
            <a:xfrm>
              <a:off x="4214703" y="982681"/>
              <a:ext cx="659611" cy="292688"/>
              <a:chOff x="5308608" y="17206913"/>
              <a:chExt cx="659611" cy="193675"/>
            </a:xfrm>
          </xdr:grpSpPr>
          <xdr:sp macro="" textlink="">
            <xdr:nvSpPr>
              <xdr:cNvPr id="10278" name="Check Box 38" descr="3" hidden="1">
                <a:extLst>
                  <a:ext uri="{63B3BB69-23CF-44E3-9099-C40C66FF867C}">
                    <a14:compatExt spid="_x0000_s10278"/>
                  </a:ext>
                  <a:ext uri="{FF2B5EF4-FFF2-40B4-BE49-F238E27FC236}">
                    <a16:creationId xmlns:a16="http://schemas.microsoft.com/office/drawing/2014/main" id="{00000000-0008-0000-0700-000026280000}"/>
                  </a:ext>
                </a:extLst>
              </xdr:cNvPr>
              <xdr:cNvSpPr/>
            </xdr:nvSpPr>
            <xdr:spPr bwMode="auto">
              <a:xfrm>
                <a:off x="5308608" y="17206913"/>
                <a:ext cx="371475" cy="1936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CO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SI</a:t>
                </a:r>
              </a:p>
            </xdr:txBody>
          </xdr:sp>
          <xdr:sp macro="" textlink="">
            <xdr:nvSpPr>
              <xdr:cNvPr id="10279" name="Check Box 39" descr="3" hidden="1">
                <a:extLst>
                  <a:ext uri="{63B3BB69-23CF-44E3-9099-C40C66FF867C}">
                    <a14:compatExt spid="_x0000_s10279"/>
                  </a:ext>
                  <a:ext uri="{FF2B5EF4-FFF2-40B4-BE49-F238E27FC236}">
                    <a16:creationId xmlns:a16="http://schemas.microsoft.com/office/drawing/2014/main" id="{00000000-0008-0000-0700-000027280000}"/>
                  </a:ext>
                </a:extLst>
              </xdr:cNvPr>
              <xdr:cNvSpPr/>
            </xdr:nvSpPr>
            <xdr:spPr bwMode="auto">
              <a:xfrm>
                <a:off x="5596744" y="17206913"/>
                <a:ext cx="371475" cy="1936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CO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Users\Mauricio%20Borja\Documents\Mauricio\MAURICIO%20BORJA\DOCUMENTOS%20MAURICIO\ARCHIVOS%20DE%20MAO\VARIOS%20MAO\MBA%20EAN\Seminario%20de%20Investigaci&#243;n%20Maestria\Avance%20Trabajo%20Maestr&#237;a\Revisi&#243;n%2005%2008%2022\Anexo%201B%20Listado%20precios%2026%2008%2022.xlsx?2897F5BD" TargetMode="External"/><Relationship Id="rId1" Type="http://schemas.openxmlformats.org/officeDocument/2006/relationships/externalLinkPath" Target="file:///\\2897F5BD\Anexo%201B%20Listado%20precios%2026%2008%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1B Productos Market Place"/>
      <sheetName val="Anexo 1B Cotizaciones "/>
      <sheetName val="Cantidades minimas"/>
      <sheetName val="Hoja2"/>
    </sheetNames>
    <sheetDataSet>
      <sheetData sheetId="0"/>
      <sheetData sheetId="1">
        <row r="20">
          <cell r="D20">
            <v>5606</v>
          </cell>
          <cell r="E20">
            <v>4623.5</v>
          </cell>
          <cell r="F20">
            <v>1740</v>
          </cell>
          <cell r="G20">
            <v>2631.25</v>
          </cell>
          <cell r="H20">
            <v>4668.75</v>
          </cell>
          <cell r="I20">
            <v>15825</v>
          </cell>
          <cell r="J20">
            <v>3052.5</v>
          </cell>
          <cell r="K20">
            <v>8375</v>
          </cell>
          <cell r="L20">
            <v>3530</v>
          </cell>
          <cell r="M20">
            <v>7550</v>
          </cell>
          <cell r="N20">
            <v>5415</v>
          </cell>
          <cell r="O20">
            <v>8405</v>
          </cell>
          <cell r="P20">
            <v>8750</v>
          </cell>
          <cell r="Q20">
            <v>8830</v>
          </cell>
          <cell r="R20">
            <v>3416.25</v>
          </cell>
          <cell r="T20">
            <v>7105</v>
          </cell>
          <cell r="U20">
            <v>4873.75</v>
          </cell>
          <cell r="V20">
            <v>4595</v>
          </cell>
          <cell r="W20">
            <v>5170</v>
          </cell>
          <cell r="X20">
            <v>8165</v>
          </cell>
          <cell r="Y20">
            <v>6262.5</v>
          </cell>
          <cell r="Z20">
            <v>6232.5</v>
          </cell>
          <cell r="AA20">
            <v>4685</v>
          </cell>
          <cell r="AB20">
            <v>21965</v>
          </cell>
          <cell r="AC20">
            <v>7120</v>
          </cell>
        </row>
      </sheetData>
      <sheetData sheetId="2"/>
      <sheetData sheetId="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MAURICIO MIGUEL BORJA VILLAMIL" id="{BC4D4C28-EE48-4A91-91F2-CCEAD2A67346}" userId="MAURICIO MIGUEL BORJA VILLAMIL" providerId="Non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9" dT="2022-09-08T03:40:44.93" personId="{BC4D4C28-EE48-4A91-91F2-CCEAD2A67346}" id="{397267D1-01F7-4543-8720-F7DF8EAD3F27}">
    <text>Prestación de servicios externos. No tienen carga parafiscal, pago mediente cuenta de cobro por utilización de servicios.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47D3D-D5C0-47E3-AE06-FDB7D9629793}">
  <dimension ref="B2:N29"/>
  <sheetViews>
    <sheetView topLeftCell="A7" workbookViewId="0">
      <selection activeCell="B5" sqref="B5"/>
    </sheetView>
  </sheetViews>
  <sheetFormatPr baseColWidth="10" defaultColWidth="11.42578125" defaultRowHeight="15" x14ac:dyDescent="0.25"/>
  <cols>
    <col min="3" max="3" width="13.5703125" bestFit="1" customWidth="1"/>
    <col min="4" max="4" width="17.42578125" bestFit="1" customWidth="1"/>
    <col min="5" max="5" width="24.28515625" bestFit="1" customWidth="1"/>
    <col min="6" max="6" width="21.7109375" bestFit="1" customWidth="1"/>
    <col min="9" max="9" width="13.7109375" bestFit="1" customWidth="1"/>
    <col min="10" max="10" width="22.140625" bestFit="1" customWidth="1"/>
    <col min="11" max="11" width="24.28515625" bestFit="1" customWidth="1"/>
    <col min="12" max="12" width="21.7109375" bestFit="1" customWidth="1"/>
  </cols>
  <sheetData>
    <row r="2" spans="2:12" x14ac:dyDescent="0.25">
      <c r="B2" s="201" t="s">
        <v>0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2:12" x14ac:dyDescent="0.25"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</row>
    <row r="4" spans="2:12" x14ac:dyDescent="0.25"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</row>
    <row r="6" spans="2:12" x14ac:dyDescent="0.25">
      <c r="B6" s="57" t="s">
        <v>1</v>
      </c>
      <c r="C6" s="57" t="s">
        <v>2</v>
      </c>
      <c r="D6" s="57" t="s">
        <v>3</v>
      </c>
      <c r="E6" s="58" t="s">
        <v>4</v>
      </c>
      <c r="F6" s="58" t="s">
        <v>5</v>
      </c>
      <c r="H6" s="59" t="s">
        <v>1</v>
      </c>
      <c r="I6" s="59" t="s">
        <v>6</v>
      </c>
      <c r="J6" s="60" t="s">
        <v>3</v>
      </c>
      <c r="K6" s="60" t="s">
        <v>4</v>
      </c>
      <c r="L6" s="60" t="s">
        <v>5</v>
      </c>
    </row>
    <row r="7" spans="2:12" x14ac:dyDescent="0.25">
      <c r="B7" s="53">
        <v>1</v>
      </c>
      <c r="C7" s="54" t="s">
        <v>7</v>
      </c>
      <c r="D7" s="54" t="s">
        <v>8</v>
      </c>
      <c r="E7" s="62">
        <v>3000</v>
      </c>
      <c r="F7" s="62">
        <f>E7*0.85</f>
        <v>2550</v>
      </c>
      <c r="H7" s="53">
        <v>1</v>
      </c>
      <c r="I7" s="54" t="s">
        <v>9</v>
      </c>
      <c r="J7" s="54" t="s">
        <v>8</v>
      </c>
      <c r="K7" s="55">
        <v>5500</v>
      </c>
      <c r="L7" s="62">
        <f>K7*0.85</f>
        <v>4675</v>
      </c>
    </row>
    <row r="8" spans="2:12" x14ac:dyDescent="0.25">
      <c r="B8" s="53">
        <v>2</v>
      </c>
      <c r="C8" s="54" t="s">
        <v>10</v>
      </c>
      <c r="D8" s="54" t="s">
        <v>8</v>
      </c>
      <c r="E8" s="62">
        <v>6500</v>
      </c>
      <c r="F8" s="62">
        <f t="shared" ref="F8:F21" si="0">E8*0.85</f>
        <v>5525</v>
      </c>
      <c r="H8" s="53">
        <v>2</v>
      </c>
      <c r="I8" s="54" t="s">
        <v>11</v>
      </c>
      <c r="J8" s="54" t="s">
        <v>8</v>
      </c>
      <c r="K8" s="55">
        <v>6000</v>
      </c>
      <c r="L8" s="62">
        <f t="shared" ref="L8:L16" si="1">K8*0.85</f>
        <v>5100</v>
      </c>
    </row>
    <row r="9" spans="2:12" x14ac:dyDescent="0.25">
      <c r="B9" s="53">
        <v>3</v>
      </c>
      <c r="C9" s="54" t="s">
        <v>12</v>
      </c>
      <c r="D9" s="54" t="s">
        <v>13</v>
      </c>
      <c r="E9" s="62">
        <v>3200</v>
      </c>
      <c r="F9" s="62">
        <f t="shared" si="0"/>
        <v>2720</v>
      </c>
      <c r="H9" s="53">
        <v>3</v>
      </c>
      <c r="I9" s="54" t="s">
        <v>14</v>
      </c>
      <c r="J9" s="54" t="s">
        <v>8</v>
      </c>
      <c r="K9" s="55">
        <v>6100</v>
      </c>
      <c r="L9" s="62">
        <f t="shared" si="1"/>
        <v>5185</v>
      </c>
    </row>
    <row r="10" spans="2:12" x14ac:dyDescent="0.25">
      <c r="B10" s="53">
        <v>4</v>
      </c>
      <c r="C10" s="54" t="s">
        <v>15</v>
      </c>
      <c r="D10" s="54" t="s">
        <v>13</v>
      </c>
      <c r="E10" s="62">
        <v>2500</v>
      </c>
      <c r="F10" s="62">
        <f t="shared" si="0"/>
        <v>2125</v>
      </c>
      <c r="H10" s="53">
        <v>4</v>
      </c>
      <c r="I10" s="54" t="s">
        <v>16</v>
      </c>
      <c r="J10" s="54" t="s">
        <v>8</v>
      </c>
      <c r="K10" s="55">
        <v>6500</v>
      </c>
      <c r="L10" s="62">
        <f t="shared" si="1"/>
        <v>5525</v>
      </c>
    </row>
    <row r="11" spans="2:12" x14ac:dyDescent="0.25">
      <c r="B11" s="53">
        <v>5</v>
      </c>
      <c r="C11" s="54" t="s">
        <v>17</v>
      </c>
      <c r="D11" s="54" t="s">
        <v>13</v>
      </c>
      <c r="E11" s="62">
        <v>1400</v>
      </c>
      <c r="F11" s="62">
        <f t="shared" si="0"/>
        <v>1190</v>
      </c>
      <c r="H11" s="53">
        <v>5</v>
      </c>
      <c r="I11" s="54" t="s">
        <v>18</v>
      </c>
      <c r="J11" s="54" t="s">
        <v>13</v>
      </c>
      <c r="K11" s="55">
        <v>3800</v>
      </c>
      <c r="L11" s="62">
        <f t="shared" si="1"/>
        <v>3230</v>
      </c>
    </row>
    <row r="12" spans="2:12" x14ac:dyDescent="0.25">
      <c r="B12" s="53">
        <v>6</v>
      </c>
      <c r="C12" s="54" t="s">
        <v>19</v>
      </c>
      <c r="D12" s="54" t="s">
        <v>13</v>
      </c>
      <c r="E12" s="62">
        <v>20000</v>
      </c>
      <c r="F12" s="62">
        <f t="shared" si="0"/>
        <v>17000</v>
      </c>
      <c r="H12" s="53">
        <v>6</v>
      </c>
      <c r="I12" s="54" t="s">
        <v>20</v>
      </c>
      <c r="J12" s="54" t="s">
        <v>13</v>
      </c>
      <c r="K12" s="55">
        <v>6000</v>
      </c>
      <c r="L12" s="62">
        <f t="shared" si="1"/>
        <v>5100</v>
      </c>
    </row>
    <row r="13" spans="2:12" x14ac:dyDescent="0.25">
      <c r="B13" s="53">
        <v>7</v>
      </c>
      <c r="C13" s="54" t="s">
        <v>21</v>
      </c>
      <c r="D13" s="54" t="s">
        <v>8</v>
      </c>
      <c r="E13" s="62">
        <v>4200</v>
      </c>
      <c r="F13" s="62">
        <f t="shared" si="0"/>
        <v>3570</v>
      </c>
      <c r="H13" s="53">
        <v>7</v>
      </c>
      <c r="I13" s="54" t="s">
        <v>22</v>
      </c>
      <c r="J13" s="54" t="s">
        <v>23</v>
      </c>
      <c r="K13" s="55">
        <v>5000</v>
      </c>
      <c r="L13" s="62">
        <f t="shared" si="1"/>
        <v>4250</v>
      </c>
    </row>
    <row r="14" spans="2:12" x14ac:dyDescent="0.25">
      <c r="B14" s="53">
        <v>8</v>
      </c>
      <c r="C14" s="54" t="s">
        <v>24</v>
      </c>
      <c r="D14" s="54" t="s">
        <v>8</v>
      </c>
      <c r="E14" s="62">
        <v>6380</v>
      </c>
      <c r="F14" s="62">
        <f t="shared" si="0"/>
        <v>5423</v>
      </c>
      <c r="H14" s="53">
        <v>8</v>
      </c>
      <c r="I14" s="54" t="s">
        <v>25</v>
      </c>
      <c r="J14" s="54" t="s">
        <v>8</v>
      </c>
      <c r="K14" s="55">
        <v>5500</v>
      </c>
      <c r="L14" s="62">
        <f t="shared" si="1"/>
        <v>4675</v>
      </c>
    </row>
    <row r="15" spans="2:12" x14ac:dyDescent="0.25">
      <c r="B15" s="53">
        <v>9</v>
      </c>
      <c r="C15" s="54" t="s">
        <v>26</v>
      </c>
      <c r="D15" s="54" t="s">
        <v>8</v>
      </c>
      <c r="E15" s="62">
        <v>2400</v>
      </c>
      <c r="F15" s="62">
        <f t="shared" si="0"/>
        <v>2040</v>
      </c>
      <c r="H15" s="53">
        <v>9</v>
      </c>
      <c r="I15" s="54" t="s">
        <v>27</v>
      </c>
      <c r="J15" s="54" t="s">
        <v>8</v>
      </c>
      <c r="K15" s="55">
        <v>20000</v>
      </c>
      <c r="L15" s="62">
        <f t="shared" si="1"/>
        <v>17000</v>
      </c>
    </row>
    <row r="16" spans="2:12" x14ac:dyDescent="0.25">
      <c r="B16" s="53">
        <v>10</v>
      </c>
      <c r="C16" s="54" t="s">
        <v>28</v>
      </c>
      <c r="D16" s="54" t="s">
        <v>8</v>
      </c>
      <c r="E16" s="62">
        <v>12600</v>
      </c>
      <c r="F16" s="62">
        <f t="shared" si="0"/>
        <v>10710</v>
      </c>
      <c r="H16" s="53">
        <v>10</v>
      </c>
      <c r="I16" s="54" t="s">
        <v>29</v>
      </c>
      <c r="J16" s="54" t="s">
        <v>30</v>
      </c>
      <c r="K16" s="55">
        <v>7500</v>
      </c>
      <c r="L16" s="62">
        <f t="shared" si="1"/>
        <v>6375</v>
      </c>
    </row>
    <row r="17" spans="2:14" x14ac:dyDescent="0.25">
      <c r="B17" s="53">
        <v>11</v>
      </c>
      <c r="C17" s="54" t="s">
        <v>31</v>
      </c>
      <c r="D17" s="54" t="s">
        <v>13</v>
      </c>
      <c r="E17" s="62">
        <v>3800</v>
      </c>
      <c r="F17" s="62">
        <f t="shared" si="0"/>
        <v>3230</v>
      </c>
      <c r="H17" s="200" t="s">
        <v>32</v>
      </c>
      <c r="I17" s="200"/>
      <c r="J17" s="63"/>
      <c r="K17" s="61">
        <f>AVERAGE(K7:K16)</f>
        <v>7190</v>
      </c>
      <c r="L17" s="61">
        <f>AVERAGE(L7:L16)</f>
        <v>6111.5</v>
      </c>
      <c r="N17" s="56"/>
    </row>
    <row r="18" spans="2:14" x14ac:dyDescent="0.25">
      <c r="B18" s="53">
        <v>12</v>
      </c>
      <c r="C18" s="54" t="s">
        <v>33</v>
      </c>
      <c r="D18" s="54" t="s">
        <v>8</v>
      </c>
      <c r="E18" s="62">
        <v>4200</v>
      </c>
      <c r="F18" s="62">
        <f t="shared" si="0"/>
        <v>3570</v>
      </c>
      <c r="H18" s="52"/>
      <c r="I18" s="52"/>
      <c r="J18" s="52"/>
    </row>
    <row r="19" spans="2:14" x14ac:dyDescent="0.25">
      <c r="B19" s="53">
        <v>13</v>
      </c>
      <c r="C19" s="54" t="s">
        <v>34</v>
      </c>
      <c r="D19" s="54" t="s">
        <v>8</v>
      </c>
      <c r="E19" s="62">
        <v>8000</v>
      </c>
      <c r="F19" s="62">
        <f t="shared" si="0"/>
        <v>6800</v>
      </c>
      <c r="H19" s="52"/>
      <c r="I19" s="52"/>
      <c r="J19" s="52"/>
      <c r="L19" s="104">
        <f>L17*1000</f>
        <v>6111500</v>
      </c>
      <c r="M19" s="57" t="s">
        <v>35</v>
      </c>
    </row>
    <row r="20" spans="2:14" x14ac:dyDescent="0.25">
      <c r="B20" s="53">
        <v>14</v>
      </c>
      <c r="C20" s="54" t="s">
        <v>36</v>
      </c>
      <c r="D20" s="54" t="s">
        <v>8</v>
      </c>
      <c r="E20" s="62">
        <v>7000</v>
      </c>
      <c r="F20" s="62">
        <f t="shared" si="0"/>
        <v>5950</v>
      </c>
      <c r="H20" s="52"/>
      <c r="I20" s="52"/>
      <c r="J20" s="52"/>
      <c r="L20" s="104">
        <f>L19*12</f>
        <v>73338000</v>
      </c>
      <c r="M20" s="57" t="s">
        <v>37</v>
      </c>
    </row>
    <row r="21" spans="2:14" x14ac:dyDescent="0.25">
      <c r="B21" s="53">
        <v>15</v>
      </c>
      <c r="C21" s="54" t="s">
        <v>38</v>
      </c>
      <c r="D21" s="54" t="s">
        <v>13</v>
      </c>
      <c r="E21" s="62">
        <v>2400</v>
      </c>
      <c r="F21" s="62">
        <f t="shared" si="0"/>
        <v>2040</v>
      </c>
      <c r="H21" s="52"/>
      <c r="I21" s="52"/>
      <c r="J21" s="52"/>
    </row>
    <row r="22" spans="2:14" x14ac:dyDescent="0.25">
      <c r="B22" s="200" t="s">
        <v>32</v>
      </c>
      <c r="C22" s="200"/>
      <c r="D22" s="63"/>
      <c r="E22" s="61">
        <f>AVERAGE(E7:E21)</f>
        <v>5838.666666666667</v>
      </c>
      <c r="F22" s="61">
        <f>AVERAGE(F7:F21)</f>
        <v>4962.8666666666668</v>
      </c>
      <c r="H22" s="56"/>
    </row>
    <row r="23" spans="2:14" x14ac:dyDescent="0.25">
      <c r="J23" s="59" t="s">
        <v>2</v>
      </c>
      <c r="K23" s="105">
        <f>F24</f>
        <v>4962866.666666667</v>
      </c>
    </row>
    <row r="24" spans="2:14" x14ac:dyDescent="0.25">
      <c r="F24" s="104">
        <f>F22*1000</f>
        <v>4962866.666666667</v>
      </c>
      <c r="G24" s="57" t="s">
        <v>35</v>
      </c>
      <c r="J24" s="59" t="s">
        <v>39</v>
      </c>
      <c r="K24" s="105">
        <f>L19</f>
        <v>6111500</v>
      </c>
    </row>
    <row r="25" spans="2:14" x14ac:dyDescent="0.25">
      <c r="F25" s="104">
        <f>F24*12</f>
        <v>59554400</v>
      </c>
      <c r="G25" s="57" t="s">
        <v>37</v>
      </c>
      <c r="J25" s="59" t="s">
        <v>40</v>
      </c>
      <c r="K25" s="105">
        <f>K23+K24</f>
        <v>11074366.666666668</v>
      </c>
    </row>
    <row r="26" spans="2:14" x14ac:dyDescent="0.25">
      <c r="B26" s="153" t="s">
        <v>41</v>
      </c>
      <c r="J26" s="59" t="s">
        <v>42</v>
      </c>
      <c r="K26" s="105">
        <f>K25*12</f>
        <v>132892400.00000001</v>
      </c>
    </row>
    <row r="27" spans="2:14" ht="30" x14ac:dyDescent="0.25">
      <c r="B27" s="64" t="s">
        <v>43</v>
      </c>
      <c r="C27" s="54">
        <v>200</v>
      </c>
      <c r="D27" s="62">
        <v>50000</v>
      </c>
    </row>
    <row r="28" spans="2:14" ht="105" x14ac:dyDescent="0.25">
      <c r="B28" s="64" t="s">
        <v>44</v>
      </c>
      <c r="C28" s="54">
        <v>1440</v>
      </c>
      <c r="D28" s="62">
        <v>7000</v>
      </c>
      <c r="F28" s="56"/>
      <c r="G28" s="56"/>
      <c r="H28" s="56"/>
      <c r="I28" s="56"/>
      <c r="J28" s="56"/>
    </row>
    <row r="29" spans="2:14" ht="60" x14ac:dyDescent="0.25">
      <c r="B29" s="64" t="s">
        <v>45</v>
      </c>
      <c r="C29" s="54">
        <v>576</v>
      </c>
      <c r="D29" s="62">
        <v>15000</v>
      </c>
      <c r="F29" s="56"/>
      <c r="G29" s="56"/>
      <c r="H29" s="56"/>
      <c r="I29" s="56"/>
      <c r="J29" s="56"/>
    </row>
  </sheetData>
  <mergeCells count="3">
    <mergeCell ref="B22:C22"/>
    <mergeCell ref="H17:I17"/>
    <mergeCell ref="B2:L4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F31FA-1ECF-412F-B15F-57F3B7DB611D}">
  <dimension ref="B2:N28"/>
  <sheetViews>
    <sheetView workbookViewId="0">
      <selection activeCell="K27" sqref="K27"/>
    </sheetView>
  </sheetViews>
  <sheetFormatPr baseColWidth="10" defaultColWidth="11.42578125" defaultRowHeight="15" x14ac:dyDescent="0.25"/>
  <cols>
    <col min="3" max="3" width="15.42578125" customWidth="1"/>
    <col min="4" max="4" width="17.42578125" bestFit="1" customWidth="1"/>
    <col min="5" max="5" width="24.28515625" bestFit="1" customWidth="1"/>
    <col min="6" max="6" width="28.5703125" bestFit="1" customWidth="1"/>
    <col min="9" max="9" width="13.7109375" bestFit="1" customWidth="1"/>
    <col min="10" max="10" width="22.140625" bestFit="1" customWidth="1"/>
    <col min="11" max="11" width="24.28515625" bestFit="1" customWidth="1"/>
    <col min="12" max="12" width="28.5703125" bestFit="1" customWidth="1"/>
  </cols>
  <sheetData>
    <row r="2" spans="2:12" x14ac:dyDescent="0.25">
      <c r="B2" s="201" t="s">
        <v>46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2:12" x14ac:dyDescent="0.25"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</row>
    <row r="4" spans="2:12" x14ac:dyDescent="0.25"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</row>
    <row r="6" spans="2:12" x14ac:dyDescent="0.25">
      <c r="B6" s="57" t="s">
        <v>1</v>
      </c>
      <c r="C6" s="57" t="s">
        <v>2</v>
      </c>
      <c r="D6" s="57" t="s">
        <v>3</v>
      </c>
      <c r="E6" s="58" t="s">
        <v>4</v>
      </c>
      <c r="F6" s="58" t="s">
        <v>47</v>
      </c>
      <c r="H6" s="59" t="s">
        <v>1</v>
      </c>
      <c r="I6" s="59" t="s">
        <v>6</v>
      </c>
      <c r="J6" s="60" t="s">
        <v>3</v>
      </c>
      <c r="K6" s="60" t="s">
        <v>4</v>
      </c>
      <c r="L6" s="60" t="s">
        <v>47</v>
      </c>
    </row>
    <row r="7" spans="2:12" x14ac:dyDescent="0.25">
      <c r="B7" s="53">
        <v>1</v>
      </c>
      <c r="C7" s="54" t="s">
        <v>7</v>
      </c>
      <c r="D7" s="54" t="s">
        <v>8</v>
      </c>
      <c r="E7" s="62">
        <f>'[1]Anexo 1B Cotizaciones '!$D$20</f>
        <v>5606</v>
      </c>
      <c r="F7" s="62">
        <f t="shared" ref="F7:F21" si="0">E7*0.1</f>
        <v>560.6</v>
      </c>
      <c r="H7" s="53">
        <v>1</v>
      </c>
      <c r="I7" s="54" t="s">
        <v>9</v>
      </c>
      <c r="J7" s="54" t="s">
        <v>8</v>
      </c>
      <c r="K7" s="55">
        <f>'[1]Anexo 1B Cotizaciones '!$T$20</f>
        <v>7105</v>
      </c>
      <c r="L7" s="62">
        <f t="shared" ref="L7:L16" si="1">K7*0.1</f>
        <v>710.5</v>
      </c>
    </row>
    <row r="8" spans="2:12" x14ac:dyDescent="0.25">
      <c r="B8" s="53">
        <v>2</v>
      </c>
      <c r="C8" s="54" t="s">
        <v>10</v>
      </c>
      <c r="D8" s="54" t="s">
        <v>8</v>
      </c>
      <c r="E8" s="62">
        <f>'[1]Anexo 1B Cotizaciones '!$E$20</f>
        <v>4623.5</v>
      </c>
      <c r="F8" s="62">
        <f t="shared" si="0"/>
        <v>462.35</v>
      </c>
      <c r="H8" s="53">
        <v>2</v>
      </c>
      <c r="I8" s="54" t="s">
        <v>11</v>
      </c>
      <c r="J8" s="54" t="s">
        <v>8</v>
      </c>
      <c r="K8" s="55">
        <f>'[1]Anexo 1B Cotizaciones '!$U$20</f>
        <v>4873.75</v>
      </c>
      <c r="L8" s="62">
        <f t="shared" si="1"/>
        <v>487.375</v>
      </c>
    </row>
    <row r="9" spans="2:12" x14ac:dyDescent="0.25">
      <c r="B9" s="53">
        <v>3</v>
      </c>
      <c r="C9" s="54" t="s">
        <v>12</v>
      </c>
      <c r="D9" s="54" t="s">
        <v>13</v>
      </c>
      <c r="E9" s="62">
        <f>'[1]Anexo 1B Cotizaciones '!$F$20</f>
        <v>1740</v>
      </c>
      <c r="F9" s="62">
        <f t="shared" si="0"/>
        <v>174</v>
      </c>
      <c r="H9" s="53">
        <v>3</v>
      </c>
      <c r="I9" s="54" t="s">
        <v>14</v>
      </c>
      <c r="J9" s="54" t="s">
        <v>8</v>
      </c>
      <c r="K9" s="55">
        <f>'[1]Anexo 1B Cotizaciones '!$V$20</f>
        <v>4595</v>
      </c>
      <c r="L9" s="62">
        <f t="shared" si="1"/>
        <v>459.5</v>
      </c>
    </row>
    <row r="10" spans="2:12" x14ac:dyDescent="0.25">
      <c r="B10" s="53">
        <v>4</v>
      </c>
      <c r="C10" s="54" t="s">
        <v>15</v>
      </c>
      <c r="D10" s="54" t="s">
        <v>13</v>
      </c>
      <c r="E10" s="62">
        <f>'[1]Anexo 1B Cotizaciones '!$G$20</f>
        <v>2631.25</v>
      </c>
      <c r="F10" s="62">
        <f t="shared" si="0"/>
        <v>263.125</v>
      </c>
      <c r="H10" s="53">
        <v>4</v>
      </c>
      <c r="I10" s="54" t="s">
        <v>16</v>
      </c>
      <c r="J10" s="54" t="s">
        <v>8</v>
      </c>
      <c r="K10" s="55">
        <f>'[1]Anexo 1B Cotizaciones '!$W$20</f>
        <v>5170</v>
      </c>
      <c r="L10" s="62">
        <f t="shared" si="1"/>
        <v>517</v>
      </c>
    </row>
    <row r="11" spans="2:12" x14ac:dyDescent="0.25">
      <c r="B11" s="53">
        <v>5</v>
      </c>
      <c r="C11" s="54" t="s">
        <v>17</v>
      </c>
      <c r="D11" s="54" t="s">
        <v>13</v>
      </c>
      <c r="E11" s="62">
        <f>'[1]Anexo 1B Cotizaciones '!$H$20</f>
        <v>4668.75</v>
      </c>
      <c r="F11" s="62">
        <f t="shared" si="0"/>
        <v>466.875</v>
      </c>
      <c r="H11" s="53">
        <v>5</v>
      </c>
      <c r="I11" s="54" t="s">
        <v>18</v>
      </c>
      <c r="J11" s="54" t="s">
        <v>13</v>
      </c>
      <c r="K11" s="55">
        <f>'[1]Anexo 1B Cotizaciones '!$X$20</f>
        <v>8165</v>
      </c>
      <c r="L11" s="62">
        <f t="shared" si="1"/>
        <v>816.5</v>
      </c>
    </row>
    <row r="12" spans="2:12" x14ac:dyDescent="0.25">
      <c r="B12" s="53">
        <v>6</v>
      </c>
      <c r="C12" s="54" t="s">
        <v>19</v>
      </c>
      <c r="D12" s="54" t="s">
        <v>13</v>
      </c>
      <c r="E12" s="62">
        <f>'[1]Anexo 1B Cotizaciones '!$I$20</f>
        <v>15825</v>
      </c>
      <c r="F12" s="62">
        <f t="shared" si="0"/>
        <v>1582.5</v>
      </c>
      <c r="H12" s="53">
        <v>6</v>
      </c>
      <c r="I12" s="54" t="s">
        <v>20</v>
      </c>
      <c r="J12" s="54" t="s">
        <v>13</v>
      </c>
      <c r="K12" s="55">
        <f>'[1]Anexo 1B Cotizaciones '!$Y$20</f>
        <v>6262.5</v>
      </c>
      <c r="L12" s="62">
        <f t="shared" si="1"/>
        <v>626.25</v>
      </c>
    </row>
    <row r="13" spans="2:12" x14ac:dyDescent="0.25">
      <c r="B13" s="53">
        <v>7</v>
      </c>
      <c r="C13" s="54" t="s">
        <v>21</v>
      </c>
      <c r="D13" s="54" t="s">
        <v>8</v>
      </c>
      <c r="E13" s="62">
        <f>'[1]Anexo 1B Cotizaciones '!$J$20</f>
        <v>3052.5</v>
      </c>
      <c r="F13" s="62">
        <f t="shared" si="0"/>
        <v>305.25</v>
      </c>
      <c r="H13" s="53">
        <v>7</v>
      </c>
      <c r="I13" s="54" t="s">
        <v>22</v>
      </c>
      <c r="J13" s="54" t="s">
        <v>23</v>
      </c>
      <c r="K13" s="55">
        <f>'[1]Anexo 1B Cotizaciones '!$Z$20</f>
        <v>6232.5</v>
      </c>
      <c r="L13" s="62">
        <f t="shared" si="1"/>
        <v>623.25</v>
      </c>
    </row>
    <row r="14" spans="2:12" x14ac:dyDescent="0.25">
      <c r="B14" s="53">
        <v>8</v>
      </c>
      <c r="C14" s="54" t="s">
        <v>24</v>
      </c>
      <c r="D14" s="54" t="s">
        <v>8</v>
      </c>
      <c r="E14" s="62">
        <f>'[1]Anexo 1B Cotizaciones '!$K$20</f>
        <v>8375</v>
      </c>
      <c r="F14" s="62">
        <f t="shared" si="0"/>
        <v>837.5</v>
      </c>
      <c r="H14" s="53">
        <v>8</v>
      </c>
      <c r="I14" s="54" t="s">
        <v>25</v>
      </c>
      <c r="J14" s="54" t="s">
        <v>8</v>
      </c>
      <c r="K14" s="55">
        <f>'[1]Anexo 1B Cotizaciones '!$AA$20</f>
        <v>4685</v>
      </c>
      <c r="L14" s="62">
        <f t="shared" si="1"/>
        <v>468.5</v>
      </c>
    </row>
    <row r="15" spans="2:12" x14ac:dyDescent="0.25">
      <c r="B15" s="53">
        <v>9</v>
      </c>
      <c r="C15" s="54" t="s">
        <v>26</v>
      </c>
      <c r="D15" s="54" t="s">
        <v>8</v>
      </c>
      <c r="E15" s="62">
        <f>'[1]Anexo 1B Cotizaciones '!$L$20</f>
        <v>3530</v>
      </c>
      <c r="F15" s="62">
        <f t="shared" si="0"/>
        <v>353</v>
      </c>
      <c r="H15" s="53">
        <v>9</v>
      </c>
      <c r="I15" s="54" t="s">
        <v>27</v>
      </c>
      <c r="J15" s="54" t="s">
        <v>8</v>
      </c>
      <c r="K15" s="55">
        <f>'[1]Anexo 1B Cotizaciones '!$AB$20</f>
        <v>21965</v>
      </c>
      <c r="L15" s="62">
        <f t="shared" si="1"/>
        <v>2196.5</v>
      </c>
    </row>
    <row r="16" spans="2:12" x14ac:dyDescent="0.25">
      <c r="B16" s="53">
        <v>10</v>
      </c>
      <c r="C16" s="54" t="s">
        <v>28</v>
      </c>
      <c r="D16" s="54" t="s">
        <v>8</v>
      </c>
      <c r="E16" s="62">
        <f>'[1]Anexo 1B Cotizaciones '!$M$20</f>
        <v>7550</v>
      </c>
      <c r="F16" s="62">
        <f t="shared" si="0"/>
        <v>755</v>
      </c>
      <c r="H16" s="53">
        <v>10</v>
      </c>
      <c r="I16" s="54" t="s">
        <v>29</v>
      </c>
      <c r="J16" s="54" t="s">
        <v>30</v>
      </c>
      <c r="K16" s="55">
        <f>'[1]Anexo 1B Cotizaciones '!$AC$20</f>
        <v>7120</v>
      </c>
      <c r="L16" s="62">
        <f t="shared" si="1"/>
        <v>712</v>
      </c>
    </row>
    <row r="17" spans="2:14" x14ac:dyDescent="0.25">
      <c r="B17" s="53">
        <v>11</v>
      </c>
      <c r="C17" s="54" t="s">
        <v>31</v>
      </c>
      <c r="D17" s="54" t="s">
        <v>13</v>
      </c>
      <c r="E17" s="62">
        <f>'[1]Anexo 1B Cotizaciones '!$N$20</f>
        <v>5415</v>
      </c>
      <c r="F17" s="62">
        <f t="shared" si="0"/>
        <v>541.5</v>
      </c>
      <c r="H17" s="200" t="s">
        <v>32</v>
      </c>
      <c r="I17" s="200"/>
      <c r="J17" s="63"/>
      <c r="K17" s="61">
        <f>AVERAGE(K7:K16)</f>
        <v>7617.375</v>
      </c>
      <c r="L17" s="61">
        <f>AVERAGE(L7:L16)</f>
        <v>761.73749999999995</v>
      </c>
      <c r="N17" s="56"/>
    </row>
    <row r="18" spans="2:14" x14ac:dyDescent="0.25">
      <c r="B18" s="53">
        <v>12</v>
      </c>
      <c r="C18" s="54" t="s">
        <v>33</v>
      </c>
      <c r="D18" s="54" t="s">
        <v>8</v>
      </c>
      <c r="E18" s="62">
        <f>'[1]Anexo 1B Cotizaciones '!$O$20</f>
        <v>8405</v>
      </c>
      <c r="F18" s="62">
        <f t="shared" si="0"/>
        <v>840.5</v>
      </c>
      <c r="H18" s="52"/>
      <c r="I18" s="52"/>
      <c r="J18" s="52"/>
    </row>
    <row r="19" spans="2:14" x14ac:dyDescent="0.25">
      <c r="B19" s="53">
        <v>13</v>
      </c>
      <c r="C19" s="54" t="s">
        <v>34</v>
      </c>
      <c r="D19" s="54" t="s">
        <v>8</v>
      </c>
      <c r="E19" s="62">
        <f>'[1]Anexo 1B Cotizaciones '!$P$20</f>
        <v>8750</v>
      </c>
      <c r="F19" s="62">
        <f t="shared" si="0"/>
        <v>875</v>
      </c>
      <c r="H19" s="52"/>
      <c r="I19" s="52"/>
      <c r="J19" s="52"/>
      <c r="L19" s="104">
        <f>(L17*1000)*25</f>
        <v>19043437.5</v>
      </c>
      <c r="M19" s="57" t="s">
        <v>35</v>
      </c>
    </row>
    <row r="20" spans="2:14" x14ac:dyDescent="0.25">
      <c r="B20" s="53">
        <v>14</v>
      </c>
      <c r="C20" s="54" t="s">
        <v>36</v>
      </c>
      <c r="D20" s="54" t="s">
        <v>8</v>
      </c>
      <c r="E20" s="62">
        <f>'[1]Anexo 1B Cotizaciones '!$Q$20</f>
        <v>8830</v>
      </c>
      <c r="F20" s="62">
        <f t="shared" si="0"/>
        <v>883</v>
      </c>
      <c r="H20" s="52"/>
      <c r="I20" s="52"/>
      <c r="J20" s="52"/>
      <c r="L20" s="104">
        <f>L19*12</f>
        <v>228521250</v>
      </c>
      <c r="M20" s="57" t="s">
        <v>37</v>
      </c>
    </row>
    <row r="21" spans="2:14" x14ac:dyDescent="0.25">
      <c r="B21" s="53">
        <v>15</v>
      </c>
      <c r="C21" s="54" t="s">
        <v>38</v>
      </c>
      <c r="D21" s="54" t="s">
        <v>13</v>
      </c>
      <c r="E21" s="62">
        <f>'[1]Anexo 1B Cotizaciones '!$R$20</f>
        <v>3416.25</v>
      </c>
      <c r="F21" s="62">
        <f t="shared" si="0"/>
        <v>341.625</v>
      </c>
      <c r="H21" s="52"/>
      <c r="I21" s="52"/>
      <c r="J21" s="52"/>
    </row>
    <row r="22" spans="2:14" x14ac:dyDescent="0.25">
      <c r="B22" s="202" t="s">
        <v>32</v>
      </c>
      <c r="C22" s="203"/>
      <c r="D22" s="63"/>
      <c r="E22" s="61">
        <f>AVERAGE(E7:E21)</f>
        <v>6161.2166666666662</v>
      </c>
      <c r="F22" s="61">
        <f>AVERAGE(F7:F21)</f>
        <v>616.12166666666667</v>
      </c>
      <c r="H22" s="56"/>
    </row>
    <row r="23" spans="2:14" x14ac:dyDescent="0.25">
      <c r="I23" s="59" t="s">
        <v>2</v>
      </c>
      <c r="J23" s="105">
        <f>F24</f>
        <v>15403041.666666666</v>
      </c>
    </row>
    <row r="24" spans="2:14" x14ac:dyDescent="0.25">
      <c r="F24" s="104">
        <f>(F22*1000)*25</f>
        <v>15403041.666666666</v>
      </c>
      <c r="G24" s="57" t="s">
        <v>35</v>
      </c>
      <c r="I24" s="59" t="s">
        <v>39</v>
      </c>
      <c r="J24" s="105">
        <f>L19</f>
        <v>19043437.5</v>
      </c>
    </row>
    <row r="25" spans="2:14" x14ac:dyDescent="0.25">
      <c r="F25" s="104">
        <f>F24*12</f>
        <v>184836500</v>
      </c>
      <c r="G25" s="57" t="s">
        <v>37</v>
      </c>
      <c r="I25" s="59" t="s">
        <v>40</v>
      </c>
      <c r="J25" s="105">
        <f>J23+J24</f>
        <v>34446479.166666664</v>
      </c>
    </row>
    <row r="26" spans="2:14" x14ac:dyDescent="0.25">
      <c r="I26" s="59" t="s">
        <v>42</v>
      </c>
      <c r="J26" s="105">
        <f>J25*12</f>
        <v>413357750</v>
      </c>
    </row>
    <row r="27" spans="2:14" ht="45" x14ac:dyDescent="0.25">
      <c r="B27" s="64" t="s">
        <v>48</v>
      </c>
      <c r="C27" s="103" t="s">
        <v>49</v>
      </c>
      <c r="F27" s="56"/>
      <c r="G27" s="56"/>
      <c r="H27" s="56"/>
      <c r="I27" s="56"/>
      <c r="J27" s="56"/>
    </row>
    <row r="28" spans="2:14" ht="60" x14ac:dyDescent="0.25">
      <c r="B28" s="64" t="s">
        <v>45</v>
      </c>
      <c r="C28" s="103" t="s">
        <v>49</v>
      </c>
      <c r="F28" s="56"/>
      <c r="G28" s="56"/>
      <c r="H28" s="56"/>
      <c r="I28" s="56"/>
      <c r="J28" s="56"/>
    </row>
  </sheetData>
  <mergeCells count="3">
    <mergeCell ref="B2:L4"/>
    <mergeCell ref="H17:I17"/>
    <mergeCell ref="B22:C22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F7820-2EAE-4440-BE29-AF110ACF8DDE}">
  <dimension ref="B3:AC26"/>
  <sheetViews>
    <sheetView tabSelected="1" workbookViewId="0">
      <pane ySplit="6" topLeftCell="A7" activePane="bottomLeft" state="frozen"/>
      <selection pane="bottomLeft" activeCell="D23" sqref="D23"/>
    </sheetView>
  </sheetViews>
  <sheetFormatPr baseColWidth="10" defaultColWidth="5" defaultRowHeight="15" x14ac:dyDescent="0.25"/>
  <cols>
    <col min="2" max="2" width="5.28515625" customWidth="1"/>
    <col min="3" max="3" width="18.85546875" bestFit="1" customWidth="1"/>
    <col min="4" max="4" width="11.85546875" bestFit="1" customWidth="1"/>
    <col min="5" max="5" width="13.5703125" bestFit="1" customWidth="1"/>
    <col min="6" max="8" width="7.85546875" bestFit="1" customWidth="1"/>
    <col min="9" max="9" width="10.42578125" bestFit="1" customWidth="1"/>
    <col min="10" max="10" width="7.85546875" bestFit="1" customWidth="1"/>
    <col min="11" max="11" width="8.85546875" bestFit="1" customWidth="1"/>
    <col min="12" max="12" width="7.85546875" bestFit="1" customWidth="1"/>
    <col min="13" max="13" width="8.85546875" bestFit="1" customWidth="1"/>
    <col min="14" max="14" width="7.85546875" bestFit="1" customWidth="1"/>
    <col min="15" max="16" width="8.85546875" bestFit="1" customWidth="1"/>
    <col min="17" max="17" width="10.140625" bestFit="1" customWidth="1"/>
    <col min="18" max="18" width="8.28515625" bestFit="1" customWidth="1"/>
    <col min="20" max="20" width="8.85546875" bestFit="1" customWidth="1"/>
    <col min="21" max="22" width="9.7109375" bestFit="1" customWidth="1"/>
    <col min="23" max="23" width="7.85546875" bestFit="1" customWidth="1"/>
    <col min="24" max="24" width="10.85546875" bestFit="1" customWidth="1"/>
    <col min="25" max="25" width="13.7109375" bestFit="1" customWidth="1"/>
    <col min="26" max="27" width="7.85546875" bestFit="1" customWidth="1"/>
    <col min="28" max="28" width="10.42578125" bestFit="1" customWidth="1"/>
    <col min="29" max="29" width="8.85546875" bestFit="1" customWidth="1"/>
  </cols>
  <sheetData>
    <row r="3" spans="2:29" x14ac:dyDescent="0.25">
      <c r="D3" s="201" t="s">
        <v>50</v>
      </c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T3" s="201" t="s">
        <v>51</v>
      </c>
      <c r="U3" s="201"/>
      <c r="V3" s="201"/>
      <c r="W3" s="201"/>
      <c r="X3" s="201"/>
      <c r="Y3" s="201"/>
      <c r="Z3" s="201"/>
      <c r="AA3" s="201"/>
      <c r="AB3" s="201"/>
      <c r="AC3" s="201"/>
    </row>
    <row r="4" spans="2:29" x14ac:dyDescent="0.25"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</row>
    <row r="5" spans="2:29" ht="18.75" x14ac:dyDescent="0.3">
      <c r="B5" s="204" t="s">
        <v>52</v>
      </c>
      <c r="C5" s="204"/>
      <c r="D5" s="57" t="s">
        <v>7</v>
      </c>
      <c r="E5" s="57" t="s">
        <v>10</v>
      </c>
      <c r="F5" s="57" t="s">
        <v>12</v>
      </c>
      <c r="G5" s="57" t="s">
        <v>15</v>
      </c>
      <c r="H5" s="57" t="s">
        <v>17</v>
      </c>
      <c r="I5" s="57" t="s">
        <v>19</v>
      </c>
      <c r="J5" s="57" t="s">
        <v>21</v>
      </c>
      <c r="K5" s="57" t="s">
        <v>24</v>
      </c>
      <c r="L5" s="57" t="s">
        <v>26</v>
      </c>
      <c r="M5" s="57" t="s">
        <v>28</v>
      </c>
      <c r="N5" s="57" t="s">
        <v>31</v>
      </c>
      <c r="O5" s="57" t="s">
        <v>33</v>
      </c>
      <c r="P5" s="57" t="s">
        <v>34</v>
      </c>
      <c r="Q5" s="57" t="s">
        <v>36</v>
      </c>
      <c r="R5" s="57" t="s">
        <v>38</v>
      </c>
      <c r="T5" s="57" t="s">
        <v>9</v>
      </c>
      <c r="U5" s="57" t="s">
        <v>11</v>
      </c>
      <c r="V5" s="57" t="s">
        <v>14</v>
      </c>
      <c r="W5" s="57" t="s">
        <v>16</v>
      </c>
      <c r="X5" s="57" t="s">
        <v>18</v>
      </c>
      <c r="Y5" s="57" t="s">
        <v>20</v>
      </c>
      <c r="Z5" s="57" t="s">
        <v>22</v>
      </c>
      <c r="AA5" s="57" t="s">
        <v>25</v>
      </c>
      <c r="AB5" s="57" t="s">
        <v>27</v>
      </c>
      <c r="AC5" s="57" t="s">
        <v>29</v>
      </c>
    </row>
    <row r="6" spans="2:29" x14ac:dyDescent="0.25">
      <c r="D6" s="190" t="s">
        <v>8</v>
      </c>
      <c r="E6" s="190" t="s">
        <v>8</v>
      </c>
      <c r="F6" s="190" t="s">
        <v>13</v>
      </c>
      <c r="G6" s="190" t="s">
        <v>13</v>
      </c>
      <c r="H6" s="190" t="s">
        <v>13</v>
      </c>
      <c r="I6" s="190" t="s">
        <v>13</v>
      </c>
      <c r="J6" s="190" t="s">
        <v>8</v>
      </c>
      <c r="K6" s="190" t="s">
        <v>8</v>
      </c>
      <c r="L6" s="190" t="s">
        <v>8</v>
      </c>
      <c r="M6" s="190" t="s">
        <v>8</v>
      </c>
      <c r="N6" s="190" t="s">
        <v>13</v>
      </c>
      <c r="O6" s="190" t="s">
        <v>8</v>
      </c>
      <c r="P6" s="190" t="s">
        <v>8</v>
      </c>
      <c r="Q6" s="190" t="s">
        <v>8</v>
      </c>
      <c r="R6" s="54" t="s">
        <v>13</v>
      </c>
      <c r="T6" s="54" t="s">
        <v>8</v>
      </c>
      <c r="U6" s="190" t="s">
        <v>8</v>
      </c>
      <c r="V6" s="190" t="s">
        <v>8</v>
      </c>
      <c r="W6" s="190" t="s">
        <v>8</v>
      </c>
      <c r="X6" s="190" t="s">
        <v>13</v>
      </c>
      <c r="Y6" s="190" t="s">
        <v>13</v>
      </c>
      <c r="Z6" s="190" t="s">
        <v>23</v>
      </c>
      <c r="AA6" s="190" t="s">
        <v>8</v>
      </c>
      <c r="AB6" s="190" t="s">
        <v>8</v>
      </c>
      <c r="AC6" s="190" t="s">
        <v>30</v>
      </c>
    </row>
    <row r="7" spans="2:29" ht="15" customHeight="1" x14ac:dyDescent="0.25">
      <c r="C7" s="191" t="s">
        <v>53</v>
      </c>
      <c r="D7" s="192">
        <f>13100/2</f>
        <v>6550</v>
      </c>
      <c r="E7" s="192">
        <v>4200</v>
      </c>
      <c r="F7" s="192">
        <v>1600</v>
      </c>
      <c r="G7" s="192">
        <v>3350</v>
      </c>
      <c r="H7" s="192">
        <f>17600/4</f>
        <v>4400</v>
      </c>
      <c r="I7" s="192">
        <v>15400</v>
      </c>
      <c r="J7" s="192">
        <f>7400/2</f>
        <v>3700</v>
      </c>
      <c r="K7" s="192">
        <v>14250</v>
      </c>
      <c r="L7" s="192">
        <f>3.76*500</f>
        <v>1880</v>
      </c>
      <c r="M7" s="192">
        <v>6000</v>
      </c>
      <c r="N7" s="192">
        <f>10600/2</f>
        <v>5300</v>
      </c>
      <c r="O7" s="192">
        <v>6600</v>
      </c>
      <c r="P7" s="192">
        <v>7200</v>
      </c>
      <c r="Q7" s="192">
        <f>3400*4</f>
        <v>13600</v>
      </c>
      <c r="R7" s="192">
        <f>15700/4</f>
        <v>3925</v>
      </c>
      <c r="S7" s="193"/>
      <c r="T7" s="192">
        <v>12200</v>
      </c>
      <c r="U7" s="192">
        <f>10.16*500</f>
        <v>5080</v>
      </c>
      <c r="V7" s="192">
        <v>8700</v>
      </c>
      <c r="W7" s="192">
        <v>7700</v>
      </c>
      <c r="X7" s="192">
        <v>5300</v>
      </c>
      <c r="Y7" s="192">
        <f>14800/2</f>
        <v>7400</v>
      </c>
      <c r="Z7" s="192">
        <f>6650+(6650/2)</f>
        <v>9975</v>
      </c>
      <c r="AA7" s="192">
        <v>7500</v>
      </c>
      <c r="AB7" s="192">
        <v>17000</v>
      </c>
      <c r="AC7" s="192">
        <v>11900</v>
      </c>
    </row>
    <row r="8" spans="2:29" x14ac:dyDescent="0.25">
      <c r="C8" s="191" t="s">
        <v>54</v>
      </c>
      <c r="D8" s="192">
        <v>6000</v>
      </c>
      <c r="E8" s="192">
        <v>6000</v>
      </c>
      <c r="F8" s="192">
        <v>3000</v>
      </c>
      <c r="G8" s="192">
        <v>2500</v>
      </c>
      <c r="H8" s="192">
        <v>5000</v>
      </c>
      <c r="I8" s="192">
        <v>20000</v>
      </c>
      <c r="J8" s="192">
        <v>4000</v>
      </c>
      <c r="K8" s="192">
        <v>10000</v>
      </c>
      <c r="L8" s="192">
        <v>2500</v>
      </c>
      <c r="M8" s="192">
        <v>6500</v>
      </c>
      <c r="N8" s="192">
        <v>7000</v>
      </c>
      <c r="O8" s="192">
        <v>6200</v>
      </c>
      <c r="P8" s="192">
        <v>8500</v>
      </c>
      <c r="Q8" s="192">
        <v>8000</v>
      </c>
      <c r="R8" s="192">
        <f>4800/2</f>
        <v>2400</v>
      </c>
      <c r="S8" s="193"/>
      <c r="T8" s="192">
        <v>4000</v>
      </c>
      <c r="U8" s="192">
        <v>6000</v>
      </c>
      <c r="V8" s="192">
        <v>7000</v>
      </c>
      <c r="W8" s="192">
        <v>8000</v>
      </c>
      <c r="X8" s="192">
        <v>5000</v>
      </c>
      <c r="Y8" s="192">
        <v>6000</v>
      </c>
      <c r="Z8" s="192">
        <v>6000</v>
      </c>
      <c r="AA8" s="192">
        <v>5500</v>
      </c>
      <c r="AB8" s="192">
        <v>23000</v>
      </c>
      <c r="AC8" s="192">
        <v>9400</v>
      </c>
    </row>
    <row r="9" spans="2:29" x14ac:dyDescent="0.25">
      <c r="C9" s="191" t="s">
        <v>55</v>
      </c>
      <c r="D9" s="192">
        <f>15400/2</f>
        <v>7700</v>
      </c>
      <c r="E9" s="192">
        <f>6820/2</f>
        <v>3410</v>
      </c>
      <c r="F9" s="192">
        <f>8910/6</f>
        <v>1485</v>
      </c>
      <c r="G9" s="192">
        <v>2960</v>
      </c>
      <c r="H9" s="192">
        <f>17500/4</f>
        <v>4375</v>
      </c>
      <c r="I9" s="192">
        <f>14900/2</f>
        <v>7450</v>
      </c>
      <c r="J9" s="192">
        <f>4390/2</f>
        <v>2195</v>
      </c>
      <c r="K9" s="192">
        <v>6410</v>
      </c>
      <c r="L9" s="192">
        <f>520*3</f>
        <v>1560</v>
      </c>
      <c r="M9" s="192">
        <f>9140/2</f>
        <v>4570</v>
      </c>
      <c r="N9" s="192">
        <f>10400/2</f>
        <v>5200</v>
      </c>
      <c r="O9" s="192">
        <v>4730</v>
      </c>
      <c r="P9" s="192">
        <v>6590</v>
      </c>
      <c r="Q9" s="192">
        <f>2480*4</f>
        <v>9920</v>
      </c>
      <c r="R9" s="192">
        <f>2740</f>
        <v>2740</v>
      </c>
      <c r="S9" s="193"/>
      <c r="T9" s="192">
        <f>1080*8</f>
        <v>8640</v>
      </c>
      <c r="U9" s="192">
        <f>7.42*500</f>
        <v>3710</v>
      </c>
      <c r="V9" s="192">
        <v>4740</v>
      </c>
      <c r="W9" s="192">
        <f>3900*2</f>
        <v>7800</v>
      </c>
      <c r="X9" s="192">
        <v>4080</v>
      </c>
      <c r="Y9" s="192">
        <v>6900</v>
      </c>
      <c r="Z9" s="192">
        <v>6800</v>
      </c>
      <c r="AA9" s="192">
        <f>1790*4</f>
        <v>7160</v>
      </c>
      <c r="AB9" s="192">
        <v>17700</v>
      </c>
      <c r="AC9" s="192">
        <v>8900</v>
      </c>
    </row>
    <row r="10" spans="2:29" x14ac:dyDescent="0.25">
      <c r="C10" s="191" t="s">
        <v>56</v>
      </c>
      <c r="D10" s="192">
        <v>3100</v>
      </c>
      <c r="E10" s="192">
        <f>2580*2</f>
        <v>5160</v>
      </c>
      <c r="F10" s="192">
        <f>2250/2</f>
        <v>1125</v>
      </c>
      <c r="G10" s="192">
        <v>4000</v>
      </c>
      <c r="H10" s="192">
        <v>4500</v>
      </c>
      <c r="I10" s="192">
        <f>27929/2</f>
        <v>13964.5</v>
      </c>
      <c r="J10" s="192">
        <v>3900</v>
      </c>
      <c r="K10" s="192">
        <f>7500/3</f>
        <v>2500</v>
      </c>
      <c r="L10" s="192">
        <v>1950</v>
      </c>
      <c r="M10" s="192">
        <v>5300</v>
      </c>
      <c r="N10" s="192">
        <v>6000</v>
      </c>
      <c r="O10" s="192">
        <f>3150*2</f>
        <v>6300</v>
      </c>
      <c r="P10" s="192">
        <v>8000</v>
      </c>
      <c r="Q10" s="192">
        <v>8500</v>
      </c>
      <c r="R10" s="192">
        <v>5000</v>
      </c>
      <c r="S10" s="193"/>
      <c r="T10" s="192">
        <v>4800</v>
      </c>
      <c r="U10" s="192">
        <v>3000</v>
      </c>
      <c r="V10" s="192">
        <v>3450</v>
      </c>
      <c r="W10" s="192">
        <v>7500</v>
      </c>
      <c r="X10" s="192">
        <v>2100</v>
      </c>
      <c r="Y10" s="192">
        <v>3160</v>
      </c>
      <c r="Z10" s="192">
        <v>6900</v>
      </c>
      <c r="AA10" s="192">
        <v>2700</v>
      </c>
      <c r="AB10" s="192">
        <v>20000</v>
      </c>
      <c r="AC10" s="192">
        <v>2340</v>
      </c>
    </row>
    <row r="11" spans="2:29" x14ac:dyDescent="0.25">
      <c r="C11" s="191" t="s">
        <v>57</v>
      </c>
      <c r="D11" s="192">
        <v>6000</v>
      </c>
      <c r="E11" s="192">
        <v>3600</v>
      </c>
      <c r="F11" s="192">
        <f>4800/4</f>
        <v>1200</v>
      </c>
      <c r="G11" s="192">
        <f>5300/2</f>
        <v>2650</v>
      </c>
      <c r="H11" s="192">
        <f>12900/2</f>
        <v>6450</v>
      </c>
      <c r="I11" s="192">
        <f>7500*2</f>
        <v>15000</v>
      </c>
      <c r="J11" s="192">
        <v>2800</v>
      </c>
      <c r="K11" s="192">
        <v>4600</v>
      </c>
      <c r="L11" s="192">
        <v>2000</v>
      </c>
      <c r="M11" s="192">
        <v>6300</v>
      </c>
      <c r="N11" s="192">
        <v>3700</v>
      </c>
      <c r="O11" s="192">
        <f>2200+4400+4400</f>
        <v>11000</v>
      </c>
      <c r="P11" s="192">
        <v>8200</v>
      </c>
      <c r="Q11" s="192">
        <v>9600</v>
      </c>
      <c r="R11" s="192">
        <f>7600/2</f>
        <v>3800</v>
      </c>
      <c r="S11" s="193"/>
      <c r="T11" s="192">
        <v>8900</v>
      </c>
      <c r="U11" s="192">
        <v>8700</v>
      </c>
      <c r="V11" s="192">
        <v>5000</v>
      </c>
      <c r="W11" s="192">
        <v>5100</v>
      </c>
      <c r="X11" s="192">
        <v>4800</v>
      </c>
      <c r="Y11" s="192">
        <v>7200</v>
      </c>
      <c r="Z11" s="192">
        <v>8900</v>
      </c>
      <c r="AA11" s="192">
        <v>2800</v>
      </c>
      <c r="AB11" s="192">
        <v>24800</v>
      </c>
      <c r="AC11" s="192">
        <v>10000</v>
      </c>
    </row>
    <row r="12" spans="2:29" x14ac:dyDescent="0.25">
      <c r="C12" s="191" t="s">
        <v>58</v>
      </c>
      <c r="D12" s="192">
        <f>1650*4</f>
        <v>6600</v>
      </c>
      <c r="E12" s="192">
        <f>1513*4</f>
        <v>6052</v>
      </c>
      <c r="F12" s="192">
        <f>6800/4</f>
        <v>1700</v>
      </c>
      <c r="G12" s="192">
        <v>3500</v>
      </c>
      <c r="H12" s="192">
        <f>16000/4</f>
        <v>4000</v>
      </c>
      <c r="I12" s="192">
        <f>6950*2</f>
        <v>13900</v>
      </c>
      <c r="J12" s="192">
        <v>3800</v>
      </c>
      <c r="K12" s="192">
        <v>7500</v>
      </c>
      <c r="L12" s="192">
        <v>3800</v>
      </c>
      <c r="M12" s="192">
        <f>3200*2</f>
        <v>6400</v>
      </c>
      <c r="N12" s="192">
        <v>7600</v>
      </c>
      <c r="O12" s="192">
        <f>5000</f>
        <v>5000</v>
      </c>
      <c r="P12" s="192">
        <f>6000</f>
        <v>6000</v>
      </c>
      <c r="Q12" s="192">
        <f>1950*4</f>
        <v>7800</v>
      </c>
      <c r="R12" s="192">
        <f>8400/2</f>
        <v>4200</v>
      </c>
      <c r="S12" s="193"/>
      <c r="T12" s="192">
        <f>4800/2</f>
        <v>2400</v>
      </c>
      <c r="U12" s="192">
        <f>5400/2</f>
        <v>2700</v>
      </c>
      <c r="V12" s="192">
        <f>3800/2</f>
        <v>1900</v>
      </c>
      <c r="W12" s="192">
        <f>3200</f>
        <v>3200</v>
      </c>
      <c r="X12" s="192">
        <f>7000/2</f>
        <v>3500</v>
      </c>
      <c r="Y12" s="192">
        <f>1600*4</f>
        <v>6400</v>
      </c>
      <c r="Z12" s="192">
        <f>3800*2</f>
        <v>7600</v>
      </c>
      <c r="AA12" s="192">
        <f>5800/2</f>
        <v>2900</v>
      </c>
      <c r="AB12" s="192">
        <v>23000</v>
      </c>
      <c r="AC12" s="192">
        <f>8800/2</f>
        <v>4400</v>
      </c>
    </row>
    <row r="13" spans="2:29" ht="15" customHeight="1" x14ac:dyDescent="0.25">
      <c r="C13" s="191" t="s">
        <v>59</v>
      </c>
      <c r="D13" s="192">
        <f>11030/2</f>
        <v>5515</v>
      </c>
      <c r="E13" s="192">
        <f>6390/2</f>
        <v>3195</v>
      </c>
      <c r="F13" s="192">
        <f>2360/4</f>
        <v>590</v>
      </c>
      <c r="G13" s="192">
        <f>5050/4</f>
        <v>1262.5</v>
      </c>
      <c r="H13" s="192">
        <v>2887.5</v>
      </c>
      <c r="I13" s="192">
        <f>6730*2</f>
        <v>13460</v>
      </c>
      <c r="J13" s="192">
        <f>4210/2</f>
        <v>2105</v>
      </c>
      <c r="K13" s="192">
        <v>3500</v>
      </c>
      <c r="L13" s="192">
        <f>4710/2</f>
        <v>2355</v>
      </c>
      <c r="M13" s="192">
        <v>3870</v>
      </c>
      <c r="N13" s="192">
        <v>5480</v>
      </c>
      <c r="O13" s="192">
        <v>4210</v>
      </c>
      <c r="P13" s="192">
        <f>3395*2</f>
        <v>6790</v>
      </c>
      <c r="Q13" s="192">
        <f>8120/2</f>
        <v>4060</v>
      </c>
      <c r="R13" s="192">
        <f>5890/4</f>
        <v>1472.5</v>
      </c>
      <c r="S13" s="193"/>
      <c r="T13" s="192">
        <f>4020/2</f>
        <v>2010</v>
      </c>
      <c r="U13" s="192">
        <f>2095/2</f>
        <v>1047.5</v>
      </c>
      <c r="V13" s="192">
        <f>980/2</f>
        <v>490</v>
      </c>
      <c r="W13" s="192">
        <f>4680/2</f>
        <v>2340</v>
      </c>
      <c r="X13" s="192">
        <f>3720/4</f>
        <v>930</v>
      </c>
      <c r="Y13" s="192">
        <v>6722</v>
      </c>
      <c r="Z13" s="192">
        <v>4400</v>
      </c>
      <c r="AA13" s="192">
        <v>1470</v>
      </c>
      <c r="AB13" s="192">
        <v>26930</v>
      </c>
      <c r="AC13" s="192">
        <v>4350</v>
      </c>
    </row>
    <row r="14" spans="2:29" ht="15" customHeight="1" x14ac:dyDescent="0.25">
      <c r="C14" s="191" t="s">
        <v>60</v>
      </c>
      <c r="D14" s="192">
        <f>2028*4</f>
        <v>8112</v>
      </c>
      <c r="E14" s="192">
        <v>5300</v>
      </c>
      <c r="F14" s="192">
        <f>5750/2</f>
        <v>2875</v>
      </c>
      <c r="G14" s="192">
        <f>3780</f>
        <v>3780</v>
      </c>
      <c r="H14" s="192">
        <v>3500</v>
      </c>
      <c r="I14" s="192">
        <f>12100*2</f>
        <v>24200</v>
      </c>
      <c r="J14" s="192">
        <f>8000/2</f>
        <v>4000</v>
      </c>
      <c r="K14" s="192">
        <v>6800</v>
      </c>
      <c r="L14" s="192">
        <v>2900</v>
      </c>
      <c r="M14" s="192">
        <v>12300</v>
      </c>
      <c r="N14" s="192">
        <v>8500</v>
      </c>
      <c r="O14" s="192">
        <f>6300*2</f>
        <v>12600</v>
      </c>
      <c r="P14" s="192">
        <v>11500</v>
      </c>
      <c r="Q14" s="192">
        <f>2713*4</f>
        <v>10852</v>
      </c>
      <c r="R14" s="192">
        <f>2680*2</f>
        <v>5360</v>
      </c>
      <c r="S14" s="193"/>
      <c r="T14" s="192">
        <v>8900</v>
      </c>
      <c r="U14" s="192">
        <f>2450*2</f>
        <v>4900</v>
      </c>
      <c r="V14" s="192">
        <v>7600</v>
      </c>
      <c r="W14" s="192">
        <v>6500</v>
      </c>
      <c r="X14" s="192">
        <f>2600</f>
        <v>2600</v>
      </c>
      <c r="Y14" s="192">
        <v>9800</v>
      </c>
      <c r="Z14" s="192">
        <v>7300</v>
      </c>
      <c r="AA14" s="192">
        <v>3600</v>
      </c>
      <c r="AB14" s="192">
        <v>21500</v>
      </c>
      <c r="AC14" s="192">
        <v>11200</v>
      </c>
    </row>
    <row r="15" spans="2:29" ht="15" customHeight="1" x14ac:dyDescent="0.25">
      <c r="C15" s="191" t="s">
        <v>61</v>
      </c>
      <c r="D15" s="192">
        <f>11900/2</f>
        <v>5950</v>
      </c>
      <c r="E15" s="192">
        <f>11500/3</f>
        <v>3833.3333333333335</v>
      </c>
      <c r="F15" s="192">
        <f>(9600/5)/4</f>
        <v>480</v>
      </c>
      <c r="G15" s="192">
        <f>12600/5</f>
        <v>2520</v>
      </c>
      <c r="H15" s="192">
        <f>15900/4</f>
        <v>3975</v>
      </c>
      <c r="I15" s="192">
        <f>19900/2</f>
        <v>9950</v>
      </c>
      <c r="J15" s="192">
        <f>6300/2</f>
        <v>3150</v>
      </c>
      <c r="K15" s="192">
        <v>6300</v>
      </c>
      <c r="L15" s="192">
        <f>5300/2</f>
        <v>2650</v>
      </c>
      <c r="M15" s="192">
        <f>5600/2</f>
        <v>2800</v>
      </c>
      <c r="N15" s="192">
        <f>12300/10</f>
        <v>1230</v>
      </c>
      <c r="O15" s="192">
        <f>12600/2</f>
        <v>6300</v>
      </c>
      <c r="P15" s="192">
        <f>17900/2</f>
        <v>8950</v>
      </c>
      <c r="Q15" s="192">
        <f>12500/2</f>
        <v>6250</v>
      </c>
      <c r="R15" s="192">
        <f>18500/6</f>
        <v>3083.3333333333335</v>
      </c>
      <c r="S15" s="193"/>
      <c r="T15" s="192">
        <f>14900/5</f>
        <v>2980</v>
      </c>
      <c r="U15" s="192">
        <f>6600/2</f>
        <v>3300</v>
      </c>
      <c r="V15" s="192">
        <f>9900/5</f>
        <v>1980</v>
      </c>
      <c r="W15" s="192">
        <f>13500/4</f>
        <v>3375</v>
      </c>
      <c r="X15" s="192">
        <f>10900/4</f>
        <v>2725</v>
      </c>
      <c r="Y15" s="192">
        <f>10900/4</f>
        <v>2725</v>
      </c>
      <c r="Z15" s="192">
        <f>16.6*150</f>
        <v>2490</v>
      </c>
      <c r="AA15" s="192">
        <f>8300/2</f>
        <v>4150</v>
      </c>
      <c r="AB15" s="192">
        <v>17900</v>
      </c>
      <c r="AC15" s="192">
        <f>7300/2</f>
        <v>3650</v>
      </c>
    </row>
    <row r="16" spans="2:29" x14ac:dyDescent="0.25">
      <c r="C16" s="191" t="s">
        <v>62</v>
      </c>
      <c r="D16" s="192">
        <v>6500</v>
      </c>
      <c r="E16" s="192">
        <v>4800</v>
      </c>
      <c r="F16" s="192">
        <v>1900</v>
      </c>
      <c r="G16" s="192">
        <v>3800</v>
      </c>
      <c r="H16" s="192">
        <v>4300</v>
      </c>
      <c r="I16" s="192">
        <f>16000</f>
        <v>16000</v>
      </c>
      <c r="J16" s="192">
        <v>3500</v>
      </c>
      <c r="K16" s="192">
        <v>12000</v>
      </c>
      <c r="L16" s="192">
        <v>5500</v>
      </c>
      <c r="M16" s="192">
        <f>5900/2</f>
        <v>2950</v>
      </c>
      <c r="N16" s="192">
        <v>9600</v>
      </c>
      <c r="O16" s="192">
        <v>8500</v>
      </c>
      <c r="P16" s="192">
        <v>9000</v>
      </c>
      <c r="Q16" s="192">
        <f>1400*5</f>
        <v>7000</v>
      </c>
      <c r="R16" s="192">
        <v>5200</v>
      </c>
      <c r="S16" s="193"/>
      <c r="T16" s="192">
        <v>6600</v>
      </c>
      <c r="U16" s="192">
        <v>2600</v>
      </c>
      <c r="V16" s="192">
        <v>3400</v>
      </c>
      <c r="W16" s="192">
        <v>7200</v>
      </c>
      <c r="X16" s="192">
        <f>7700*2</f>
        <v>15400</v>
      </c>
      <c r="Y16" s="192">
        <v>7500</v>
      </c>
      <c r="Z16" s="192">
        <v>4500</v>
      </c>
      <c r="AA16" s="192">
        <v>7900</v>
      </c>
      <c r="AB16" s="192">
        <v>25000</v>
      </c>
      <c r="AC16" s="192">
        <v>4300</v>
      </c>
    </row>
    <row r="18" spans="2:29" x14ac:dyDescent="0.25">
      <c r="B18" s="194"/>
      <c r="C18" s="195" t="s">
        <v>63</v>
      </c>
      <c r="D18" s="196">
        <f t="shared" ref="D18:R18" si="0">MAX(D7:D16)</f>
        <v>8112</v>
      </c>
      <c r="E18" s="196">
        <f t="shared" si="0"/>
        <v>6052</v>
      </c>
      <c r="F18" s="196">
        <f t="shared" si="0"/>
        <v>3000</v>
      </c>
      <c r="G18" s="196">
        <f t="shared" si="0"/>
        <v>4000</v>
      </c>
      <c r="H18" s="196">
        <f t="shared" si="0"/>
        <v>6450</v>
      </c>
      <c r="I18" s="196">
        <f t="shared" si="0"/>
        <v>24200</v>
      </c>
      <c r="J18" s="196">
        <f t="shared" si="0"/>
        <v>4000</v>
      </c>
      <c r="K18" s="196">
        <f t="shared" si="0"/>
        <v>14250</v>
      </c>
      <c r="L18" s="196">
        <f t="shared" si="0"/>
        <v>5500</v>
      </c>
      <c r="M18" s="196">
        <f t="shared" si="0"/>
        <v>12300</v>
      </c>
      <c r="N18" s="196">
        <f t="shared" si="0"/>
        <v>9600</v>
      </c>
      <c r="O18" s="196">
        <f t="shared" si="0"/>
        <v>12600</v>
      </c>
      <c r="P18" s="196">
        <f t="shared" si="0"/>
        <v>11500</v>
      </c>
      <c r="Q18" s="196">
        <f t="shared" si="0"/>
        <v>13600</v>
      </c>
      <c r="R18" s="196">
        <f t="shared" si="0"/>
        <v>5360</v>
      </c>
      <c r="T18" s="196">
        <f t="shared" ref="T18:AC18" si="1">MAX(T7:T16)</f>
        <v>12200</v>
      </c>
      <c r="U18" s="196">
        <f t="shared" si="1"/>
        <v>8700</v>
      </c>
      <c r="V18" s="196">
        <f t="shared" si="1"/>
        <v>8700</v>
      </c>
      <c r="W18" s="196">
        <f t="shared" si="1"/>
        <v>8000</v>
      </c>
      <c r="X18" s="196">
        <f t="shared" si="1"/>
        <v>15400</v>
      </c>
      <c r="Y18" s="196">
        <f t="shared" si="1"/>
        <v>9800</v>
      </c>
      <c r="Z18" s="196">
        <f t="shared" si="1"/>
        <v>9975</v>
      </c>
      <c r="AA18" s="196">
        <f t="shared" si="1"/>
        <v>7900</v>
      </c>
      <c r="AB18" s="196">
        <f t="shared" si="1"/>
        <v>26930</v>
      </c>
      <c r="AC18" s="196">
        <f t="shared" si="1"/>
        <v>11900</v>
      </c>
    </row>
    <row r="19" spans="2:29" x14ac:dyDescent="0.25">
      <c r="B19" s="194"/>
      <c r="C19" s="195" t="s">
        <v>64</v>
      </c>
      <c r="D19" s="196">
        <f t="shared" ref="D19:R19" si="2">MIN(D7:D16)</f>
        <v>3100</v>
      </c>
      <c r="E19" s="196">
        <f t="shared" si="2"/>
        <v>3195</v>
      </c>
      <c r="F19" s="196">
        <f t="shared" si="2"/>
        <v>480</v>
      </c>
      <c r="G19" s="196">
        <f t="shared" si="2"/>
        <v>1262.5</v>
      </c>
      <c r="H19" s="196">
        <f t="shared" si="2"/>
        <v>2887.5</v>
      </c>
      <c r="I19" s="196">
        <f t="shared" si="2"/>
        <v>7450</v>
      </c>
      <c r="J19" s="196">
        <f t="shared" si="2"/>
        <v>2105</v>
      </c>
      <c r="K19" s="196">
        <f t="shared" si="2"/>
        <v>2500</v>
      </c>
      <c r="L19" s="196">
        <f t="shared" si="2"/>
        <v>1560</v>
      </c>
      <c r="M19" s="196">
        <f t="shared" si="2"/>
        <v>2800</v>
      </c>
      <c r="N19" s="196">
        <f t="shared" si="2"/>
        <v>1230</v>
      </c>
      <c r="O19" s="196">
        <f t="shared" si="2"/>
        <v>4210</v>
      </c>
      <c r="P19" s="196">
        <f t="shared" si="2"/>
        <v>6000</v>
      </c>
      <c r="Q19" s="196">
        <f t="shared" si="2"/>
        <v>4060</v>
      </c>
      <c r="R19" s="196">
        <f t="shared" si="2"/>
        <v>1472.5</v>
      </c>
      <c r="T19" s="196">
        <f t="shared" ref="T19:AC19" si="3">MIN(T7:T16)</f>
        <v>2010</v>
      </c>
      <c r="U19" s="196">
        <f t="shared" si="3"/>
        <v>1047.5</v>
      </c>
      <c r="V19" s="196">
        <f t="shared" si="3"/>
        <v>490</v>
      </c>
      <c r="W19" s="196">
        <f t="shared" si="3"/>
        <v>2340</v>
      </c>
      <c r="X19" s="196">
        <f t="shared" si="3"/>
        <v>930</v>
      </c>
      <c r="Y19" s="196">
        <f t="shared" si="3"/>
        <v>2725</v>
      </c>
      <c r="Z19" s="196">
        <f t="shared" si="3"/>
        <v>2490</v>
      </c>
      <c r="AA19" s="196">
        <f t="shared" si="3"/>
        <v>1470</v>
      </c>
      <c r="AB19" s="196">
        <f t="shared" si="3"/>
        <v>17000</v>
      </c>
      <c r="AC19" s="196">
        <f t="shared" si="3"/>
        <v>2340</v>
      </c>
    </row>
    <row r="20" spans="2:29" x14ac:dyDescent="0.25">
      <c r="B20" s="194"/>
      <c r="C20" s="195" t="s">
        <v>65</v>
      </c>
      <c r="D20" s="196">
        <f>(D18+D19)/2</f>
        <v>5606</v>
      </c>
      <c r="E20" s="196">
        <f t="shared" ref="E20:AC20" si="4">(E18+E19)/2</f>
        <v>4623.5</v>
      </c>
      <c r="F20" s="196">
        <f t="shared" si="4"/>
        <v>1740</v>
      </c>
      <c r="G20" s="196">
        <f t="shared" si="4"/>
        <v>2631.25</v>
      </c>
      <c r="H20" s="196">
        <f t="shared" si="4"/>
        <v>4668.75</v>
      </c>
      <c r="I20" s="196">
        <f t="shared" si="4"/>
        <v>15825</v>
      </c>
      <c r="J20" s="196">
        <f t="shared" si="4"/>
        <v>3052.5</v>
      </c>
      <c r="K20" s="196">
        <f t="shared" si="4"/>
        <v>8375</v>
      </c>
      <c r="L20" s="196">
        <f t="shared" si="4"/>
        <v>3530</v>
      </c>
      <c r="M20" s="196">
        <f t="shared" si="4"/>
        <v>7550</v>
      </c>
      <c r="N20" s="196">
        <f t="shared" si="4"/>
        <v>5415</v>
      </c>
      <c r="O20" s="196">
        <f t="shared" si="4"/>
        <v>8405</v>
      </c>
      <c r="P20" s="196">
        <f t="shared" si="4"/>
        <v>8750</v>
      </c>
      <c r="Q20" s="196">
        <f t="shared" si="4"/>
        <v>8830</v>
      </c>
      <c r="R20" s="196">
        <f t="shared" si="4"/>
        <v>3416.25</v>
      </c>
      <c r="S20" s="56"/>
      <c r="T20" s="196">
        <f t="shared" si="4"/>
        <v>7105</v>
      </c>
      <c r="U20" s="196">
        <f t="shared" si="4"/>
        <v>4873.75</v>
      </c>
      <c r="V20" s="196">
        <f t="shared" si="4"/>
        <v>4595</v>
      </c>
      <c r="W20" s="196">
        <f t="shared" si="4"/>
        <v>5170</v>
      </c>
      <c r="X20" s="196">
        <f t="shared" si="4"/>
        <v>8165</v>
      </c>
      <c r="Y20" s="196">
        <f t="shared" si="4"/>
        <v>6262.5</v>
      </c>
      <c r="Z20" s="196">
        <f t="shared" si="4"/>
        <v>6232.5</v>
      </c>
      <c r="AA20" s="196">
        <f t="shared" si="4"/>
        <v>4685</v>
      </c>
      <c r="AB20" s="196">
        <f t="shared" si="4"/>
        <v>21965</v>
      </c>
      <c r="AC20" s="196">
        <f t="shared" si="4"/>
        <v>7120</v>
      </c>
    </row>
    <row r="21" spans="2:29" x14ac:dyDescent="0.25">
      <c r="B21" s="194"/>
      <c r="C21" s="195" t="s">
        <v>66</v>
      </c>
      <c r="D21" s="196">
        <f>(D18-D19)/4</f>
        <v>1253</v>
      </c>
      <c r="E21" s="196">
        <f t="shared" ref="E21:AC21" si="5">(E18-E19)/4</f>
        <v>714.25</v>
      </c>
      <c r="F21" s="196">
        <f t="shared" si="5"/>
        <v>630</v>
      </c>
      <c r="G21" s="196">
        <f t="shared" si="5"/>
        <v>684.375</v>
      </c>
      <c r="H21" s="196">
        <f t="shared" si="5"/>
        <v>890.625</v>
      </c>
      <c r="I21" s="196">
        <f t="shared" si="5"/>
        <v>4187.5</v>
      </c>
      <c r="J21" s="196">
        <f t="shared" si="5"/>
        <v>473.75</v>
      </c>
      <c r="K21" s="196">
        <f t="shared" si="5"/>
        <v>2937.5</v>
      </c>
      <c r="L21" s="196">
        <f t="shared" si="5"/>
        <v>985</v>
      </c>
      <c r="M21" s="196">
        <f t="shared" si="5"/>
        <v>2375</v>
      </c>
      <c r="N21" s="196">
        <f t="shared" si="5"/>
        <v>2092.5</v>
      </c>
      <c r="O21" s="196">
        <f t="shared" si="5"/>
        <v>2097.5</v>
      </c>
      <c r="P21" s="196">
        <f t="shared" si="5"/>
        <v>1375</v>
      </c>
      <c r="Q21" s="196">
        <f t="shared" si="5"/>
        <v>2385</v>
      </c>
      <c r="R21" s="196">
        <f t="shared" si="5"/>
        <v>971.875</v>
      </c>
      <c r="S21" s="56"/>
      <c r="T21" s="196">
        <f t="shared" si="5"/>
        <v>2547.5</v>
      </c>
      <c r="U21" s="196">
        <f t="shared" si="5"/>
        <v>1913.125</v>
      </c>
      <c r="V21" s="196">
        <f t="shared" si="5"/>
        <v>2052.5</v>
      </c>
      <c r="W21" s="196">
        <f t="shared" si="5"/>
        <v>1415</v>
      </c>
      <c r="X21" s="196">
        <f t="shared" si="5"/>
        <v>3617.5</v>
      </c>
      <c r="Y21" s="196">
        <f t="shared" si="5"/>
        <v>1768.75</v>
      </c>
      <c r="Z21" s="196">
        <f t="shared" si="5"/>
        <v>1871.25</v>
      </c>
      <c r="AA21" s="196">
        <f t="shared" si="5"/>
        <v>1607.5</v>
      </c>
      <c r="AB21" s="196">
        <f t="shared" si="5"/>
        <v>2482.5</v>
      </c>
      <c r="AC21" s="196">
        <f t="shared" si="5"/>
        <v>2390</v>
      </c>
    </row>
    <row r="22" spans="2:29" ht="30" x14ac:dyDescent="0.25">
      <c r="B22" s="194"/>
      <c r="C22" s="197" t="s">
        <v>67</v>
      </c>
      <c r="D22" s="196">
        <f>D20-D21</f>
        <v>4353</v>
      </c>
      <c r="E22" s="196">
        <f t="shared" ref="E22:AC22" si="6">E20-E21</f>
        <v>3909.25</v>
      </c>
      <c r="F22" s="196">
        <f t="shared" si="6"/>
        <v>1110</v>
      </c>
      <c r="G22" s="196">
        <f t="shared" si="6"/>
        <v>1946.875</v>
      </c>
      <c r="H22" s="196">
        <f t="shared" si="6"/>
        <v>3778.125</v>
      </c>
      <c r="I22" s="196">
        <f t="shared" si="6"/>
        <v>11637.5</v>
      </c>
      <c r="J22" s="196">
        <f t="shared" si="6"/>
        <v>2578.75</v>
      </c>
      <c r="K22" s="196">
        <f t="shared" si="6"/>
        <v>5437.5</v>
      </c>
      <c r="L22" s="196">
        <f t="shared" si="6"/>
        <v>2545</v>
      </c>
      <c r="M22" s="196">
        <f t="shared" si="6"/>
        <v>5175</v>
      </c>
      <c r="N22" s="196">
        <f t="shared" si="6"/>
        <v>3322.5</v>
      </c>
      <c r="O22" s="196">
        <f t="shared" si="6"/>
        <v>6307.5</v>
      </c>
      <c r="P22" s="196">
        <f t="shared" si="6"/>
        <v>7375</v>
      </c>
      <c r="Q22" s="196">
        <f t="shared" si="6"/>
        <v>6445</v>
      </c>
      <c r="R22" s="196">
        <f t="shared" si="6"/>
        <v>2444.375</v>
      </c>
      <c r="S22" s="56"/>
      <c r="T22" s="196">
        <f t="shared" si="6"/>
        <v>4557.5</v>
      </c>
      <c r="U22" s="196">
        <f t="shared" si="6"/>
        <v>2960.625</v>
      </c>
      <c r="V22" s="196">
        <f t="shared" si="6"/>
        <v>2542.5</v>
      </c>
      <c r="W22" s="196">
        <f t="shared" si="6"/>
        <v>3755</v>
      </c>
      <c r="X22" s="196">
        <f t="shared" si="6"/>
        <v>4547.5</v>
      </c>
      <c r="Y22" s="196">
        <f t="shared" si="6"/>
        <v>4493.75</v>
      </c>
      <c r="Z22" s="196">
        <f t="shared" si="6"/>
        <v>4361.25</v>
      </c>
      <c r="AA22" s="196">
        <f t="shared" si="6"/>
        <v>3077.5</v>
      </c>
      <c r="AB22" s="196">
        <f t="shared" si="6"/>
        <v>19482.5</v>
      </c>
      <c r="AC22" s="196">
        <f t="shared" si="6"/>
        <v>4730</v>
      </c>
    </row>
    <row r="23" spans="2:29" ht="30" x14ac:dyDescent="0.25">
      <c r="B23" s="194"/>
      <c r="C23" s="197" t="s">
        <v>68</v>
      </c>
      <c r="D23" s="196">
        <f>D20+D21</f>
        <v>6859</v>
      </c>
      <c r="E23" s="196">
        <f t="shared" ref="E23:AC23" si="7">E20+E21</f>
        <v>5337.75</v>
      </c>
      <c r="F23" s="196">
        <f t="shared" si="7"/>
        <v>2370</v>
      </c>
      <c r="G23" s="196">
        <f t="shared" si="7"/>
        <v>3315.625</v>
      </c>
      <c r="H23" s="196">
        <f t="shared" si="7"/>
        <v>5559.375</v>
      </c>
      <c r="I23" s="196">
        <f t="shared" si="7"/>
        <v>20012.5</v>
      </c>
      <c r="J23" s="196">
        <f t="shared" si="7"/>
        <v>3526.25</v>
      </c>
      <c r="K23" s="196">
        <f t="shared" si="7"/>
        <v>11312.5</v>
      </c>
      <c r="L23" s="196">
        <f t="shared" si="7"/>
        <v>4515</v>
      </c>
      <c r="M23" s="196">
        <f t="shared" si="7"/>
        <v>9925</v>
      </c>
      <c r="N23" s="196">
        <f t="shared" si="7"/>
        <v>7507.5</v>
      </c>
      <c r="O23" s="196">
        <f t="shared" si="7"/>
        <v>10502.5</v>
      </c>
      <c r="P23" s="196">
        <f t="shared" si="7"/>
        <v>10125</v>
      </c>
      <c r="Q23" s="196">
        <f t="shared" si="7"/>
        <v>11215</v>
      </c>
      <c r="R23" s="196">
        <f t="shared" si="7"/>
        <v>4388.125</v>
      </c>
      <c r="S23" s="56"/>
      <c r="T23" s="196">
        <f t="shared" si="7"/>
        <v>9652.5</v>
      </c>
      <c r="U23" s="196">
        <f t="shared" si="7"/>
        <v>6786.875</v>
      </c>
      <c r="V23" s="196">
        <f t="shared" si="7"/>
        <v>6647.5</v>
      </c>
      <c r="W23" s="196">
        <f t="shared" si="7"/>
        <v>6585</v>
      </c>
      <c r="X23" s="196">
        <f t="shared" si="7"/>
        <v>11782.5</v>
      </c>
      <c r="Y23" s="196">
        <f t="shared" si="7"/>
        <v>8031.25</v>
      </c>
      <c r="Z23" s="196">
        <f t="shared" si="7"/>
        <v>8103.75</v>
      </c>
      <c r="AA23" s="196">
        <f t="shared" si="7"/>
        <v>6292.5</v>
      </c>
      <c r="AB23" s="196">
        <f t="shared" si="7"/>
        <v>24447.5</v>
      </c>
      <c r="AC23" s="196">
        <f t="shared" si="7"/>
        <v>9510</v>
      </c>
    </row>
    <row r="26" spans="2:29" x14ac:dyDescent="0.25">
      <c r="D26" s="56"/>
    </row>
  </sheetData>
  <mergeCells count="3">
    <mergeCell ref="D3:R4"/>
    <mergeCell ref="T3:AC4"/>
    <mergeCell ref="B5:C5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BC261-34F0-4B8B-B765-A908699C4240}">
  <sheetPr>
    <pageSetUpPr fitToPage="1"/>
  </sheetPr>
  <dimension ref="A1:N42"/>
  <sheetViews>
    <sheetView showGridLines="0" zoomScaleNormal="100" workbookViewId="0">
      <pane xSplit="1" ySplit="8" topLeftCell="B19" activePane="bottomRight" state="frozen"/>
      <selection pane="topRight" activeCell="B1" sqref="B1"/>
      <selection pane="bottomLeft" activeCell="A4" sqref="A4"/>
      <selection pane="bottomRight" activeCell="I24" sqref="I24"/>
    </sheetView>
  </sheetViews>
  <sheetFormatPr baseColWidth="10" defaultColWidth="11.42578125" defaultRowHeight="15" x14ac:dyDescent="0.25"/>
  <cols>
    <col min="1" max="1" width="10.7109375" style="65" customWidth="1"/>
    <col min="2" max="2" width="8.7109375" style="65" customWidth="1"/>
    <col min="3" max="3" width="33.5703125" style="65" bestFit="1" customWidth="1"/>
    <col min="4" max="4" width="13.85546875" style="65" bestFit="1" customWidth="1"/>
    <col min="5" max="5" width="17.42578125" style="65" bestFit="1" customWidth="1"/>
    <col min="6" max="6" width="2.140625" style="65" customWidth="1"/>
    <col min="7" max="7" width="9.140625" style="65" customWidth="1"/>
    <col min="8" max="8" width="21.140625" style="65" customWidth="1"/>
    <col min="9" max="9" width="13.85546875" style="65" bestFit="1" customWidth="1"/>
    <col min="10" max="10" width="14.42578125" style="65" bestFit="1" customWidth="1"/>
    <col min="11" max="13" width="12.5703125" style="65" bestFit="1" customWidth="1"/>
    <col min="14" max="14" width="15.42578125" style="65" bestFit="1" customWidth="1"/>
    <col min="15" max="256" width="11.42578125" style="65"/>
    <col min="257" max="257" width="10.7109375" style="65" customWidth="1"/>
    <col min="258" max="258" width="8.7109375" style="65" customWidth="1"/>
    <col min="259" max="259" width="21.42578125" style="65" bestFit="1" customWidth="1"/>
    <col min="260" max="260" width="13.85546875" style="65" bestFit="1" customWidth="1"/>
    <col min="261" max="261" width="17.42578125" style="65" bestFit="1" customWidth="1"/>
    <col min="262" max="262" width="2.140625" style="65" customWidth="1"/>
    <col min="263" max="263" width="9.140625" style="65" customWidth="1"/>
    <col min="264" max="264" width="21.140625" style="65" customWidth="1"/>
    <col min="265" max="265" width="13.85546875" style="65" bestFit="1" customWidth="1"/>
    <col min="266" max="266" width="14.42578125" style="65" bestFit="1" customWidth="1"/>
    <col min="267" max="267" width="10.7109375" style="65" bestFit="1" customWidth="1"/>
    <col min="268" max="268" width="10.5703125" style="65" bestFit="1" customWidth="1"/>
    <col min="269" max="269" width="9.42578125" style="65" bestFit="1" customWidth="1"/>
    <col min="270" max="270" width="15.42578125" style="65" bestFit="1" customWidth="1"/>
    <col min="271" max="512" width="11.42578125" style="65"/>
    <col min="513" max="513" width="10.7109375" style="65" customWidth="1"/>
    <col min="514" max="514" width="8.7109375" style="65" customWidth="1"/>
    <col min="515" max="515" width="21.42578125" style="65" bestFit="1" customWidth="1"/>
    <col min="516" max="516" width="13.85546875" style="65" bestFit="1" customWidth="1"/>
    <col min="517" max="517" width="17.42578125" style="65" bestFit="1" customWidth="1"/>
    <col min="518" max="518" width="2.140625" style="65" customWidth="1"/>
    <col min="519" max="519" width="9.140625" style="65" customWidth="1"/>
    <col min="520" max="520" width="21.140625" style="65" customWidth="1"/>
    <col min="521" max="521" width="13.85546875" style="65" bestFit="1" customWidth="1"/>
    <col min="522" max="522" width="14.42578125" style="65" bestFit="1" customWidth="1"/>
    <col min="523" max="523" width="10.7109375" style="65" bestFit="1" customWidth="1"/>
    <col min="524" max="524" width="10.5703125" style="65" bestFit="1" customWidth="1"/>
    <col min="525" max="525" width="9.42578125" style="65" bestFit="1" customWidth="1"/>
    <col min="526" max="526" width="15.42578125" style="65" bestFit="1" customWidth="1"/>
    <col min="527" max="768" width="11.42578125" style="65"/>
    <col min="769" max="769" width="10.7109375" style="65" customWidth="1"/>
    <col min="770" max="770" width="8.7109375" style="65" customWidth="1"/>
    <col min="771" max="771" width="21.42578125" style="65" bestFit="1" customWidth="1"/>
    <col min="772" max="772" width="13.85546875" style="65" bestFit="1" customWidth="1"/>
    <col min="773" max="773" width="17.42578125" style="65" bestFit="1" customWidth="1"/>
    <col min="774" max="774" width="2.140625" style="65" customWidth="1"/>
    <col min="775" max="775" width="9.140625" style="65" customWidth="1"/>
    <col min="776" max="776" width="21.140625" style="65" customWidth="1"/>
    <col min="777" max="777" width="13.85546875" style="65" bestFit="1" customWidth="1"/>
    <col min="778" max="778" width="14.42578125" style="65" bestFit="1" customWidth="1"/>
    <col min="779" max="779" width="10.7109375" style="65" bestFit="1" customWidth="1"/>
    <col min="780" max="780" width="10.5703125" style="65" bestFit="1" customWidth="1"/>
    <col min="781" max="781" width="9.42578125" style="65" bestFit="1" customWidth="1"/>
    <col min="782" max="782" width="15.42578125" style="65" bestFit="1" customWidth="1"/>
    <col min="783" max="1024" width="11.42578125" style="65"/>
    <col min="1025" max="1025" width="10.7109375" style="65" customWidth="1"/>
    <col min="1026" max="1026" width="8.7109375" style="65" customWidth="1"/>
    <col min="1027" max="1027" width="21.42578125" style="65" bestFit="1" customWidth="1"/>
    <col min="1028" max="1028" width="13.85546875" style="65" bestFit="1" customWidth="1"/>
    <col min="1029" max="1029" width="17.42578125" style="65" bestFit="1" customWidth="1"/>
    <col min="1030" max="1030" width="2.140625" style="65" customWidth="1"/>
    <col min="1031" max="1031" width="9.140625" style="65" customWidth="1"/>
    <col min="1032" max="1032" width="21.140625" style="65" customWidth="1"/>
    <col min="1033" max="1033" width="13.85546875" style="65" bestFit="1" customWidth="1"/>
    <col min="1034" max="1034" width="14.42578125" style="65" bestFit="1" customWidth="1"/>
    <col min="1035" max="1035" width="10.7109375" style="65" bestFit="1" customWidth="1"/>
    <col min="1036" max="1036" width="10.5703125" style="65" bestFit="1" customWidth="1"/>
    <col min="1037" max="1037" width="9.42578125" style="65" bestFit="1" customWidth="1"/>
    <col min="1038" max="1038" width="15.42578125" style="65" bestFit="1" customWidth="1"/>
    <col min="1039" max="1280" width="11.42578125" style="65"/>
    <col min="1281" max="1281" width="10.7109375" style="65" customWidth="1"/>
    <col min="1282" max="1282" width="8.7109375" style="65" customWidth="1"/>
    <col min="1283" max="1283" width="21.42578125" style="65" bestFit="1" customWidth="1"/>
    <col min="1284" max="1284" width="13.85546875" style="65" bestFit="1" customWidth="1"/>
    <col min="1285" max="1285" width="17.42578125" style="65" bestFit="1" customWidth="1"/>
    <col min="1286" max="1286" width="2.140625" style="65" customWidth="1"/>
    <col min="1287" max="1287" width="9.140625" style="65" customWidth="1"/>
    <col min="1288" max="1288" width="21.140625" style="65" customWidth="1"/>
    <col min="1289" max="1289" width="13.85546875" style="65" bestFit="1" customWidth="1"/>
    <col min="1290" max="1290" width="14.42578125" style="65" bestFit="1" customWidth="1"/>
    <col min="1291" max="1291" width="10.7109375" style="65" bestFit="1" customWidth="1"/>
    <col min="1292" max="1292" width="10.5703125" style="65" bestFit="1" customWidth="1"/>
    <col min="1293" max="1293" width="9.42578125" style="65" bestFit="1" customWidth="1"/>
    <col min="1294" max="1294" width="15.42578125" style="65" bestFit="1" customWidth="1"/>
    <col min="1295" max="1536" width="11.42578125" style="65"/>
    <col min="1537" max="1537" width="10.7109375" style="65" customWidth="1"/>
    <col min="1538" max="1538" width="8.7109375" style="65" customWidth="1"/>
    <col min="1539" max="1539" width="21.42578125" style="65" bestFit="1" customWidth="1"/>
    <col min="1540" max="1540" width="13.85546875" style="65" bestFit="1" customWidth="1"/>
    <col min="1541" max="1541" width="17.42578125" style="65" bestFit="1" customWidth="1"/>
    <col min="1542" max="1542" width="2.140625" style="65" customWidth="1"/>
    <col min="1543" max="1543" width="9.140625" style="65" customWidth="1"/>
    <col min="1544" max="1544" width="21.140625" style="65" customWidth="1"/>
    <col min="1545" max="1545" width="13.85546875" style="65" bestFit="1" customWidth="1"/>
    <col min="1546" max="1546" width="14.42578125" style="65" bestFit="1" customWidth="1"/>
    <col min="1547" max="1547" width="10.7109375" style="65" bestFit="1" customWidth="1"/>
    <col min="1548" max="1548" width="10.5703125" style="65" bestFit="1" customWidth="1"/>
    <col min="1549" max="1549" width="9.42578125" style="65" bestFit="1" customWidth="1"/>
    <col min="1550" max="1550" width="15.42578125" style="65" bestFit="1" customWidth="1"/>
    <col min="1551" max="1792" width="11.42578125" style="65"/>
    <col min="1793" max="1793" width="10.7109375" style="65" customWidth="1"/>
    <col min="1794" max="1794" width="8.7109375" style="65" customWidth="1"/>
    <col min="1795" max="1795" width="21.42578125" style="65" bestFit="1" customWidth="1"/>
    <col min="1796" max="1796" width="13.85546875" style="65" bestFit="1" customWidth="1"/>
    <col min="1797" max="1797" width="17.42578125" style="65" bestFit="1" customWidth="1"/>
    <col min="1798" max="1798" width="2.140625" style="65" customWidth="1"/>
    <col min="1799" max="1799" width="9.140625" style="65" customWidth="1"/>
    <col min="1800" max="1800" width="21.140625" style="65" customWidth="1"/>
    <col min="1801" max="1801" width="13.85546875" style="65" bestFit="1" customWidth="1"/>
    <col min="1802" max="1802" width="14.42578125" style="65" bestFit="1" customWidth="1"/>
    <col min="1803" max="1803" width="10.7109375" style="65" bestFit="1" customWidth="1"/>
    <col min="1804" max="1804" width="10.5703125" style="65" bestFit="1" customWidth="1"/>
    <col min="1805" max="1805" width="9.42578125" style="65" bestFit="1" customWidth="1"/>
    <col min="1806" max="1806" width="15.42578125" style="65" bestFit="1" customWidth="1"/>
    <col min="1807" max="2048" width="11.42578125" style="65"/>
    <col min="2049" max="2049" width="10.7109375" style="65" customWidth="1"/>
    <col min="2050" max="2050" width="8.7109375" style="65" customWidth="1"/>
    <col min="2051" max="2051" width="21.42578125" style="65" bestFit="1" customWidth="1"/>
    <col min="2052" max="2052" width="13.85546875" style="65" bestFit="1" customWidth="1"/>
    <col min="2053" max="2053" width="17.42578125" style="65" bestFit="1" customWidth="1"/>
    <col min="2054" max="2054" width="2.140625" style="65" customWidth="1"/>
    <col min="2055" max="2055" width="9.140625" style="65" customWidth="1"/>
    <col min="2056" max="2056" width="21.140625" style="65" customWidth="1"/>
    <col min="2057" max="2057" width="13.85546875" style="65" bestFit="1" customWidth="1"/>
    <col min="2058" max="2058" width="14.42578125" style="65" bestFit="1" customWidth="1"/>
    <col min="2059" max="2059" width="10.7109375" style="65" bestFit="1" customWidth="1"/>
    <col min="2060" max="2060" width="10.5703125" style="65" bestFit="1" customWidth="1"/>
    <col min="2061" max="2061" width="9.42578125" style="65" bestFit="1" customWidth="1"/>
    <col min="2062" max="2062" width="15.42578125" style="65" bestFit="1" customWidth="1"/>
    <col min="2063" max="2304" width="11.42578125" style="65"/>
    <col min="2305" max="2305" width="10.7109375" style="65" customWidth="1"/>
    <col min="2306" max="2306" width="8.7109375" style="65" customWidth="1"/>
    <col min="2307" max="2307" width="21.42578125" style="65" bestFit="1" customWidth="1"/>
    <col min="2308" max="2308" width="13.85546875" style="65" bestFit="1" customWidth="1"/>
    <col min="2309" max="2309" width="17.42578125" style="65" bestFit="1" customWidth="1"/>
    <col min="2310" max="2310" width="2.140625" style="65" customWidth="1"/>
    <col min="2311" max="2311" width="9.140625" style="65" customWidth="1"/>
    <col min="2312" max="2312" width="21.140625" style="65" customWidth="1"/>
    <col min="2313" max="2313" width="13.85546875" style="65" bestFit="1" customWidth="1"/>
    <col min="2314" max="2314" width="14.42578125" style="65" bestFit="1" customWidth="1"/>
    <col min="2315" max="2315" width="10.7109375" style="65" bestFit="1" customWidth="1"/>
    <col min="2316" max="2316" width="10.5703125" style="65" bestFit="1" customWidth="1"/>
    <col min="2317" max="2317" width="9.42578125" style="65" bestFit="1" customWidth="1"/>
    <col min="2318" max="2318" width="15.42578125" style="65" bestFit="1" customWidth="1"/>
    <col min="2319" max="2560" width="11.42578125" style="65"/>
    <col min="2561" max="2561" width="10.7109375" style="65" customWidth="1"/>
    <col min="2562" max="2562" width="8.7109375" style="65" customWidth="1"/>
    <col min="2563" max="2563" width="21.42578125" style="65" bestFit="1" customWidth="1"/>
    <col min="2564" max="2564" width="13.85546875" style="65" bestFit="1" customWidth="1"/>
    <col min="2565" max="2565" width="17.42578125" style="65" bestFit="1" customWidth="1"/>
    <col min="2566" max="2566" width="2.140625" style="65" customWidth="1"/>
    <col min="2567" max="2567" width="9.140625" style="65" customWidth="1"/>
    <col min="2568" max="2568" width="21.140625" style="65" customWidth="1"/>
    <col min="2569" max="2569" width="13.85546875" style="65" bestFit="1" customWidth="1"/>
    <col min="2570" max="2570" width="14.42578125" style="65" bestFit="1" customWidth="1"/>
    <col min="2571" max="2571" width="10.7109375" style="65" bestFit="1" customWidth="1"/>
    <col min="2572" max="2572" width="10.5703125" style="65" bestFit="1" customWidth="1"/>
    <col min="2573" max="2573" width="9.42578125" style="65" bestFit="1" customWidth="1"/>
    <col min="2574" max="2574" width="15.42578125" style="65" bestFit="1" customWidth="1"/>
    <col min="2575" max="2816" width="11.42578125" style="65"/>
    <col min="2817" max="2817" width="10.7109375" style="65" customWidth="1"/>
    <col min="2818" max="2818" width="8.7109375" style="65" customWidth="1"/>
    <col min="2819" max="2819" width="21.42578125" style="65" bestFit="1" customWidth="1"/>
    <col min="2820" max="2820" width="13.85546875" style="65" bestFit="1" customWidth="1"/>
    <col min="2821" max="2821" width="17.42578125" style="65" bestFit="1" customWidth="1"/>
    <col min="2822" max="2822" width="2.140625" style="65" customWidth="1"/>
    <col min="2823" max="2823" width="9.140625" style="65" customWidth="1"/>
    <col min="2824" max="2824" width="21.140625" style="65" customWidth="1"/>
    <col min="2825" max="2825" width="13.85546875" style="65" bestFit="1" customWidth="1"/>
    <col min="2826" max="2826" width="14.42578125" style="65" bestFit="1" customWidth="1"/>
    <col min="2827" max="2827" width="10.7109375" style="65" bestFit="1" customWidth="1"/>
    <col min="2828" max="2828" width="10.5703125" style="65" bestFit="1" customWidth="1"/>
    <col min="2829" max="2829" width="9.42578125" style="65" bestFit="1" customWidth="1"/>
    <col min="2830" max="2830" width="15.42578125" style="65" bestFit="1" customWidth="1"/>
    <col min="2831" max="3072" width="11.42578125" style="65"/>
    <col min="3073" max="3073" width="10.7109375" style="65" customWidth="1"/>
    <col min="3074" max="3074" width="8.7109375" style="65" customWidth="1"/>
    <col min="3075" max="3075" width="21.42578125" style="65" bestFit="1" customWidth="1"/>
    <col min="3076" max="3076" width="13.85546875" style="65" bestFit="1" customWidth="1"/>
    <col min="3077" max="3077" width="17.42578125" style="65" bestFit="1" customWidth="1"/>
    <col min="3078" max="3078" width="2.140625" style="65" customWidth="1"/>
    <col min="3079" max="3079" width="9.140625" style="65" customWidth="1"/>
    <col min="3080" max="3080" width="21.140625" style="65" customWidth="1"/>
    <col min="3081" max="3081" width="13.85546875" style="65" bestFit="1" customWidth="1"/>
    <col min="3082" max="3082" width="14.42578125" style="65" bestFit="1" customWidth="1"/>
    <col min="3083" max="3083" width="10.7109375" style="65" bestFit="1" customWidth="1"/>
    <col min="3084" max="3084" width="10.5703125" style="65" bestFit="1" customWidth="1"/>
    <col min="3085" max="3085" width="9.42578125" style="65" bestFit="1" customWidth="1"/>
    <col min="3086" max="3086" width="15.42578125" style="65" bestFit="1" customWidth="1"/>
    <col min="3087" max="3328" width="11.42578125" style="65"/>
    <col min="3329" max="3329" width="10.7109375" style="65" customWidth="1"/>
    <col min="3330" max="3330" width="8.7109375" style="65" customWidth="1"/>
    <col min="3331" max="3331" width="21.42578125" style="65" bestFit="1" customWidth="1"/>
    <col min="3332" max="3332" width="13.85546875" style="65" bestFit="1" customWidth="1"/>
    <col min="3333" max="3333" width="17.42578125" style="65" bestFit="1" customWidth="1"/>
    <col min="3334" max="3334" width="2.140625" style="65" customWidth="1"/>
    <col min="3335" max="3335" width="9.140625" style="65" customWidth="1"/>
    <col min="3336" max="3336" width="21.140625" style="65" customWidth="1"/>
    <col min="3337" max="3337" width="13.85546875" style="65" bestFit="1" customWidth="1"/>
    <col min="3338" max="3338" width="14.42578125" style="65" bestFit="1" customWidth="1"/>
    <col min="3339" max="3339" width="10.7109375" style="65" bestFit="1" customWidth="1"/>
    <col min="3340" max="3340" width="10.5703125" style="65" bestFit="1" customWidth="1"/>
    <col min="3341" max="3341" width="9.42578125" style="65" bestFit="1" customWidth="1"/>
    <col min="3342" max="3342" width="15.42578125" style="65" bestFit="1" customWidth="1"/>
    <col min="3343" max="3584" width="11.42578125" style="65"/>
    <col min="3585" max="3585" width="10.7109375" style="65" customWidth="1"/>
    <col min="3586" max="3586" width="8.7109375" style="65" customWidth="1"/>
    <col min="3587" max="3587" width="21.42578125" style="65" bestFit="1" customWidth="1"/>
    <col min="3588" max="3588" width="13.85546875" style="65" bestFit="1" customWidth="1"/>
    <col min="3589" max="3589" width="17.42578125" style="65" bestFit="1" customWidth="1"/>
    <col min="3590" max="3590" width="2.140625" style="65" customWidth="1"/>
    <col min="3591" max="3591" width="9.140625" style="65" customWidth="1"/>
    <col min="3592" max="3592" width="21.140625" style="65" customWidth="1"/>
    <col min="3593" max="3593" width="13.85546875" style="65" bestFit="1" customWidth="1"/>
    <col min="3594" max="3594" width="14.42578125" style="65" bestFit="1" customWidth="1"/>
    <col min="3595" max="3595" width="10.7109375" style="65" bestFit="1" customWidth="1"/>
    <col min="3596" max="3596" width="10.5703125" style="65" bestFit="1" customWidth="1"/>
    <col min="3597" max="3597" width="9.42578125" style="65" bestFit="1" customWidth="1"/>
    <col min="3598" max="3598" width="15.42578125" style="65" bestFit="1" customWidth="1"/>
    <col min="3599" max="3840" width="11.42578125" style="65"/>
    <col min="3841" max="3841" width="10.7109375" style="65" customWidth="1"/>
    <col min="3842" max="3842" width="8.7109375" style="65" customWidth="1"/>
    <col min="3843" max="3843" width="21.42578125" style="65" bestFit="1" customWidth="1"/>
    <col min="3844" max="3844" width="13.85546875" style="65" bestFit="1" customWidth="1"/>
    <col min="3845" max="3845" width="17.42578125" style="65" bestFit="1" customWidth="1"/>
    <col min="3846" max="3846" width="2.140625" style="65" customWidth="1"/>
    <col min="3847" max="3847" width="9.140625" style="65" customWidth="1"/>
    <col min="3848" max="3848" width="21.140625" style="65" customWidth="1"/>
    <col min="3849" max="3849" width="13.85546875" style="65" bestFit="1" customWidth="1"/>
    <col min="3850" max="3850" width="14.42578125" style="65" bestFit="1" customWidth="1"/>
    <col min="3851" max="3851" width="10.7109375" style="65" bestFit="1" customWidth="1"/>
    <col min="3852" max="3852" width="10.5703125" style="65" bestFit="1" customWidth="1"/>
    <col min="3853" max="3853" width="9.42578125" style="65" bestFit="1" customWidth="1"/>
    <col min="3854" max="3854" width="15.42578125" style="65" bestFit="1" customWidth="1"/>
    <col min="3855" max="4096" width="11.42578125" style="65"/>
    <col min="4097" max="4097" width="10.7109375" style="65" customWidth="1"/>
    <col min="4098" max="4098" width="8.7109375" style="65" customWidth="1"/>
    <col min="4099" max="4099" width="21.42578125" style="65" bestFit="1" customWidth="1"/>
    <col min="4100" max="4100" width="13.85546875" style="65" bestFit="1" customWidth="1"/>
    <col min="4101" max="4101" width="17.42578125" style="65" bestFit="1" customWidth="1"/>
    <col min="4102" max="4102" width="2.140625" style="65" customWidth="1"/>
    <col min="4103" max="4103" width="9.140625" style="65" customWidth="1"/>
    <col min="4104" max="4104" width="21.140625" style="65" customWidth="1"/>
    <col min="4105" max="4105" width="13.85546875" style="65" bestFit="1" customWidth="1"/>
    <col min="4106" max="4106" width="14.42578125" style="65" bestFit="1" customWidth="1"/>
    <col min="4107" max="4107" width="10.7109375" style="65" bestFit="1" customWidth="1"/>
    <col min="4108" max="4108" width="10.5703125" style="65" bestFit="1" customWidth="1"/>
    <col min="4109" max="4109" width="9.42578125" style="65" bestFit="1" customWidth="1"/>
    <col min="4110" max="4110" width="15.42578125" style="65" bestFit="1" customWidth="1"/>
    <col min="4111" max="4352" width="11.42578125" style="65"/>
    <col min="4353" max="4353" width="10.7109375" style="65" customWidth="1"/>
    <col min="4354" max="4354" width="8.7109375" style="65" customWidth="1"/>
    <col min="4355" max="4355" width="21.42578125" style="65" bestFit="1" customWidth="1"/>
    <col min="4356" max="4356" width="13.85546875" style="65" bestFit="1" customWidth="1"/>
    <col min="4357" max="4357" width="17.42578125" style="65" bestFit="1" customWidth="1"/>
    <col min="4358" max="4358" width="2.140625" style="65" customWidth="1"/>
    <col min="4359" max="4359" width="9.140625" style="65" customWidth="1"/>
    <col min="4360" max="4360" width="21.140625" style="65" customWidth="1"/>
    <col min="4361" max="4361" width="13.85546875" style="65" bestFit="1" customWidth="1"/>
    <col min="4362" max="4362" width="14.42578125" style="65" bestFit="1" customWidth="1"/>
    <col min="4363" max="4363" width="10.7109375" style="65" bestFit="1" customWidth="1"/>
    <col min="4364" max="4364" width="10.5703125" style="65" bestFit="1" customWidth="1"/>
    <col min="4365" max="4365" width="9.42578125" style="65" bestFit="1" customWidth="1"/>
    <col min="4366" max="4366" width="15.42578125" style="65" bestFit="1" customWidth="1"/>
    <col min="4367" max="4608" width="11.42578125" style="65"/>
    <col min="4609" max="4609" width="10.7109375" style="65" customWidth="1"/>
    <col min="4610" max="4610" width="8.7109375" style="65" customWidth="1"/>
    <col min="4611" max="4611" width="21.42578125" style="65" bestFit="1" customWidth="1"/>
    <col min="4612" max="4612" width="13.85546875" style="65" bestFit="1" customWidth="1"/>
    <col min="4613" max="4613" width="17.42578125" style="65" bestFit="1" customWidth="1"/>
    <col min="4614" max="4614" width="2.140625" style="65" customWidth="1"/>
    <col min="4615" max="4615" width="9.140625" style="65" customWidth="1"/>
    <col min="4616" max="4616" width="21.140625" style="65" customWidth="1"/>
    <col min="4617" max="4617" width="13.85546875" style="65" bestFit="1" customWidth="1"/>
    <col min="4618" max="4618" width="14.42578125" style="65" bestFit="1" customWidth="1"/>
    <col min="4619" max="4619" width="10.7109375" style="65" bestFit="1" customWidth="1"/>
    <col min="4620" max="4620" width="10.5703125" style="65" bestFit="1" customWidth="1"/>
    <col min="4621" max="4621" width="9.42578125" style="65" bestFit="1" customWidth="1"/>
    <col min="4622" max="4622" width="15.42578125" style="65" bestFit="1" customWidth="1"/>
    <col min="4623" max="4864" width="11.42578125" style="65"/>
    <col min="4865" max="4865" width="10.7109375" style="65" customWidth="1"/>
    <col min="4866" max="4866" width="8.7109375" style="65" customWidth="1"/>
    <col min="4867" max="4867" width="21.42578125" style="65" bestFit="1" customWidth="1"/>
    <col min="4868" max="4868" width="13.85546875" style="65" bestFit="1" customWidth="1"/>
    <col min="4869" max="4869" width="17.42578125" style="65" bestFit="1" customWidth="1"/>
    <col min="4870" max="4870" width="2.140625" style="65" customWidth="1"/>
    <col min="4871" max="4871" width="9.140625" style="65" customWidth="1"/>
    <col min="4872" max="4872" width="21.140625" style="65" customWidth="1"/>
    <col min="4873" max="4873" width="13.85546875" style="65" bestFit="1" customWidth="1"/>
    <col min="4874" max="4874" width="14.42578125" style="65" bestFit="1" customWidth="1"/>
    <col min="4875" max="4875" width="10.7109375" style="65" bestFit="1" customWidth="1"/>
    <col min="4876" max="4876" width="10.5703125" style="65" bestFit="1" customWidth="1"/>
    <col min="4877" max="4877" width="9.42578125" style="65" bestFit="1" customWidth="1"/>
    <col min="4878" max="4878" width="15.42578125" style="65" bestFit="1" customWidth="1"/>
    <col min="4879" max="5120" width="11.42578125" style="65"/>
    <col min="5121" max="5121" width="10.7109375" style="65" customWidth="1"/>
    <col min="5122" max="5122" width="8.7109375" style="65" customWidth="1"/>
    <col min="5123" max="5123" width="21.42578125" style="65" bestFit="1" customWidth="1"/>
    <col min="5124" max="5124" width="13.85546875" style="65" bestFit="1" customWidth="1"/>
    <col min="5125" max="5125" width="17.42578125" style="65" bestFit="1" customWidth="1"/>
    <col min="5126" max="5126" width="2.140625" style="65" customWidth="1"/>
    <col min="5127" max="5127" width="9.140625" style="65" customWidth="1"/>
    <col min="5128" max="5128" width="21.140625" style="65" customWidth="1"/>
    <col min="5129" max="5129" width="13.85546875" style="65" bestFit="1" customWidth="1"/>
    <col min="5130" max="5130" width="14.42578125" style="65" bestFit="1" customWidth="1"/>
    <col min="5131" max="5131" width="10.7109375" style="65" bestFit="1" customWidth="1"/>
    <col min="5132" max="5132" width="10.5703125" style="65" bestFit="1" customWidth="1"/>
    <col min="5133" max="5133" width="9.42578125" style="65" bestFit="1" customWidth="1"/>
    <col min="5134" max="5134" width="15.42578125" style="65" bestFit="1" customWidth="1"/>
    <col min="5135" max="5376" width="11.42578125" style="65"/>
    <col min="5377" max="5377" width="10.7109375" style="65" customWidth="1"/>
    <col min="5378" max="5378" width="8.7109375" style="65" customWidth="1"/>
    <col min="5379" max="5379" width="21.42578125" style="65" bestFit="1" customWidth="1"/>
    <col min="5380" max="5380" width="13.85546875" style="65" bestFit="1" customWidth="1"/>
    <col min="5381" max="5381" width="17.42578125" style="65" bestFit="1" customWidth="1"/>
    <col min="5382" max="5382" width="2.140625" style="65" customWidth="1"/>
    <col min="5383" max="5383" width="9.140625" style="65" customWidth="1"/>
    <col min="5384" max="5384" width="21.140625" style="65" customWidth="1"/>
    <col min="5385" max="5385" width="13.85546875" style="65" bestFit="1" customWidth="1"/>
    <col min="5386" max="5386" width="14.42578125" style="65" bestFit="1" customWidth="1"/>
    <col min="5387" max="5387" width="10.7109375" style="65" bestFit="1" customWidth="1"/>
    <col min="5388" max="5388" width="10.5703125" style="65" bestFit="1" customWidth="1"/>
    <col min="5389" max="5389" width="9.42578125" style="65" bestFit="1" customWidth="1"/>
    <col min="5390" max="5390" width="15.42578125" style="65" bestFit="1" customWidth="1"/>
    <col min="5391" max="5632" width="11.42578125" style="65"/>
    <col min="5633" max="5633" width="10.7109375" style="65" customWidth="1"/>
    <col min="5634" max="5634" width="8.7109375" style="65" customWidth="1"/>
    <col min="5635" max="5635" width="21.42578125" style="65" bestFit="1" customWidth="1"/>
    <col min="5636" max="5636" width="13.85546875" style="65" bestFit="1" customWidth="1"/>
    <col min="5637" max="5637" width="17.42578125" style="65" bestFit="1" customWidth="1"/>
    <col min="5638" max="5638" width="2.140625" style="65" customWidth="1"/>
    <col min="5639" max="5639" width="9.140625" style="65" customWidth="1"/>
    <col min="5640" max="5640" width="21.140625" style="65" customWidth="1"/>
    <col min="5641" max="5641" width="13.85546875" style="65" bestFit="1" customWidth="1"/>
    <col min="5642" max="5642" width="14.42578125" style="65" bestFit="1" customWidth="1"/>
    <col min="5643" max="5643" width="10.7109375" style="65" bestFit="1" customWidth="1"/>
    <col min="5644" max="5644" width="10.5703125" style="65" bestFit="1" customWidth="1"/>
    <col min="5645" max="5645" width="9.42578125" style="65" bestFit="1" customWidth="1"/>
    <col min="5646" max="5646" width="15.42578125" style="65" bestFit="1" customWidth="1"/>
    <col min="5647" max="5888" width="11.42578125" style="65"/>
    <col min="5889" max="5889" width="10.7109375" style="65" customWidth="1"/>
    <col min="5890" max="5890" width="8.7109375" style="65" customWidth="1"/>
    <col min="5891" max="5891" width="21.42578125" style="65" bestFit="1" customWidth="1"/>
    <col min="5892" max="5892" width="13.85546875" style="65" bestFit="1" customWidth="1"/>
    <col min="5893" max="5893" width="17.42578125" style="65" bestFit="1" customWidth="1"/>
    <col min="5894" max="5894" width="2.140625" style="65" customWidth="1"/>
    <col min="5895" max="5895" width="9.140625" style="65" customWidth="1"/>
    <col min="5896" max="5896" width="21.140625" style="65" customWidth="1"/>
    <col min="5897" max="5897" width="13.85546875" style="65" bestFit="1" customWidth="1"/>
    <col min="5898" max="5898" width="14.42578125" style="65" bestFit="1" customWidth="1"/>
    <col min="5899" max="5899" width="10.7109375" style="65" bestFit="1" customWidth="1"/>
    <col min="5900" max="5900" width="10.5703125" style="65" bestFit="1" customWidth="1"/>
    <col min="5901" max="5901" width="9.42578125" style="65" bestFit="1" customWidth="1"/>
    <col min="5902" max="5902" width="15.42578125" style="65" bestFit="1" customWidth="1"/>
    <col min="5903" max="6144" width="11.42578125" style="65"/>
    <col min="6145" max="6145" width="10.7109375" style="65" customWidth="1"/>
    <col min="6146" max="6146" width="8.7109375" style="65" customWidth="1"/>
    <col min="6147" max="6147" width="21.42578125" style="65" bestFit="1" customWidth="1"/>
    <col min="6148" max="6148" width="13.85546875" style="65" bestFit="1" customWidth="1"/>
    <col min="6149" max="6149" width="17.42578125" style="65" bestFit="1" customWidth="1"/>
    <col min="6150" max="6150" width="2.140625" style="65" customWidth="1"/>
    <col min="6151" max="6151" width="9.140625" style="65" customWidth="1"/>
    <col min="6152" max="6152" width="21.140625" style="65" customWidth="1"/>
    <col min="6153" max="6153" width="13.85546875" style="65" bestFit="1" customWidth="1"/>
    <col min="6154" max="6154" width="14.42578125" style="65" bestFit="1" customWidth="1"/>
    <col min="6155" max="6155" width="10.7109375" style="65" bestFit="1" customWidth="1"/>
    <col min="6156" max="6156" width="10.5703125" style="65" bestFit="1" customWidth="1"/>
    <col min="6157" max="6157" width="9.42578125" style="65" bestFit="1" customWidth="1"/>
    <col min="6158" max="6158" width="15.42578125" style="65" bestFit="1" customWidth="1"/>
    <col min="6159" max="6400" width="11.42578125" style="65"/>
    <col min="6401" max="6401" width="10.7109375" style="65" customWidth="1"/>
    <col min="6402" max="6402" width="8.7109375" style="65" customWidth="1"/>
    <col min="6403" max="6403" width="21.42578125" style="65" bestFit="1" customWidth="1"/>
    <col min="6404" max="6404" width="13.85546875" style="65" bestFit="1" customWidth="1"/>
    <col min="6405" max="6405" width="17.42578125" style="65" bestFit="1" customWidth="1"/>
    <col min="6406" max="6406" width="2.140625" style="65" customWidth="1"/>
    <col min="6407" max="6407" width="9.140625" style="65" customWidth="1"/>
    <col min="6408" max="6408" width="21.140625" style="65" customWidth="1"/>
    <col min="6409" max="6409" width="13.85546875" style="65" bestFit="1" customWidth="1"/>
    <col min="6410" max="6410" width="14.42578125" style="65" bestFit="1" customWidth="1"/>
    <col min="6411" max="6411" width="10.7109375" style="65" bestFit="1" customWidth="1"/>
    <col min="6412" max="6412" width="10.5703125" style="65" bestFit="1" customWidth="1"/>
    <col min="6413" max="6413" width="9.42578125" style="65" bestFit="1" customWidth="1"/>
    <col min="6414" max="6414" width="15.42578125" style="65" bestFit="1" customWidth="1"/>
    <col min="6415" max="6656" width="11.42578125" style="65"/>
    <col min="6657" max="6657" width="10.7109375" style="65" customWidth="1"/>
    <col min="6658" max="6658" width="8.7109375" style="65" customWidth="1"/>
    <col min="6659" max="6659" width="21.42578125" style="65" bestFit="1" customWidth="1"/>
    <col min="6660" max="6660" width="13.85546875" style="65" bestFit="1" customWidth="1"/>
    <col min="6661" max="6661" width="17.42578125" style="65" bestFit="1" customWidth="1"/>
    <col min="6662" max="6662" width="2.140625" style="65" customWidth="1"/>
    <col min="6663" max="6663" width="9.140625" style="65" customWidth="1"/>
    <col min="6664" max="6664" width="21.140625" style="65" customWidth="1"/>
    <col min="6665" max="6665" width="13.85546875" style="65" bestFit="1" customWidth="1"/>
    <col min="6666" max="6666" width="14.42578125" style="65" bestFit="1" customWidth="1"/>
    <col min="6667" max="6667" width="10.7109375" style="65" bestFit="1" customWidth="1"/>
    <col min="6668" max="6668" width="10.5703125" style="65" bestFit="1" customWidth="1"/>
    <col min="6669" max="6669" width="9.42578125" style="65" bestFit="1" customWidth="1"/>
    <col min="6670" max="6670" width="15.42578125" style="65" bestFit="1" customWidth="1"/>
    <col min="6671" max="6912" width="11.42578125" style="65"/>
    <col min="6913" max="6913" width="10.7109375" style="65" customWidth="1"/>
    <col min="6914" max="6914" width="8.7109375" style="65" customWidth="1"/>
    <col min="6915" max="6915" width="21.42578125" style="65" bestFit="1" customWidth="1"/>
    <col min="6916" max="6916" width="13.85546875" style="65" bestFit="1" customWidth="1"/>
    <col min="6917" max="6917" width="17.42578125" style="65" bestFit="1" customWidth="1"/>
    <col min="6918" max="6918" width="2.140625" style="65" customWidth="1"/>
    <col min="6919" max="6919" width="9.140625" style="65" customWidth="1"/>
    <col min="6920" max="6920" width="21.140625" style="65" customWidth="1"/>
    <col min="6921" max="6921" width="13.85546875" style="65" bestFit="1" customWidth="1"/>
    <col min="6922" max="6922" width="14.42578125" style="65" bestFit="1" customWidth="1"/>
    <col min="6923" max="6923" width="10.7109375" style="65" bestFit="1" customWidth="1"/>
    <col min="6924" max="6924" width="10.5703125" style="65" bestFit="1" customWidth="1"/>
    <col min="6925" max="6925" width="9.42578125" style="65" bestFit="1" customWidth="1"/>
    <col min="6926" max="6926" width="15.42578125" style="65" bestFit="1" customWidth="1"/>
    <col min="6927" max="7168" width="11.42578125" style="65"/>
    <col min="7169" max="7169" width="10.7109375" style="65" customWidth="1"/>
    <col min="7170" max="7170" width="8.7109375" style="65" customWidth="1"/>
    <col min="7171" max="7171" width="21.42578125" style="65" bestFit="1" customWidth="1"/>
    <col min="7172" max="7172" width="13.85546875" style="65" bestFit="1" customWidth="1"/>
    <col min="7173" max="7173" width="17.42578125" style="65" bestFit="1" customWidth="1"/>
    <col min="7174" max="7174" width="2.140625" style="65" customWidth="1"/>
    <col min="7175" max="7175" width="9.140625" style="65" customWidth="1"/>
    <col min="7176" max="7176" width="21.140625" style="65" customWidth="1"/>
    <col min="7177" max="7177" width="13.85546875" style="65" bestFit="1" customWidth="1"/>
    <col min="7178" max="7178" width="14.42578125" style="65" bestFit="1" customWidth="1"/>
    <col min="7179" max="7179" width="10.7109375" style="65" bestFit="1" customWidth="1"/>
    <col min="7180" max="7180" width="10.5703125" style="65" bestFit="1" customWidth="1"/>
    <col min="7181" max="7181" width="9.42578125" style="65" bestFit="1" customWidth="1"/>
    <col min="7182" max="7182" width="15.42578125" style="65" bestFit="1" customWidth="1"/>
    <col min="7183" max="7424" width="11.42578125" style="65"/>
    <col min="7425" max="7425" width="10.7109375" style="65" customWidth="1"/>
    <col min="7426" max="7426" width="8.7109375" style="65" customWidth="1"/>
    <col min="7427" max="7427" width="21.42578125" style="65" bestFit="1" customWidth="1"/>
    <col min="7428" max="7428" width="13.85546875" style="65" bestFit="1" customWidth="1"/>
    <col min="7429" max="7429" width="17.42578125" style="65" bestFit="1" customWidth="1"/>
    <col min="7430" max="7430" width="2.140625" style="65" customWidth="1"/>
    <col min="7431" max="7431" width="9.140625" style="65" customWidth="1"/>
    <col min="7432" max="7432" width="21.140625" style="65" customWidth="1"/>
    <col min="7433" max="7433" width="13.85546875" style="65" bestFit="1" customWidth="1"/>
    <col min="7434" max="7434" width="14.42578125" style="65" bestFit="1" customWidth="1"/>
    <col min="7435" max="7435" width="10.7109375" style="65" bestFit="1" customWidth="1"/>
    <col min="7436" max="7436" width="10.5703125" style="65" bestFit="1" customWidth="1"/>
    <col min="7437" max="7437" width="9.42578125" style="65" bestFit="1" customWidth="1"/>
    <col min="7438" max="7438" width="15.42578125" style="65" bestFit="1" customWidth="1"/>
    <col min="7439" max="7680" width="11.42578125" style="65"/>
    <col min="7681" max="7681" width="10.7109375" style="65" customWidth="1"/>
    <col min="7682" max="7682" width="8.7109375" style="65" customWidth="1"/>
    <col min="7683" max="7683" width="21.42578125" style="65" bestFit="1" customWidth="1"/>
    <col min="7684" max="7684" width="13.85546875" style="65" bestFit="1" customWidth="1"/>
    <col min="7685" max="7685" width="17.42578125" style="65" bestFit="1" customWidth="1"/>
    <col min="7686" max="7686" width="2.140625" style="65" customWidth="1"/>
    <col min="7687" max="7687" width="9.140625" style="65" customWidth="1"/>
    <col min="7688" max="7688" width="21.140625" style="65" customWidth="1"/>
    <col min="7689" max="7689" width="13.85546875" style="65" bestFit="1" customWidth="1"/>
    <col min="7690" max="7690" width="14.42578125" style="65" bestFit="1" customWidth="1"/>
    <col min="7691" max="7691" width="10.7109375" style="65" bestFit="1" customWidth="1"/>
    <col min="7692" max="7692" width="10.5703125" style="65" bestFit="1" customWidth="1"/>
    <col min="7693" max="7693" width="9.42578125" style="65" bestFit="1" customWidth="1"/>
    <col min="7694" max="7694" width="15.42578125" style="65" bestFit="1" customWidth="1"/>
    <col min="7695" max="7936" width="11.42578125" style="65"/>
    <col min="7937" max="7937" width="10.7109375" style="65" customWidth="1"/>
    <col min="7938" max="7938" width="8.7109375" style="65" customWidth="1"/>
    <col min="7939" max="7939" width="21.42578125" style="65" bestFit="1" customWidth="1"/>
    <col min="7940" max="7940" width="13.85546875" style="65" bestFit="1" customWidth="1"/>
    <col min="7941" max="7941" width="17.42578125" style="65" bestFit="1" customWidth="1"/>
    <col min="7942" max="7942" width="2.140625" style="65" customWidth="1"/>
    <col min="7943" max="7943" width="9.140625" style="65" customWidth="1"/>
    <col min="7944" max="7944" width="21.140625" style="65" customWidth="1"/>
    <col min="7945" max="7945" width="13.85546875" style="65" bestFit="1" customWidth="1"/>
    <col min="7946" max="7946" width="14.42578125" style="65" bestFit="1" customWidth="1"/>
    <col min="7947" max="7947" width="10.7109375" style="65" bestFit="1" customWidth="1"/>
    <col min="7948" max="7948" width="10.5703125" style="65" bestFit="1" customWidth="1"/>
    <col min="7949" max="7949" width="9.42578125" style="65" bestFit="1" customWidth="1"/>
    <col min="7950" max="7950" width="15.42578125" style="65" bestFit="1" customWidth="1"/>
    <col min="7951" max="8192" width="11.42578125" style="65"/>
    <col min="8193" max="8193" width="10.7109375" style="65" customWidth="1"/>
    <col min="8194" max="8194" width="8.7109375" style="65" customWidth="1"/>
    <col min="8195" max="8195" width="21.42578125" style="65" bestFit="1" customWidth="1"/>
    <col min="8196" max="8196" width="13.85546875" style="65" bestFit="1" customWidth="1"/>
    <col min="8197" max="8197" width="17.42578125" style="65" bestFit="1" customWidth="1"/>
    <col min="8198" max="8198" width="2.140625" style="65" customWidth="1"/>
    <col min="8199" max="8199" width="9.140625" style="65" customWidth="1"/>
    <col min="8200" max="8200" width="21.140625" style="65" customWidth="1"/>
    <col min="8201" max="8201" width="13.85546875" style="65" bestFit="1" customWidth="1"/>
    <col min="8202" max="8202" width="14.42578125" style="65" bestFit="1" customWidth="1"/>
    <col min="8203" max="8203" width="10.7109375" style="65" bestFit="1" customWidth="1"/>
    <col min="8204" max="8204" width="10.5703125" style="65" bestFit="1" customWidth="1"/>
    <col min="8205" max="8205" width="9.42578125" style="65" bestFit="1" customWidth="1"/>
    <col min="8206" max="8206" width="15.42578125" style="65" bestFit="1" customWidth="1"/>
    <col min="8207" max="8448" width="11.42578125" style="65"/>
    <col min="8449" max="8449" width="10.7109375" style="65" customWidth="1"/>
    <col min="8450" max="8450" width="8.7109375" style="65" customWidth="1"/>
    <col min="8451" max="8451" width="21.42578125" style="65" bestFit="1" customWidth="1"/>
    <col min="8452" max="8452" width="13.85546875" style="65" bestFit="1" customWidth="1"/>
    <col min="8453" max="8453" width="17.42578125" style="65" bestFit="1" customWidth="1"/>
    <col min="8454" max="8454" width="2.140625" style="65" customWidth="1"/>
    <col min="8455" max="8455" width="9.140625" style="65" customWidth="1"/>
    <col min="8456" max="8456" width="21.140625" style="65" customWidth="1"/>
    <col min="8457" max="8457" width="13.85546875" style="65" bestFit="1" customWidth="1"/>
    <col min="8458" max="8458" width="14.42578125" style="65" bestFit="1" customWidth="1"/>
    <col min="8459" max="8459" width="10.7109375" style="65" bestFit="1" customWidth="1"/>
    <col min="8460" max="8460" width="10.5703125" style="65" bestFit="1" customWidth="1"/>
    <col min="8461" max="8461" width="9.42578125" style="65" bestFit="1" customWidth="1"/>
    <col min="8462" max="8462" width="15.42578125" style="65" bestFit="1" customWidth="1"/>
    <col min="8463" max="8704" width="11.42578125" style="65"/>
    <col min="8705" max="8705" width="10.7109375" style="65" customWidth="1"/>
    <col min="8706" max="8706" width="8.7109375" style="65" customWidth="1"/>
    <col min="8707" max="8707" width="21.42578125" style="65" bestFit="1" customWidth="1"/>
    <col min="8708" max="8708" width="13.85546875" style="65" bestFit="1" customWidth="1"/>
    <col min="8709" max="8709" width="17.42578125" style="65" bestFit="1" customWidth="1"/>
    <col min="8710" max="8710" width="2.140625" style="65" customWidth="1"/>
    <col min="8711" max="8711" width="9.140625" style="65" customWidth="1"/>
    <col min="8712" max="8712" width="21.140625" style="65" customWidth="1"/>
    <col min="8713" max="8713" width="13.85546875" style="65" bestFit="1" customWidth="1"/>
    <col min="8714" max="8714" width="14.42578125" style="65" bestFit="1" customWidth="1"/>
    <col min="8715" max="8715" width="10.7109375" style="65" bestFit="1" customWidth="1"/>
    <col min="8716" max="8716" width="10.5703125" style="65" bestFit="1" customWidth="1"/>
    <col min="8717" max="8717" width="9.42578125" style="65" bestFit="1" customWidth="1"/>
    <col min="8718" max="8718" width="15.42578125" style="65" bestFit="1" customWidth="1"/>
    <col min="8719" max="8960" width="11.42578125" style="65"/>
    <col min="8961" max="8961" width="10.7109375" style="65" customWidth="1"/>
    <col min="8962" max="8962" width="8.7109375" style="65" customWidth="1"/>
    <col min="8963" max="8963" width="21.42578125" style="65" bestFit="1" customWidth="1"/>
    <col min="8964" max="8964" width="13.85546875" style="65" bestFit="1" customWidth="1"/>
    <col min="8965" max="8965" width="17.42578125" style="65" bestFit="1" customWidth="1"/>
    <col min="8966" max="8966" width="2.140625" style="65" customWidth="1"/>
    <col min="8967" max="8967" width="9.140625" style="65" customWidth="1"/>
    <col min="8968" max="8968" width="21.140625" style="65" customWidth="1"/>
    <col min="8969" max="8969" width="13.85546875" style="65" bestFit="1" customWidth="1"/>
    <col min="8970" max="8970" width="14.42578125" style="65" bestFit="1" customWidth="1"/>
    <col min="8971" max="8971" width="10.7109375" style="65" bestFit="1" customWidth="1"/>
    <col min="8972" max="8972" width="10.5703125" style="65" bestFit="1" customWidth="1"/>
    <col min="8973" max="8973" width="9.42578125" style="65" bestFit="1" customWidth="1"/>
    <col min="8974" max="8974" width="15.42578125" style="65" bestFit="1" customWidth="1"/>
    <col min="8975" max="9216" width="11.42578125" style="65"/>
    <col min="9217" max="9217" width="10.7109375" style="65" customWidth="1"/>
    <col min="9218" max="9218" width="8.7109375" style="65" customWidth="1"/>
    <col min="9219" max="9219" width="21.42578125" style="65" bestFit="1" customWidth="1"/>
    <col min="9220" max="9220" width="13.85546875" style="65" bestFit="1" customWidth="1"/>
    <col min="9221" max="9221" width="17.42578125" style="65" bestFit="1" customWidth="1"/>
    <col min="9222" max="9222" width="2.140625" style="65" customWidth="1"/>
    <col min="9223" max="9223" width="9.140625" style="65" customWidth="1"/>
    <col min="9224" max="9224" width="21.140625" style="65" customWidth="1"/>
    <col min="9225" max="9225" width="13.85546875" style="65" bestFit="1" customWidth="1"/>
    <col min="9226" max="9226" width="14.42578125" style="65" bestFit="1" customWidth="1"/>
    <col min="9227" max="9227" width="10.7109375" style="65" bestFit="1" customWidth="1"/>
    <col min="9228" max="9228" width="10.5703125" style="65" bestFit="1" customWidth="1"/>
    <col min="9229" max="9229" width="9.42578125" style="65" bestFit="1" customWidth="1"/>
    <col min="9230" max="9230" width="15.42578125" style="65" bestFit="1" customWidth="1"/>
    <col min="9231" max="9472" width="11.42578125" style="65"/>
    <col min="9473" max="9473" width="10.7109375" style="65" customWidth="1"/>
    <col min="9474" max="9474" width="8.7109375" style="65" customWidth="1"/>
    <col min="9475" max="9475" width="21.42578125" style="65" bestFit="1" customWidth="1"/>
    <col min="9476" max="9476" width="13.85546875" style="65" bestFit="1" customWidth="1"/>
    <col min="9477" max="9477" width="17.42578125" style="65" bestFit="1" customWidth="1"/>
    <col min="9478" max="9478" width="2.140625" style="65" customWidth="1"/>
    <col min="9479" max="9479" width="9.140625" style="65" customWidth="1"/>
    <col min="9480" max="9480" width="21.140625" style="65" customWidth="1"/>
    <col min="9481" max="9481" width="13.85546875" style="65" bestFit="1" customWidth="1"/>
    <col min="9482" max="9482" width="14.42578125" style="65" bestFit="1" customWidth="1"/>
    <col min="9483" max="9483" width="10.7109375" style="65" bestFit="1" customWidth="1"/>
    <col min="9484" max="9484" width="10.5703125" style="65" bestFit="1" customWidth="1"/>
    <col min="9485" max="9485" width="9.42578125" style="65" bestFit="1" customWidth="1"/>
    <col min="9486" max="9486" width="15.42578125" style="65" bestFit="1" customWidth="1"/>
    <col min="9487" max="9728" width="11.42578125" style="65"/>
    <col min="9729" max="9729" width="10.7109375" style="65" customWidth="1"/>
    <col min="9730" max="9730" width="8.7109375" style="65" customWidth="1"/>
    <col min="9731" max="9731" width="21.42578125" style="65" bestFit="1" customWidth="1"/>
    <col min="9732" max="9732" width="13.85546875" style="65" bestFit="1" customWidth="1"/>
    <col min="9733" max="9733" width="17.42578125" style="65" bestFit="1" customWidth="1"/>
    <col min="9734" max="9734" width="2.140625" style="65" customWidth="1"/>
    <col min="9735" max="9735" width="9.140625" style="65" customWidth="1"/>
    <col min="9736" max="9736" width="21.140625" style="65" customWidth="1"/>
    <col min="9737" max="9737" width="13.85546875" style="65" bestFit="1" customWidth="1"/>
    <col min="9738" max="9738" width="14.42578125" style="65" bestFit="1" customWidth="1"/>
    <col min="9739" max="9739" width="10.7109375" style="65" bestFit="1" customWidth="1"/>
    <col min="9740" max="9740" width="10.5703125" style="65" bestFit="1" customWidth="1"/>
    <col min="9741" max="9741" width="9.42578125" style="65" bestFit="1" customWidth="1"/>
    <col min="9742" max="9742" width="15.42578125" style="65" bestFit="1" customWidth="1"/>
    <col min="9743" max="9984" width="11.42578125" style="65"/>
    <col min="9985" max="9985" width="10.7109375" style="65" customWidth="1"/>
    <col min="9986" max="9986" width="8.7109375" style="65" customWidth="1"/>
    <col min="9987" max="9987" width="21.42578125" style="65" bestFit="1" customWidth="1"/>
    <col min="9988" max="9988" width="13.85546875" style="65" bestFit="1" customWidth="1"/>
    <col min="9989" max="9989" width="17.42578125" style="65" bestFit="1" customWidth="1"/>
    <col min="9990" max="9990" width="2.140625" style="65" customWidth="1"/>
    <col min="9991" max="9991" width="9.140625" style="65" customWidth="1"/>
    <col min="9992" max="9992" width="21.140625" style="65" customWidth="1"/>
    <col min="9993" max="9993" width="13.85546875" style="65" bestFit="1" customWidth="1"/>
    <col min="9994" max="9994" width="14.42578125" style="65" bestFit="1" customWidth="1"/>
    <col min="9995" max="9995" width="10.7109375" style="65" bestFit="1" customWidth="1"/>
    <col min="9996" max="9996" width="10.5703125" style="65" bestFit="1" customWidth="1"/>
    <col min="9997" max="9997" width="9.42578125" style="65" bestFit="1" customWidth="1"/>
    <col min="9998" max="9998" width="15.42578125" style="65" bestFit="1" customWidth="1"/>
    <col min="9999" max="10240" width="11.42578125" style="65"/>
    <col min="10241" max="10241" width="10.7109375" style="65" customWidth="1"/>
    <col min="10242" max="10242" width="8.7109375" style="65" customWidth="1"/>
    <col min="10243" max="10243" width="21.42578125" style="65" bestFit="1" customWidth="1"/>
    <col min="10244" max="10244" width="13.85546875" style="65" bestFit="1" customWidth="1"/>
    <col min="10245" max="10245" width="17.42578125" style="65" bestFit="1" customWidth="1"/>
    <col min="10246" max="10246" width="2.140625" style="65" customWidth="1"/>
    <col min="10247" max="10247" width="9.140625" style="65" customWidth="1"/>
    <col min="10248" max="10248" width="21.140625" style="65" customWidth="1"/>
    <col min="10249" max="10249" width="13.85546875" style="65" bestFit="1" customWidth="1"/>
    <col min="10250" max="10250" width="14.42578125" style="65" bestFit="1" customWidth="1"/>
    <col min="10251" max="10251" width="10.7109375" style="65" bestFit="1" customWidth="1"/>
    <col min="10252" max="10252" width="10.5703125" style="65" bestFit="1" customWidth="1"/>
    <col min="10253" max="10253" width="9.42578125" style="65" bestFit="1" customWidth="1"/>
    <col min="10254" max="10254" width="15.42578125" style="65" bestFit="1" customWidth="1"/>
    <col min="10255" max="10496" width="11.42578125" style="65"/>
    <col min="10497" max="10497" width="10.7109375" style="65" customWidth="1"/>
    <col min="10498" max="10498" width="8.7109375" style="65" customWidth="1"/>
    <col min="10499" max="10499" width="21.42578125" style="65" bestFit="1" customWidth="1"/>
    <col min="10500" max="10500" width="13.85546875" style="65" bestFit="1" customWidth="1"/>
    <col min="10501" max="10501" width="17.42578125" style="65" bestFit="1" customWidth="1"/>
    <col min="10502" max="10502" width="2.140625" style="65" customWidth="1"/>
    <col min="10503" max="10503" width="9.140625" style="65" customWidth="1"/>
    <col min="10504" max="10504" width="21.140625" style="65" customWidth="1"/>
    <col min="10505" max="10505" width="13.85546875" style="65" bestFit="1" customWidth="1"/>
    <col min="10506" max="10506" width="14.42578125" style="65" bestFit="1" customWidth="1"/>
    <col min="10507" max="10507" width="10.7109375" style="65" bestFit="1" customWidth="1"/>
    <col min="10508" max="10508" width="10.5703125" style="65" bestFit="1" customWidth="1"/>
    <col min="10509" max="10509" width="9.42578125" style="65" bestFit="1" customWidth="1"/>
    <col min="10510" max="10510" width="15.42578125" style="65" bestFit="1" customWidth="1"/>
    <col min="10511" max="10752" width="11.42578125" style="65"/>
    <col min="10753" max="10753" width="10.7109375" style="65" customWidth="1"/>
    <col min="10754" max="10754" width="8.7109375" style="65" customWidth="1"/>
    <col min="10755" max="10755" width="21.42578125" style="65" bestFit="1" customWidth="1"/>
    <col min="10756" max="10756" width="13.85546875" style="65" bestFit="1" customWidth="1"/>
    <col min="10757" max="10757" width="17.42578125" style="65" bestFit="1" customWidth="1"/>
    <col min="10758" max="10758" width="2.140625" style="65" customWidth="1"/>
    <col min="10759" max="10759" width="9.140625" style="65" customWidth="1"/>
    <col min="10760" max="10760" width="21.140625" style="65" customWidth="1"/>
    <col min="10761" max="10761" width="13.85546875" style="65" bestFit="1" customWidth="1"/>
    <col min="10762" max="10762" width="14.42578125" style="65" bestFit="1" customWidth="1"/>
    <col min="10763" max="10763" width="10.7109375" style="65" bestFit="1" customWidth="1"/>
    <col min="10764" max="10764" width="10.5703125" style="65" bestFit="1" customWidth="1"/>
    <col min="10765" max="10765" width="9.42578125" style="65" bestFit="1" customWidth="1"/>
    <col min="10766" max="10766" width="15.42578125" style="65" bestFit="1" customWidth="1"/>
    <col min="10767" max="11008" width="11.42578125" style="65"/>
    <col min="11009" max="11009" width="10.7109375" style="65" customWidth="1"/>
    <col min="11010" max="11010" width="8.7109375" style="65" customWidth="1"/>
    <col min="11011" max="11011" width="21.42578125" style="65" bestFit="1" customWidth="1"/>
    <col min="11012" max="11012" width="13.85546875" style="65" bestFit="1" customWidth="1"/>
    <col min="11013" max="11013" width="17.42578125" style="65" bestFit="1" customWidth="1"/>
    <col min="11014" max="11014" width="2.140625" style="65" customWidth="1"/>
    <col min="11015" max="11015" width="9.140625" style="65" customWidth="1"/>
    <col min="11016" max="11016" width="21.140625" style="65" customWidth="1"/>
    <col min="11017" max="11017" width="13.85546875" style="65" bestFit="1" customWidth="1"/>
    <col min="11018" max="11018" width="14.42578125" style="65" bestFit="1" customWidth="1"/>
    <col min="11019" max="11019" width="10.7109375" style="65" bestFit="1" customWidth="1"/>
    <col min="11020" max="11020" width="10.5703125" style="65" bestFit="1" customWidth="1"/>
    <col min="11021" max="11021" width="9.42578125" style="65" bestFit="1" customWidth="1"/>
    <col min="11022" max="11022" width="15.42578125" style="65" bestFit="1" customWidth="1"/>
    <col min="11023" max="11264" width="11.42578125" style="65"/>
    <col min="11265" max="11265" width="10.7109375" style="65" customWidth="1"/>
    <col min="11266" max="11266" width="8.7109375" style="65" customWidth="1"/>
    <col min="11267" max="11267" width="21.42578125" style="65" bestFit="1" customWidth="1"/>
    <col min="11268" max="11268" width="13.85546875" style="65" bestFit="1" customWidth="1"/>
    <col min="11269" max="11269" width="17.42578125" style="65" bestFit="1" customWidth="1"/>
    <col min="11270" max="11270" width="2.140625" style="65" customWidth="1"/>
    <col min="11271" max="11271" width="9.140625" style="65" customWidth="1"/>
    <col min="11272" max="11272" width="21.140625" style="65" customWidth="1"/>
    <col min="11273" max="11273" width="13.85546875" style="65" bestFit="1" customWidth="1"/>
    <col min="11274" max="11274" width="14.42578125" style="65" bestFit="1" customWidth="1"/>
    <col min="11275" max="11275" width="10.7109375" style="65" bestFit="1" customWidth="1"/>
    <col min="11276" max="11276" width="10.5703125" style="65" bestFit="1" customWidth="1"/>
    <col min="11277" max="11277" width="9.42578125" style="65" bestFit="1" customWidth="1"/>
    <col min="11278" max="11278" width="15.42578125" style="65" bestFit="1" customWidth="1"/>
    <col min="11279" max="11520" width="11.42578125" style="65"/>
    <col min="11521" max="11521" width="10.7109375" style="65" customWidth="1"/>
    <col min="11522" max="11522" width="8.7109375" style="65" customWidth="1"/>
    <col min="11523" max="11523" width="21.42578125" style="65" bestFit="1" customWidth="1"/>
    <col min="11524" max="11524" width="13.85546875" style="65" bestFit="1" customWidth="1"/>
    <col min="11525" max="11525" width="17.42578125" style="65" bestFit="1" customWidth="1"/>
    <col min="11526" max="11526" width="2.140625" style="65" customWidth="1"/>
    <col min="11527" max="11527" width="9.140625" style="65" customWidth="1"/>
    <col min="11528" max="11528" width="21.140625" style="65" customWidth="1"/>
    <col min="11529" max="11529" width="13.85546875" style="65" bestFit="1" customWidth="1"/>
    <col min="11530" max="11530" width="14.42578125" style="65" bestFit="1" customWidth="1"/>
    <col min="11531" max="11531" width="10.7109375" style="65" bestFit="1" customWidth="1"/>
    <col min="11532" max="11532" width="10.5703125" style="65" bestFit="1" customWidth="1"/>
    <col min="11533" max="11533" width="9.42578125" style="65" bestFit="1" customWidth="1"/>
    <col min="11534" max="11534" width="15.42578125" style="65" bestFit="1" customWidth="1"/>
    <col min="11535" max="11776" width="11.42578125" style="65"/>
    <col min="11777" max="11777" width="10.7109375" style="65" customWidth="1"/>
    <col min="11778" max="11778" width="8.7109375" style="65" customWidth="1"/>
    <col min="11779" max="11779" width="21.42578125" style="65" bestFit="1" customWidth="1"/>
    <col min="11780" max="11780" width="13.85546875" style="65" bestFit="1" customWidth="1"/>
    <col min="11781" max="11781" width="17.42578125" style="65" bestFit="1" customWidth="1"/>
    <col min="11782" max="11782" width="2.140625" style="65" customWidth="1"/>
    <col min="11783" max="11783" width="9.140625" style="65" customWidth="1"/>
    <col min="11784" max="11784" width="21.140625" style="65" customWidth="1"/>
    <col min="11785" max="11785" width="13.85546875" style="65" bestFit="1" customWidth="1"/>
    <col min="11786" max="11786" width="14.42578125" style="65" bestFit="1" customWidth="1"/>
    <col min="11787" max="11787" width="10.7109375" style="65" bestFit="1" customWidth="1"/>
    <col min="11788" max="11788" width="10.5703125" style="65" bestFit="1" customWidth="1"/>
    <col min="11789" max="11789" width="9.42578125" style="65" bestFit="1" customWidth="1"/>
    <col min="11790" max="11790" width="15.42578125" style="65" bestFit="1" customWidth="1"/>
    <col min="11791" max="12032" width="11.42578125" style="65"/>
    <col min="12033" max="12033" width="10.7109375" style="65" customWidth="1"/>
    <col min="12034" max="12034" width="8.7109375" style="65" customWidth="1"/>
    <col min="12035" max="12035" width="21.42578125" style="65" bestFit="1" customWidth="1"/>
    <col min="12036" max="12036" width="13.85546875" style="65" bestFit="1" customWidth="1"/>
    <col min="12037" max="12037" width="17.42578125" style="65" bestFit="1" customWidth="1"/>
    <col min="12038" max="12038" width="2.140625" style="65" customWidth="1"/>
    <col min="12039" max="12039" width="9.140625" style="65" customWidth="1"/>
    <col min="12040" max="12040" width="21.140625" style="65" customWidth="1"/>
    <col min="12041" max="12041" width="13.85546875" style="65" bestFit="1" customWidth="1"/>
    <col min="12042" max="12042" width="14.42578125" style="65" bestFit="1" customWidth="1"/>
    <col min="12043" max="12043" width="10.7109375" style="65" bestFit="1" customWidth="1"/>
    <col min="12044" max="12044" width="10.5703125" style="65" bestFit="1" customWidth="1"/>
    <col min="12045" max="12045" width="9.42578125" style="65" bestFit="1" customWidth="1"/>
    <col min="12046" max="12046" width="15.42578125" style="65" bestFit="1" customWidth="1"/>
    <col min="12047" max="12288" width="11.42578125" style="65"/>
    <col min="12289" max="12289" width="10.7109375" style="65" customWidth="1"/>
    <col min="12290" max="12290" width="8.7109375" style="65" customWidth="1"/>
    <col min="12291" max="12291" width="21.42578125" style="65" bestFit="1" customWidth="1"/>
    <col min="12292" max="12292" width="13.85546875" style="65" bestFit="1" customWidth="1"/>
    <col min="12293" max="12293" width="17.42578125" style="65" bestFit="1" customWidth="1"/>
    <col min="12294" max="12294" width="2.140625" style="65" customWidth="1"/>
    <col min="12295" max="12295" width="9.140625" style="65" customWidth="1"/>
    <col min="12296" max="12296" width="21.140625" style="65" customWidth="1"/>
    <col min="12297" max="12297" width="13.85546875" style="65" bestFit="1" customWidth="1"/>
    <col min="12298" max="12298" width="14.42578125" style="65" bestFit="1" customWidth="1"/>
    <col min="12299" max="12299" width="10.7109375" style="65" bestFit="1" customWidth="1"/>
    <col min="12300" max="12300" width="10.5703125" style="65" bestFit="1" customWidth="1"/>
    <col min="12301" max="12301" width="9.42578125" style="65" bestFit="1" customWidth="1"/>
    <col min="12302" max="12302" width="15.42578125" style="65" bestFit="1" customWidth="1"/>
    <col min="12303" max="12544" width="11.42578125" style="65"/>
    <col min="12545" max="12545" width="10.7109375" style="65" customWidth="1"/>
    <col min="12546" max="12546" width="8.7109375" style="65" customWidth="1"/>
    <col min="12547" max="12547" width="21.42578125" style="65" bestFit="1" customWidth="1"/>
    <col min="12548" max="12548" width="13.85546875" style="65" bestFit="1" customWidth="1"/>
    <col min="12549" max="12549" width="17.42578125" style="65" bestFit="1" customWidth="1"/>
    <col min="12550" max="12550" width="2.140625" style="65" customWidth="1"/>
    <col min="12551" max="12551" width="9.140625" style="65" customWidth="1"/>
    <col min="12552" max="12552" width="21.140625" style="65" customWidth="1"/>
    <col min="12553" max="12553" width="13.85546875" style="65" bestFit="1" customWidth="1"/>
    <col min="12554" max="12554" width="14.42578125" style="65" bestFit="1" customWidth="1"/>
    <col min="12555" max="12555" width="10.7109375" style="65" bestFit="1" customWidth="1"/>
    <col min="12556" max="12556" width="10.5703125" style="65" bestFit="1" customWidth="1"/>
    <col min="12557" max="12557" width="9.42578125" style="65" bestFit="1" customWidth="1"/>
    <col min="12558" max="12558" width="15.42578125" style="65" bestFit="1" customWidth="1"/>
    <col min="12559" max="12800" width="11.42578125" style="65"/>
    <col min="12801" max="12801" width="10.7109375" style="65" customWidth="1"/>
    <col min="12802" max="12802" width="8.7109375" style="65" customWidth="1"/>
    <col min="12803" max="12803" width="21.42578125" style="65" bestFit="1" customWidth="1"/>
    <col min="12804" max="12804" width="13.85546875" style="65" bestFit="1" customWidth="1"/>
    <col min="12805" max="12805" width="17.42578125" style="65" bestFit="1" customWidth="1"/>
    <col min="12806" max="12806" width="2.140625" style="65" customWidth="1"/>
    <col min="12807" max="12807" width="9.140625" style="65" customWidth="1"/>
    <col min="12808" max="12808" width="21.140625" style="65" customWidth="1"/>
    <col min="12809" max="12809" width="13.85546875" style="65" bestFit="1" customWidth="1"/>
    <col min="12810" max="12810" width="14.42578125" style="65" bestFit="1" customWidth="1"/>
    <col min="12811" max="12811" width="10.7109375" style="65" bestFit="1" customWidth="1"/>
    <col min="12812" max="12812" width="10.5703125" style="65" bestFit="1" customWidth="1"/>
    <col min="12813" max="12813" width="9.42578125" style="65" bestFit="1" customWidth="1"/>
    <col min="12814" max="12814" width="15.42578125" style="65" bestFit="1" customWidth="1"/>
    <col min="12815" max="13056" width="11.42578125" style="65"/>
    <col min="13057" max="13057" width="10.7109375" style="65" customWidth="1"/>
    <col min="13058" max="13058" width="8.7109375" style="65" customWidth="1"/>
    <col min="13059" max="13059" width="21.42578125" style="65" bestFit="1" customWidth="1"/>
    <col min="13060" max="13060" width="13.85546875" style="65" bestFit="1" customWidth="1"/>
    <col min="13061" max="13061" width="17.42578125" style="65" bestFit="1" customWidth="1"/>
    <col min="13062" max="13062" width="2.140625" style="65" customWidth="1"/>
    <col min="13063" max="13063" width="9.140625" style="65" customWidth="1"/>
    <col min="13064" max="13064" width="21.140625" style="65" customWidth="1"/>
    <col min="13065" max="13065" width="13.85546875" style="65" bestFit="1" customWidth="1"/>
    <col min="13066" max="13066" width="14.42578125" style="65" bestFit="1" customWidth="1"/>
    <col min="13067" max="13067" width="10.7109375" style="65" bestFit="1" customWidth="1"/>
    <col min="13068" max="13068" width="10.5703125" style="65" bestFit="1" customWidth="1"/>
    <col min="13069" max="13069" width="9.42578125" style="65" bestFit="1" customWidth="1"/>
    <col min="13070" max="13070" width="15.42578125" style="65" bestFit="1" customWidth="1"/>
    <col min="13071" max="13312" width="11.42578125" style="65"/>
    <col min="13313" max="13313" width="10.7109375" style="65" customWidth="1"/>
    <col min="13314" max="13314" width="8.7109375" style="65" customWidth="1"/>
    <col min="13315" max="13315" width="21.42578125" style="65" bestFit="1" customWidth="1"/>
    <col min="13316" max="13316" width="13.85546875" style="65" bestFit="1" customWidth="1"/>
    <col min="13317" max="13317" width="17.42578125" style="65" bestFit="1" customWidth="1"/>
    <col min="13318" max="13318" width="2.140625" style="65" customWidth="1"/>
    <col min="13319" max="13319" width="9.140625" style="65" customWidth="1"/>
    <col min="13320" max="13320" width="21.140625" style="65" customWidth="1"/>
    <col min="13321" max="13321" width="13.85546875" style="65" bestFit="1" customWidth="1"/>
    <col min="13322" max="13322" width="14.42578125" style="65" bestFit="1" customWidth="1"/>
    <col min="13323" max="13323" width="10.7109375" style="65" bestFit="1" customWidth="1"/>
    <col min="13324" max="13324" width="10.5703125" style="65" bestFit="1" customWidth="1"/>
    <col min="13325" max="13325" width="9.42578125" style="65" bestFit="1" customWidth="1"/>
    <col min="13326" max="13326" width="15.42578125" style="65" bestFit="1" customWidth="1"/>
    <col min="13327" max="13568" width="11.42578125" style="65"/>
    <col min="13569" max="13569" width="10.7109375" style="65" customWidth="1"/>
    <col min="13570" max="13570" width="8.7109375" style="65" customWidth="1"/>
    <col min="13571" max="13571" width="21.42578125" style="65" bestFit="1" customWidth="1"/>
    <col min="13572" max="13572" width="13.85546875" style="65" bestFit="1" customWidth="1"/>
    <col min="13573" max="13573" width="17.42578125" style="65" bestFit="1" customWidth="1"/>
    <col min="13574" max="13574" width="2.140625" style="65" customWidth="1"/>
    <col min="13575" max="13575" width="9.140625" style="65" customWidth="1"/>
    <col min="13576" max="13576" width="21.140625" style="65" customWidth="1"/>
    <col min="13577" max="13577" width="13.85546875" style="65" bestFit="1" customWidth="1"/>
    <col min="13578" max="13578" width="14.42578125" style="65" bestFit="1" customWidth="1"/>
    <col min="13579" max="13579" width="10.7109375" style="65" bestFit="1" customWidth="1"/>
    <col min="13580" max="13580" width="10.5703125" style="65" bestFit="1" customWidth="1"/>
    <col min="13581" max="13581" width="9.42578125" style="65" bestFit="1" customWidth="1"/>
    <col min="13582" max="13582" width="15.42578125" style="65" bestFit="1" customWidth="1"/>
    <col min="13583" max="13824" width="11.42578125" style="65"/>
    <col min="13825" max="13825" width="10.7109375" style="65" customWidth="1"/>
    <col min="13826" max="13826" width="8.7109375" style="65" customWidth="1"/>
    <col min="13827" max="13827" width="21.42578125" style="65" bestFit="1" customWidth="1"/>
    <col min="13828" max="13828" width="13.85546875" style="65" bestFit="1" customWidth="1"/>
    <col min="13829" max="13829" width="17.42578125" style="65" bestFit="1" customWidth="1"/>
    <col min="13830" max="13830" width="2.140625" style="65" customWidth="1"/>
    <col min="13831" max="13831" width="9.140625" style="65" customWidth="1"/>
    <col min="13832" max="13832" width="21.140625" style="65" customWidth="1"/>
    <col min="13833" max="13833" width="13.85546875" style="65" bestFit="1" customWidth="1"/>
    <col min="13834" max="13834" width="14.42578125" style="65" bestFit="1" customWidth="1"/>
    <col min="13835" max="13835" width="10.7109375" style="65" bestFit="1" customWidth="1"/>
    <col min="13836" max="13836" width="10.5703125" style="65" bestFit="1" customWidth="1"/>
    <col min="13837" max="13837" width="9.42578125" style="65" bestFit="1" customWidth="1"/>
    <col min="13838" max="13838" width="15.42578125" style="65" bestFit="1" customWidth="1"/>
    <col min="13839" max="14080" width="11.42578125" style="65"/>
    <col min="14081" max="14081" width="10.7109375" style="65" customWidth="1"/>
    <col min="14082" max="14082" width="8.7109375" style="65" customWidth="1"/>
    <col min="14083" max="14083" width="21.42578125" style="65" bestFit="1" customWidth="1"/>
    <col min="14084" max="14084" width="13.85546875" style="65" bestFit="1" customWidth="1"/>
    <col min="14085" max="14085" width="17.42578125" style="65" bestFit="1" customWidth="1"/>
    <col min="14086" max="14086" width="2.140625" style="65" customWidth="1"/>
    <col min="14087" max="14087" width="9.140625" style="65" customWidth="1"/>
    <col min="14088" max="14088" width="21.140625" style="65" customWidth="1"/>
    <col min="14089" max="14089" width="13.85546875" style="65" bestFit="1" customWidth="1"/>
    <col min="14090" max="14090" width="14.42578125" style="65" bestFit="1" customWidth="1"/>
    <col min="14091" max="14091" width="10.7109375" style="65" bestFit="1" customWidth="1"/>
    <col min="14092" max="14092" width="10.5703125" style="65" bestFit="1" customWidth="1"/>
    <col min="14093" max="14093" width="9.42578125" style="65" bestFit="1" customWidth="1"/>
    <col min="14094" max="14094" width="15.42578125" style="65" bestFit="1" customWidth="1"/>
    <col min="14095" max="14336" width="11.42578125" style="65"/>
    <col min="14337" max="14337" width="10.7109375" style="65" customWidth="1"/>
    <col min="14338" max="14338" width="8.7109375" style="65" customWidth="1"/>
    <col min="14339" max="14339" width="21.42578125" style="65" bestFit="1" customWidth="1"/>
    <col min="14340" max="14340" width="13.85546875" style="65" bestFit="1" customWidth="1"/>
    <col min="14341" max="14341" width="17.42578125" style="65" bestFit="1" customWidth="1"/>
    <col min="14342" max="14342" width="2.140625" style="65" customWidth="1"/>
    <col min="14343" max="14343" width="9.140625" style="65" customWidth="1"/>
    <col min="14344" max="14344" width="21.140625" style="65" customWidth="1"/>
    <col min="14345" max="14345" width="13.85546875" style="65" bestFit="1" customWidth="1"/>
    <col min="14346" max="14346" width="14.42578125" style="65" bestFit="1" customWidth="1"/>
    <col min="14347" max="14347" width="10.7109375" style="65" bestFit="1" customWidth="1"/>
    <col min="14348" max="14348" width="10.5703125" style="65" bestFit="1" customWidth="1"/>
    <col min="14349" max="14349" width="9.42578125" style="65" bestFit="1" customWidth="1"/>
    <col min="14350" max="14350" width="15.42578125" style="65" bestFit="1" customWidth="1"/>
    <col min="14351" max="14592" width="11.42578125" style="65"/>
    <col min="14593" max="14593" width="10.7109375" style="65" customWidth="1"/>
    <col min="14594" max="14594" width="8.7109375" style="65" customWidth="1"/>
    <col min="14595" max="14595" width="21.42578125" style="65" bestFit="1" customWidth="1"/>
    <col min="14596" max="14596" width="13.85546875" style="65" bestFit="1" customWidth="1"/>
    <col min="14597" max="14597" width="17.42578125" style="65" bestFit="1" customWidth="1"/>
    <col min="14598" max="14598" width="2.140625" style="65" customWidth="1"/>
    <col min="14599" max="14599" width="9.140625" style="65" customWidth="1"/>
    <col min="14600" max="14600" width="21.140625" style="65" customWidth="1"/>
    <col min="14601" max="14601" width="13.85546875" style="65" bestFit="1" customWidth="1"/>
    <col min="14602" max="14602" width="14.42578125" style="65" bestFit="1" customWidth="1"/>
    <col min="14603" max="14603" width="10.7109375" style="65" bestFit="1" customWidth="1"/>
    <col min="14604" max="14604" width="10.5703125" style="65" bestFit="1" customWidth="1"/>
    <col min="14605" max="14605" width="9.42578125" style="65" bestFit="1" customWidth="1"/>
    <col min="14606" max="14606" width="15.42578125" style="65" bestFit="1" customWidth="1"/>
    <col min="14607" max="14848" width="11.42578125" style="65"/>
    <col min="14849" max="14849" width="10.7109375" style="65" customWidth="1"/>
    <col min="14850" max="14850" width="8.7109375" style="65" customWidth="1"/>
    <col min="14851" max="14851" width="21.42578125" style="65" bestFit="1" customWidth="1"/>
    <col min="14852" max="14852" width="13.85546875" style="65" bestFit="1" customWidth="1"/>
    <col min="14853" max="14853" width="17.42578125" style="65" bestFit="1" customWidth="1"/>
    <col min="14854" max="14854" width="2.140625" style="65" customWidth="1"/>
    <col min="14855" max="14855" width="9.140625" style="65" customWidth="1"/>
    <col min="14856" max="14856" width="21.140625" style="65" customWidth="1"/>
    <col min="14857" max="14857" width="13.85546875" style="65" bestFit="1" customWidth="1"/>
    <col min="14858" max="14858" width="14.42578125" style="65" bestFit="1" customWidth="1"/>
    <col min="14859" max="14859" width="10.7109375" style="65" bestFit="1" customWidth="1"/>
    <col min="14860" max="14860" width="10.5703125" style="65" bestFit="1" customWidth="1"/>
    <col min="14861" max="14861" width="9.42578125" style="65" bestFit="1" customWidth="1"/>
    <col min="14862" max="14862" width="15.42578125" style="65" bestFit="1" customWidth="1"/>
    <col min="14863" max="15104" width="11.42578125" style="65"/>
    <col min="15105" max="15105" width="10.7109375" style="65" customWidth="1"/>
    <col min="15106" max="15106" width="8.7109375" style="65" customWidth="1"/>
    <col min="15107" max="15107" width="21.42578125" style="65" bestFit="1" customWidth="1"/>
    <col min="15108" max="15108" width="13.85546875" style="65" bestFit="1" customWidth="1"/>
    <col min="15109" max="15109" width="17.42578125" style="65" bestFit="1" customWidth="1"/>
    <col min="15110" max="15110" width="2.140625" style="65" customWidth="1"/>
    <col min="15111" max="15111" width="9.140625" style="65" customWidth="1"/>
    <col min="15112" max="15112" width="21.140625" style="65" customWidth="1"/>
    <col min="15113" max="15113" width="13.85546875" style="65" bestFit="1" customWidth="1"/>
    <col min="15114" max="15114" width="14.42578125" style="65" bestFit="1" customWidth="1"/>
    <col min="15115" max="15115" width="10.7109375" style="65" bestFit="1" customWidth="1"/>
    <col min="15116" max="15116" width="10.5703125" style="65" bestFit="1" customWidth="1"/>
    <col min="15117" max="15117" width="9.42578125" style="65" bestFit="1" customWidth="1"/>
    <col min="15118" max="15118" width="15.42578125" style="65" bestFit="1" customWidth="1"/>
    <col min="15119" max="15360" width="11.42578125" style="65"/>
    <col min="15361" max="15361" width="10.7109375" style="65" customWidth="1"/>
    <col min="15362" max="15362" width="8.7109375" style="65" customWidth="1"/>
    <col min="15363" max="15363" width="21.42578125" style="65" bestFit="1" customWidth="1"/>
    <col min="15364" max="15364" width="13.85546875" style="65" bestFit="1" customWidth="1"/>
    <col min="15365" max="15365" width="17.42578125" style="65" bestFit="1" customWidth="1"/>
    <col min="15366" max="15366" width="2.140625" style="65" customWidth="1"/>
    <col min="15367" max="15367" width="9.140625" style="65" customWidth="1"/>
    <col min="15368" max="15368" width="21.140625" style="65" customWidth="1"/>
    <col min="15369" max="15369" width="13.85546875" style="65" bestFit="1" customWidth="1"/>
    <col min="15370" max="15370" width="14.42578125" style="65" bestFit="1" customWidth="1"/>
    <col min="15371" max="15371" width="10.7109375" style="65" bestFit="1" customWidth="1"/>
    <col min="15372" max="15372" width="10.5703125" style="65" bestFit="1" customWidth="1"/>
    <col min="15373" max="15373" width="9.42578125" style="65" bestFit="1" customWidth="1"/>
    <col min="15374" max="15374" width="15.42578125" style="65" bestFit="1" customWidth="1"/>
    <col min="15375" max="15616" width="11.42578125" style="65"/>
    <col min="15617" max="15617" width="10.7109375" style="65" customWidth="1"/>
    <col min="15618" max="15618" width="8.7109375" style="65" customWidth="1"/>
    <col min="15619" max="15619" width="21.42578125" style="65" bestFit="1" customWidth="1"/>
    <col min="15620" max="15620" width="13.85546875" style="65" bestFit="1" customWidth="1"/>
    <col min="15621" max="15621" width="17.42578125" style="65" bestFit="1" customWidth="1"/>
    <col min="15622" max="15622" width="2.140625" style="65" customWidth="1"/>
    <col min="15623" max="15623" width="9.140625" style="65" customWidth="1"/>
    <col min="15624" max="15624" width="21.140625" style="65" customWidth="1"/>
    <col min="15625" max="15625" width="13.85546875" style="65" bestFit="1" customWidth="1"/>
    <col min="15626" max="15626" width="14.42578125" style="65" bestFit="1" customWidth="1"/>
    <col min="15627" max="15627" width="10.7109375" style="65" bestFit="1" customWidth="1"/>
    <col min="15628" max="15628" width="10.5703125" style="65" bestFit="1" customWidth="1"/>
    <col min="15629" max="15629" width="9.42578125" style="65" bestFit="1" customWidth="1"/>
    <col min="15630" max="15630" width="15.42578125" style="65" bestFit="1" customWidth="1"/>
    <col min="15631" max="15872" width="11.42578125" style="65"/>
    <col min="15873" max="15873" width="10.7109375" style="65" customWidth="1"/>
    <col min="15874" max="15874" width="8.7109375" style="65" customWidth="1"/>
    <col min="15875" max="15875" width="21.42578125" style="65" bestFit="1" customWidth="1"/>
    <col min="15876" max="15876" width="13.85546875" style="65" bestFit="1" customWidth="1"/>
    <col min="15877" max="15877" width="17.42578125" style="65" bestFit="1" customWidth="1"/>
    <col min="15878" max="15878" width="2.140625" style="65" customWidth="1"/>
    <col min="15879" max="15879" width="9.140625" style="65" customWidth="1"/>
    <col min="15880" max="15880" width="21.140625" style="65" customWidth="1"/>
    <col min="15881" max="15881" width="13.85546875" style="65" bestFit="1" customWidth="1"/>
    <col min="15882" max="15882" width="14.42578125" style="65" bestFit="1" customWidth="1"/>
    <col min="15883" max="15883" width="10.7109375" style="65" bestFit="1" customWidth="1"/>
    <col min="15884" max="15884" width="10.5703125" style="65" bestFit="1" customWidth="1"/>
    <col min="15885" max="15885" width="9.42578125" style="65" bestFit="1" customWidth="1"/>
    <col min="15886" max="15886" width="15.42578125" style="65" bestFit="1" customWidth="1"/>
    <col min="15887" max="16128" width="11.42578125" style="65"/>
    <col min="16129" max="16129" width="10.7109375" style="65" customWidth="1"/>
    <col min="16130" max="16130" width="8.7109375" style="65" customWidth="1"/>
    <col min="16131" max="16131" width="21.42578125" style="65" bestFit="1" customWidth="1"/>
    <col min="16132" max="16132" width="13.85546875" style="65" bestFit="1" customWidth="1"/>
    <col min="16133" max="16133" width="17.42578125" style="65" bestFit="1" customWidth="1"/>
    <col min="16134" max="16134" width="2.140625" style="65" customWidth="1"/>
    <col min="16135" max="16135" width="9.140625" style="65" customWidth="1"/>
    <col min="16136" max="16136" width="21.140625" style="65" customWidth="1"/>
    <col min="16137" max="16137" width="13.85546875" style="65" bestFit="1" customWidth="1"/>
    <col min="16138" max="16138" width="14.42578125" style="65" bestFit="1" customWidth="1"/>
    <col min="16139" max="16139" width="10.7109375" style="65" bestFit="1" customWidth="1"/>
    <col min="16140" max="16140" width="10.5703125" style="65" bestFit="1" customWidth="1"/>
    <col min="16141" max="16141" width="9.42578125" style="65" bestFit="1" customWidth="1"/>
    <col min="16142" max="16142" width="15.42578125" style="65" bestFit="1" customWidth="1"/>
    <col min="16143" max="16384" width="11.42578125" style="65"/>
  </cols>
  <sheetData>
    <row r="1" spans="1:14" x14ac:dyDescent="0.25">
      <c r="A1" s="206"/>
      <c r="B1" s="206"/>
      <c r="C1" s="206"/>
      <c r="D1" s="206"/>
      <c r="E1" s="206"/>
      <c r="F1" s="206"/>
      <c r="G1" s="206"/>
      <c r="H1" s="206"/>
      <c r="I1" s="206"/>
      <c r="J1" s="206"/>
    </row>
    <row r="2" spans="1:14" customFormat="1" x14ac:dyDescent="0.25">
      <c r="B2" s="201" t="s">
        <v>69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1:14" customFormat="1" x14ac:dyDescent="0.25"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</row>
    <row r="4" spans="1:14" customFormat="1" x14ac:dyDescent="0.25"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</row>
    <row r="5" spans="1:14" x14ac:dyDescent="0.25">
      <c r="A5" s="206"/>
      <c r="B5" s="206"/>
      <c r="C5" s="206"/>
      <c r="D5" s="206"/>
      <c r="E5" s="206"/>
      <c r="F5" s="206"/>
      <c r="G5" s="206"/>
      <c r="H5" s="206"/>
      <c r="I5" s="206"/>
      <c r="J5" s="206"/>
    </row>
    <row r="6" spans="1:14" ht="15.75" thickBot="1" x14ac:dyDescent="0.3">
      <c r="A6" s="66"/>
    </row>
    <row r="7" spans="1:14" ht="19.5" thickBot="1" x14ac:dyDescent="0.35">
      <c r="B7" s="207" t="s">
        <v>70</v>
      </c>
      <c r="C7" s="208"/>
      <c r="D7" s="208"/>
      <c r="E7" s="209"/>
      <c r="G7" s="207" t="s">
        <v>71</v>
      </c>
      <c r="H7" s="208"/>
      <c r="I7" s="208"/>
      <c r="J7" s="209"/>
    </row>
    <row r="8" spans="1:14" ht="15.75" thickBot="1" x14ac:dyDescent="0.3">
      <c r="B8" s="67" t="s">
        <v>72</v>
      </c>
      <c r="C8" s="68" t="s">
        <v>73</v>
      </c>
      <c r="D8" s="68" t="s">
        <v>74</v>
      </c>
      <c r="E8" s="69" t="s">
        <v>75</v>
      </c>
      <c r="G8" s="67" t="s">
        <v>72</v>
      </c>
      <c r="H8" s="68" t="s">
        <v>76</v>
      </c>
      <c r="I8" s="68" t="s">
        <v>74</v>
      </c>
      <c r="J8" s="69" t="s">
        <v>75</v>
      </c>
    </row>
    <row r="9" spans="1:14" ht="15.75" thickBot="1" x14ac:dyDescent="0.3">
      <c r="B9" s="70"/>
      <c r="C9" s="71"/>
      <c r="D9" s="71"/>
      <c r="E9" s="72"/>
    </row>
    <row r="10" spans="1:14" ht="15" customHeight="1" x14ac:dyDescent="0.25">
      <c r="A10" s="210" t="s">
        <v>77</v>
      </c>
      <c r="B10" s="73">
        <v>1</v>
      </c>
      <c r="C10" s="74" t="s">
        <v>78</v>
      </c>
      <c r="D10" s="74">
        <v>4000000</v>
      </c>
      <c r="E10" s="75">
        <f>+B10*D10</f>
        <v>4000000</v>
      </c>
      <c r="G10" s="80">
        <v>1</v>
      </c>
      <c r="H10" s="81" t="s">
        <v>79</v>
      </c>
      <c r="I10" s="81">
        <f>800000</f>
        <v>800000</v>
      </c>
      <c r="J10" s="79">
        <f t="shared" ref="J10:J18" si="0">+G10*I10</f>
        <v>800000</v>
      </c>
      <c r="K10" s="76"/>
    </row>
    <row r="11" spans="1:14" x14ac:dyDescent="0.25">
      <c r="A11" s="211"/>
      <c r="B11" s="77">
        <v>1</v>
      </c>
      <c r="C11" s="78" t="s">
        <v>80</v>
      </c>
      <c r="D11" s="78">
        <v>4000000</v>
      </c>
      <c r="E11" s="79">
        <f>+D11*B11</f>
        <v>4000000</v>
      </c>
      <c r="G11" s="80">
        <v>1</v>
      </c>
      <c r="H11" s="81" t="s">
        <v>81</v>
      </c>
      <c r="I11" s="81">
        <v>1000000</v>
      </c>
      <c r="J11" s="79">
        <f t="shared" si="0"/>
        <v>1000000</v>
      </c>
    </row>
    <row r="12" spans="1:14" x14ac:dyDescent="0.25">
      <c r="A12" s="211"/>
      <c r="B12" s="80">
        <v>1</v>
      </c>
      <c r="C12" s="81" t="s">
        <v>82</v>
      </c>
      <c r="D12" s="81">
        <v>150000</v>
      </c>
      <c r="E12" s="79">
        <f>+D12*B12</f>
        <v>150000</v>
      </c>
      <c r="G12" s="80">
        <v>1</v>
      </c>
      <c r="H12" s="81" t="s">
        <v>83</v>
      </c>
      <c r="I12" s="81">
        <v>1000000</v>
      </c>
      <c r="J12" s="79">
        <f t="shared" si="0"/>
        <v>1000000</v>
      </c>
    </row>
    <row r="13" spans="1:14" x14ac:dyDescent="0.25">
      <c r="A13" s="211"/>
      <c r="B13" s="80">
        <v>6</v>
      </c>
      <c r="C13" s="81" t="s">
        <v>84</v>
      </c>
      <c r="D13" s="81">
        <v>1300000</v>
      </c>
      <c r="E13" s="79">
        <f>+D13*B13</f>
        <v>7800000</v>
      </c>
      <c r="G13" s="80">
        <v>1</v>
      </c>
      <c r="H13" s="81" t="s">
        <v>85</v>
      </c>
      <c r="I13" s="81">
        <v>1000000</v>
      </c>
      <c r="J13" s="79">
        <f t="shared" si="0"/>
        <v>1000000</v>
      </c>
      <c r="N13" s="100"/>
    </row>
    <row r="14" spans="1:14" x14ac:dyDescent="0.25">
      <c r="A14" s="211"/>
      <c r="B14" s="80">
        <v>10</v>
      </c>
      <c r="C14" s="81" t="s">
        <v>86</v>
      </c>
      <c r="D14" s="81">
        <v>40000</v>
      </c>
      <c r="E14" s="79">
        <f>+D14*B14</f>
        <v>400000</v>
      </c>
      <c r="G14" s="80">
        <v>1</v>
      </c>
      <c r="H14" s="81" t="s">
        <v>87</v>
      </c>
      <c r="I14" s="81">
        <v>1500000</v>
      </c>
      <c r="J14" s="79">
        <f t="shared" si="0"/>
        <v>1500000</v>
      </c>
      <c r="N14" s="100"/>
    </row>
    <row r="15" spans="1:14" x14ac:dyDescent="0.25">
      <c r="A15" s="211"/>
      <c r="B15" s="80">
        <v>1</v>
      </c>
      <c r="C15" s="81" t="s">
        <v>88</v>
      </c>
      <c r="D15" s="81">
        <v>750000</v>
      </c>
      <c r="E15" s="79">
        <f>+D15</f>
        <v>750000</v>
      </c>
      <c r="G15" s="80">
        <v>1</v>
      </c>
      <c r="H15" s="81" t="s">
        <v>89</v>
      </c>
      <c r="I15" s="81">
        <v>150000</v>
      </c>
      <c r="J15" s="79">
        <f t="shared" si="0"/>
        <v>150000</v>
      </c>
      <c r="N15" s="100"/>
    </row>
    <row r="16" spans="1:14" x14ac:dyDescent="0.25">
      <c r="A16" s="211"/>
      <c r="B16" s="80">
        <v>1</v>
      </c>
      <c r="C16" s="81" t="s">
        <v>90</v>
      </c>
      <c r="D16" s="78">
        <v>200000</v>
      </c>
      <c r="E16" s="79">
        <f>+B16*D16</f>
        <v>200000</v>
      </c>
      <c r="G16" s="80">
        <v>1</v>
      </c>
      <c r="H16" s="81" t="s">
        <v>91</v>
      </c>
      <c r="I16" s="81">
        <v>1000000</v>
      </c>
      <c r="J16" s="79">
        <f t="shared" si="0"/>
        <v>1000000</v>
      </c>
      <c r="N16" s="100"/>
    </row>
    <row r="17" spans="1:14" x14ac:dyDescent="0.25">
      <c r="A17" s="211"/>
      <c r="B17" s="80">
        <v>2</v>
      </c>
      <c r="C17" s="81" t="s">
        <v>92</v>
      </c>
      <c r="D17" s="78">
        <v>500000</v>
      </c>
      <c r="E17" s="79">
        <f>+B17*D17</f>
        <v>1000000</v>
      </c>
      <c r="G17" s="80">
        <v>1</v>
      </c>
      <c r="H17" s="81" t="s">
        <v>93</v>
      </c>
      <c r="I17" s="81">
        <v>1000000</v>
      </c>
      <c r="J17" s="79">
        <f t="shared" si="0"/>
        <v>1000000</v>
      </c>
      <c r="N17" s="100"/>
    </row>
    <row r="18" spans="1:14" ht="15.75" thickBot="1" x14ac:dyDescent="0.3">
      <c r="A18" s="93"/>
      <c r="B18" s="80">
        <v>1</v>
      </c>
      <c r="C18" s="81" t="s">
        <v>94</v>
      </c>
      <c r="D18" s="81">
        <v>100000</v>
      </c>
      <c r="E18" s="79">
        <f t="shared" ref="E18" si="1">+D18*B18</f>
        <v>100000</v>
      </c>
      <c r="G18" s="80">
        <v>1</v>
      </c>
      <c r="H18" s="81" t="s">
        <v>95</v>
      </c>
      <c r="I18" s="81">
        <v>100000</v>
      </c>
      <c r="J18" s="79">
        <f t="shared" si="0"/>
        <v>100000</v>
      </c>
      <c r="K18" s="82"/>
    </row>
    <row r="19" spans="1:14" ht="15" customHeight="1" thickBot="1" x14ac:dyDescent="0.3">
      <c r="A19" s="212" t="s">
        <v>96</v>
      </c>
      <c r="B19" s="85" t="s">
        <v>97</v>
      </c>
      <c r="C19" s="85"/>
      <c r="D19" s="85"/>
      <c r="E19" s="86">
        <f>SUM(E10:E18)</f>
        <v>18400000</v>
      </c>
      <c r="G19" s="87" t="s">
        <v>98</v>
      </c>
      <c r="H19" s="88"/>
      <c r="I19" s="88"/>
      <c r="J19" s="88">
        <f>SUM(J10:J18)</f>
        <v>7550000</v>
      </c>
      <c r="K19" s="155" t="s">
        <v>99</v>
      </c>
      <c r="L19" s="156">
        <f>J19*12</f>
        <v>90600000</v>
      </c>
    </row>
    <row r="20" spans="1:14" ht="19.5" thickBot="1" x14ac:dyDescent="0.35">
      <c r="A20" s="213"/>
      <c r="B20" s="73">
        <v>1</v>
      </c>
      <c r="C20" s="74" t="s">
        <v>100</v>
      </c>
      <c r="D20" s="74">
        <v>300000</v>
      </c>
      <c r="E20" s="75">
        <f>+D20*B20</f>
        <v>300000</v>
      </c>
      <c r="G20" s="207" t="s">
        <v>101</v>
      </c>
      <c r="H20" s="208"/>
      <c r="I20" s="208"/>
      <c r="J20" s="209"/>
    </row>
    <row r="21" spans="1:14" x14ac:dyDescent="0.25">
      <c r="A21" s="213"/>
      <c r="B21" s="80">
        <v>1</v>
      </c>
      <c r="C21" s="81" t="s">
        <v>90</v>
      </c>
      <c r="D21" s="78">
        <v>200000</v>
      </c>
      <c r="E21" s="79">
        <f>+D21*B21</f>
        <v>200000</v>
      </c>
      <c r="G21" s="97">
        <v>1</v>
      </c>
      <c r="H21" s="98" t="s">
        <v>102</v>
      </c>
      <c r="I21" s="98">
        <v>5000000</v>
      </c>
      <c r="J21" s="99">
        <f t="shared" ref="J21:J23" si="2">+I21</f>
        <v>5000000</v>
      </c>
    </row>
    <row r="22" spans="1:14" x14ac:dyDescent="0.25">
      <c r="A22" s="213"/>
      <c r="B22" s="80">
        <v>1</v>
      </c>
      <c r="C22" s="81" t="s">
        <v>103</v>
      </c>
      <c r="D22" s="81">
        <v>2000000</v>
      </c>
      <c r="E22" s="79">
        <f>+D22</f>
        <v>2000000</v>
      </c>
      <c r="G22" s="97">
        <v>1</v>
      </c>
      <c r="H22" s="98" t="s">
        <v>104</v>
      </c>
      <c r="I22" s="98">
        <v>1000000</v>
      </c>
      <c r="J22" s="99">
        <f t="shared" si="2"/>
        <v>1000000</v>
      </c>
      <c r="K22" s="82"/>
    </row>
    <row r="23" spans="1:14" x14ac:dyDescent="0.25">
      <c r="A23" s="213"/>
      <c r="B23" s="80">
        <v>1</v>
      </c>
      <c r="C23" s="81" t="s">
        <v>105</v>
      </c>
      <c r="D23" s="81">
        <v>400000</v>
      </c>
      <c r="E23" s="79">
        <f>+D23</f>
        <v>400000</v>
      </c>
      <c r="G23" s="97">
        <v>1</v>
      </c>
      <c r="H23" s="98" t="s">
        <v>106</v>
      </c>
      <c r="I23" s="98">
        <v>600000</v>
      </c>
      <c r="J23" s="99">
        <f t="shared" si="2"/>
        <v>600000</v>
      </c>
    </row>
    <row r="24" spans="1:14" x14ac:dyDescent="0.25">
      <c r="A24" s="213"/>
      <c r="B24" s="80">
        <v>1</v>
      </c>
      <c r="C24" s="81" t="s">
        <v>107</v>
      </c>
      <c r="D24" s="81">
        <v>300000</v>
      </c>
      <c r="E24" s="79">
        <f>+D24*B24</f>
        <v>300000</v>
      </c>
      <c r="G24" s="101">
        <v>1</v>
      </c>
      <c r="H24" s="91" t="s">
        <v>108</v>
      </c>
      <c r="I24" s="91">
        <f>'Anexo 3A Nómina Físico'!T11</f>
        <v>4621344.8</v>
      </c>
      <c r="J24" s="102">
        <f>+G24*I24</f>
        <v>4621344.8</v>
      </c>
    </row>
    <row r="25" spans="1:14" x14ac:dyDescent="0.25">
      <c r="A25" s="213"/>
      <c r="B25" s="80">
        <v>4</v>
      </c>
      <c r="C25" s="81" t="s">
        <v>109</v>
      </c>
      <c r="D25" s="81">
        <v>80000</v>
      </c>
      <c r="E25" s="79">
        <f>+D25*B25</f>
        <v>320000</v>
      </c>
      <c r="G25" s="101">
        <v>1</v>
      </c>
      <c r="H25" s="91" t="s">
        <v>110</v>
      </c>
      <c r="I25" s="91">
        <f>'Anexo 3A Nómina Físico'!AM12</f>
        <v>1465968.8071599999</v>
      </c>
      <c r="J25" s="102">
        <f t="shared" ref="J25:J26" si="3">+G25*I25</f>
        <v>1465968.8071599999</v>
      </c>
    </row>
    <row r="26" spans="1:14" x14ac:dyDescent="0.25">
      <c r="A26" s="213"/>
      <c r="B26" s="80">
        <v>1</v>
      </c>
      <c r="C26" s="81" t="s">
        <v>111</v>
      </c>
      <c r="D26" s="81">
        <v>500000</v>
      </c>
      <c r="E26" s="79">
        <f>+D26*B26</f>
        <v>500000</v>
      </c>
      <c r="G26" s="101">
        <v>1</v>
      </c>
      <c r="H26" s="91" t="s">
        <v>112</v>
      </c>
      <c r="I26" s="91">
        <f>'Anexo 3A Nómina Físico'!AA11</f>
        <v>1031593.6774000002</v>
      </c>
      <c r="J26" s="102">
        <f t="shared" si="3"/>
        <v>1031593.6774000002</v>
      </c>
    </row>
    <row r="27" spans="1:14" ht="16.5" thickBot="1" x14ac:dyDescent="0.3">
      <c r="A27" s="205" t="s">
        <v>113</v>
      </c>
      <c r="B27" s="85" t="s">
        <v>97</v>
      </c>
      <c r="C27" s="85"/>
      <c r="D27" s="85"/>
      <c r="E27" s="86">
        <f>SUM(E20:E26)</f>
        <v>4020000</v>
      </c>
      <c r="G27" s="97">
        <v>1</v>
      </c>
      <c r="H27" s="98" t="s">
        <v>114</v>
      </c>
      <c r="I27" s="98">
        <v>500000</v>
      </c>
      <c r="J27" s="99">
        <f>+I27</f>
        <v>500000</v>
      </c>
    </row>
    <row r="28" spans="1:14" ht="15" customHeight="1" thickBot="1" x14ac:dyDescent="0.3">
      <c r="A28" s="205"/>
      <c r="B28" s="159">
        <v>1</v>
      </c>
      <c r="C28" s="74" t="s">
        <v>115</v>
      </c>
      <c r="D28" s="74">
        <v>5000000</v>
      </c>
      <c r="E28" s="75">
        <f>+D28</f>
        <v>5000000</v>
      </c>
      <c r="G28" s="80">
        <v>1</v>
      </c>
      <c r="H28" s="81" t="s">
        <v>116</v>
      </c>
      <c r="I28" s="81">
        <v>1000000</v>
      </c>
      <c r="J28" s="79">
        <f>+I28</f>
        <v>1000000</v>
      </c>
    </row>
    <row r="29" spans="1:14" ht="16.5" thickBot="1" x14ac:dyDescent="0.3">
      <c r="A29" s="205"/>
      <c r="B29" s="160">
        <v>1</v>
      </c>
      <c r="C29" s="81" t="s">
        <v>117</v>
      </c>
      <c r="D29" s="81">
        <v>1500000</v>
      </c>
      <c r="E29" s="79">
        <f>+D29*B29</f>
        <v>1500000</v>
      </c>
      <c r="G29" s="87" t="s">
        <v>98</v>
      </c>
      <c r="H29" s="88"/>
      <c r="I29" s="88"/>
      <c r="J29" s="89">
        <f>SUM(J21:J28)</f>
        <v>15218907.284560001</v>
      </c>
      <c r="K29" s="155" t="s">
        <v>99</v>
      </c>
      <c r="L29" s="156">
        <f>J29*12</f>
        <v>182626887.41472</v>
      </c>
    </row>
    <row r="30" spans="1:14" x14ac:dyDescent="0.25">
      <c r="A30" s="205"/>
      <c r="B30" s="160">
        <v>1</v>
      </c>
      <c r="C30" s="81" t="s">
        <v>118</v>
      </c>
      <c r="D30" s="81">
        <v>2000000</v>
      </c>
      <c r="E30" s="79">
        <f t="shared" ref="E30:E37" si="4">+D30*B30</f>
        <v>2000000</v>
      </c>
      <c r="G30" s="90"/>
      <c r="H30" s="90"/>
      <c r="I30" s="90"/>
      <c r="J30" s="90"/>
    </row>
    <row r="31" spans="1:14" x14ac:dyDescent="0.25">
      <c r="A31" s="205"/>
      <c r="B31" s="160">
        <v>1</v>
      </c>
      <c r="C31" s="81" t="s">
        <v>119</v>
      </c>
      <c r="D31" s="81">
        <v>2500000</v>
      </c>
      <c r="E31" s="79">
        <f t="shared" si="4"/>
        <v>2500000</v>
      </c>
      <c r="G31" s="90"/>
      <c r="H31" s="90"/>
      <c r="I31" s="90"/>
      <c r="J31" s="90"/>
    </row>
    <row r="32" spans="1:14" x14ac:dyDescent="0.25">
      <c r="A32" s="205"/>
      <c r="B32" s="160">
        <v>1</v>
      </c>
      <c r="C32" s="81" t="s">
        <v>120</v>
      </c>
      <c r="D32" s="81">
        <v>500000</v>
      </c>
      <c r="E32" s="79">
        <f t="shared" si="4"/>
        <v>500000</v>
      </c>
    </row>
    <row r="33" spans="1:5" x14ac:dyDescent="0.25">
      <c r="A33" s="205"/>
      <c r="B33" s="160">
        <v>1</v>
      </c>
      <c r="C33" s="81" t="s">
        <v>121</v>
      </c>
      <c r="D33" s="81">
        <v>2000000</v>
      </c>
      <c r="E33" s="79">
        <f t="shared" si="4"/>
        <v>2000000</v>
      </c>
    </row>
    <row r="34" spans="1:5" x14ac:dyDescent="0.25">
      <c r="A34" s="205"/>
      <c r="B34" s="160">
        <v>1</v>
      </c>
      <c r="C34" s="81" t="s">
        <v>122</v>
      </c>
      <c r="D34" s="81">
        <v>1500000</v>
      </c>
      <c r="E34" s="79">
        <f>+D34</f>
        <v>1500000</v>
      </c>
    </row>
    <row r="35" spans="1:5" x14ac:dyDescent="0.25">
      <c r="A35" s="205"/>
      <c r="B35" s="160">
        <v>1</v>
      </c>
      <c r="C35" s="81" t="s">
        <v>123</v>
      </c>
      <c r="D35" s="81">
        <v>5000000</v>
      </c>
      <c r="E35" s="79">
        <f>+D35</f>
        <v>5000000</v>
      </c>
    </row>
    <row r="36" spans="1:5" x14ac:dyDescent="0.25">
      <c r="A36" s="205"/>
      <c r="B36" s="160">
        <v>1</v>
      </c>
      <c r="C36" s="81" t="s">
        <v>124</v>
      </c>
      <c r="D36" s="81">
        <v>2000000</v>
      </c>
      <c r="E36" s="79">
        <f t="shared" si="4"/>
        <v>2000000</v>
      </c>
    </row>
    <row r="37" spans="1:5" x14ac:dyDescent="0.25">
      <c r="A37" s="205"/>
      <c r="B37" s="160">
        <v>1</v>
      </c>
      <c r="C37" s="81" t="s">
        <v>125</v>
      </c>
      <c r="D37" s="81">
        <v>3500000</v>
      </c>
      <c r="E37" s="79">
        <f t="shared" si="4"/>
        <v>3500000</v>
      </c>
    </row>
    <row r="38" spans="1:5" ht="15.75" customHeight="1" x14ac:dyDescent="0.25">
      <c r="A38" s="205"/>
      <c r="B38" s="160">
        <v>1</v>
      </c>
      <c r="C38" s="81" t="s">
        <v>126</v>
      </c>
      <c r="D38" s="81">
        <v>25000000</v>
      </c>
      <c r="E38" s="79">
        <f>+B38*D38</f>
        <v>25000000</v>
      </c>
    </row>
    <row r="39" spans="1:5" ht="15.75" thickBot="1" x14ac:dyDescent="0.3">
      <c r="A39" s="205"/>
      <c r="B39" s="161">
        <v>1</v>
      </c>
      <c r="C39" s="83" t="s">
        <v>127</v>
      </c>
      <c r="D39" s="83">
        <v>3000000</v>
      </c>
      <c r="E39" s="84">
        <f>+B39*D39</f>
        <v>3000000</v>
      </c>
    </row>
    <row r="40" spans="1:5" ht="15.75" x14ac:dyDescent="0.25">
      <c r="A40" s="94"/>
      <c r="B40" s="92" t="s">
        <v>97</v>
      </c>
      <c r="C40" s="85"/>
      <c r="D40" s="85"/>
      <c r="E40" s="86">
        <f>SUM(E28:E39)</f>
        <v>53500000</v>
      </c>
    </row>
    <row r="41" spans="1:5" ht="21.75" thickBot="1" x14ac:dyDescent="0.4">
      <c r="A41" s="94"/>
      <c r="B41" s="95" t="s">
        <v>97</v>
      </c>
      <c r="C41" s="95"/>
      <c r="D41" s="95"/>
      <c r="E41" s="96">
        <f>E40+E27+E19</f>
        <v>75920000</v>
      </c>
    </row>
    <row r="42" spans="1:5" x14ac:dyDescent="0.25">
      <c r="A42" s="94"/>
    </row>
  </sheetData>
  <mergeCells count="9">
    <mergeCell ref="A27:A39"/>
    <mergeCell ref="A1:J1"/>
    <mergeCell ref="A5:J5"/>
    <mergeCell ref="B7:E7"/>
    <mergeCell ref="G7:J7"/>
    <mergeCell ref="G20:J20"/>
    <mergeCell ref="B2:L4"/>
    <mergeCell ref="A10:A17"/>
    <mergeCell ref="A19:A26"/>
  </mergeCells>
  <pageMargins left="0.70866141732283472" right="0.70866141732283472" top="0.74803149606299213" bottom="0.74803149606299213" header="0.31496062992125984" footer="0.31496062992125984"/>
  <pageSetup paperSize="9" scale="52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159A9-2C6E-4325-BFDE-7017684782B3}">
  <sheetPr>
    <pageSetUpPr fitToPage="1"/>
  </sheetPr>
  <dimension ref="A1:N50"/>
  <sheetViews>
    <sheetView showGridLines="0" zoomScaleNormal="100" workbookViewId="0">
      <selection activeCell="H44" sqref="H44"/>
    </sheetView>
  </sheetViews>
  <sheetFormatPr baseColWidth="10" defaultColWidth="11.42578125" defaultRowHeight="15" x14ac:dyDescent="0.25"/>
  <cols>
    <col min="1" max="1" width="10.7109375" style="65" customWidth="1"/>
    <col min="2" max="2" width="8.7109375" style="65" customWidth="1"/>
    <col min="3" max="3" width="33.5703125" style="65" bestFit="1" customWidth="1"/>
    <col min="4" max="4" width="13.85546875" style="65" bestFit="1" customWidth="1"/>
    <col min="5" max="5" width="17.42578125" style="65" bestFit="1" customWidth="1"/>
    <col min="6" max="6" width="2.140625" style="65" customWidth="1"/>
    <col min="7" max="7" width="9.140625" style="65" customWidth="1"/>
    <col min="8" max="8" width="21.140625" style="65" customWidth="1"/>
    <col min="9" max="9" width="13.85546875" style="65" bestFit="1" customWidth="1"/>
    <col min="10" max="10" width="22.7109375" style="65" customWidth="1"/>
    <col min="11" max="11" width="12.5703125" style="65" bestFit="1" customWidth="1"/>
    <col min="12" max="12" width="16.85546875" style="65" customWidth="1"/>
    <col min="13" max="13" width="18" style="65" customWidth="1"/>
    <col min="14" max="14" width="13.7109375" style="65" customWidth="1"/>
    <col min="15" max="255" width="11.42578125" style="65"/>
    <col min="256" max="256" width="10.7109375" style="65" customWidth="1"/>
    <col min="257" max="257" width="8.7109375" style="65" customWidth="1"/>
    <col min="258" max="258" width="21.42578125" style="65" bestFit="1" customWidth="1"/>
    <col min="259" max="259" width="13.85546875" style="65" bestFit="1" customWidth="1"/>
    <col min="260" max="260" width="17.42578125" style="65" bestFit="1" customWidth="1"/>
    <col min="261" max="261" width="2.140625" style="65" customWidth="1"/>
    <col min="262" max="262" width="9.140625" style="65" customWidth="1"/>
    <col min="263" max="263" width="21.140625" style="65" customWidth="1"/>
    <col min="264" max="264" width="13.85546875" style="65" bestFit="1" customWidth="1"/>
    <col min="265" max="265" width="14.42578125" style="65" bestFit="1" customWidth="1"/>
    <col min="266" max="266" width="10.7109375" style="65" bestFit="1" customWidth="1"/>
    <col min="267" max="267" width="10.5703125" style="65" bestFit="1" customWidth="1"/>
    <col min="268" max="268" width="9.42578125" style="65" bestFit="1" customWidth="1"/>
    <col min="269" max="269" width="15.42578125" style="65" bestFit="1" customWidth="1"/>
    <col min="270" max="511" width="11.42578125" style="65"/>
    <col min="512" max="512" width="10.7109375" style="65" customWidth="1"/>
    <col min="513" max="513" width="8.7109375" style="65" customWidth="1"/>
    <col min="514" max="514" width="21.42578125" style="65" bestFit="1" customWidth="1"/>
    <col min="515" max="515" width="13.85546875" style="65" bestFit="1" customWidth="1"/>
    <col min="516" max="516" width="17.42578125" style="65" bestFit="1" customWidth="1"/>
    <col min="517" max="517" width="2.140625" style="65" customWidth="1"/>
    <col min="518" max="518" width="9.140625" style="65" customWidth="1"/>
    <col min="519" max="519" width="21.140625" style="65" customWidth="1"/>
    <col min="520" max="520" width="13.85546875" style="65" bestFit="1" customWidth="1"/>
    <col min="521" max="521" width="14.42578125" style="65" bestFit="1" customWidth="1"/>
    <col min="522" max="522" width="10.7109375" style="65" bestFit="1" customWidth="1"/>
    <col min="523" max="523" width="10.5703125" style="65" bestFit="1" customWidth="1"/>
    <col min="524" max="524" width="9.42578125" style="65" bestFit="1" customWidth="1"/>
    <col min="525" max="525" width="15.42578125" style="65" bestFit="1" customWidth="1"/>
    <col min="526" max="767" width="11.42578125" style="65"/>
    <col min="768" max="768" width="10.7109375" style="65" customWidth="1"/>
    <col min="769" max="769" width="8.7109375" style="65" customWidth="1"/>
    <col min="770" max="770" width="21.42578125" style="65" bestFit="1" customWidth="1"/>
    <col min="771" max="771" width="13.85546875" style="65" bestFit="1" customWidth="1"/>
    <col min="772" max="772" width="17.42578125" style="65" bestFit="1" customWidth="1"/>
    <col min="773" max="773" width="2.140625" style="65" customWidth="1"/>
    <col min="774" max="774" width="9.140625" style="65" customWidth="1"/>
    <col min="775" max="775" width="21.140625" style="65" customWidth="1"/>
    <col min="776" max="776" width="13.85546875" style="65" bestFit="1" customWidth="1"/>
    <col min="777" max="777" width="14.42578125" style="65" bestFit="1" customWidth="1"/>
    <col min="778" max="778" width="10.7109375" style="65" bestFit="1" customWidth="1"/>
    <col min="779" max="779" width="10.5703125" style="65" bestFit="1" customWidth="1"/>
    <col min="780" max="780" width="9.42578125" style="65" bestFit="1" customWidth="1"/>
    <col min="781" max="781" width="15.42578125" style="65" bestFit="1" customWidth="1"/>
    <col min="782" max="1023" width="11.42578125" style="65"/>
    <col min="1024" max="1024" width="10.7109375" style="65" customWidth="1"/>
    <col min="1025" max="1025" width="8.7109375" style="65" customWidth="1"/>
    <col min="1026" max="1026" width="21.42578125" style="65" bestFit="1" customWidth="1"/>
    <col min="1027" max="1027" width="13.85546875" style="65" bestFit="1" customWidth="1"/>
    <col min="1028" max="1028" width="17.42578125" style="65" bestFit="1" customWidth="1"/>
    <col min="1029" max="1029" width="2.140625" style="65" customWidth="1"/>
    <col min="1030" max="1030" width="9.140625" style="65" customWidth="1"/>
    <col min="1031" max="1031" width="21.140625" style="65" customWidth="1"/>
    <col min="1032" max="1032" width="13.85546875" style="65" bestFit="1" customWidth="1"/>
    <col min="1033" max="1033" width="14.42578125" style="65" bestFit="1" customWidth="1"/>
    <col min="1034" max="1034" width="10.7109375" style="65" bestFit="1" customWidth="1"/>
    <col min="1035" max="1035" width="10.5703125" style="65" bestFit="1" customWidth="1"/>
    <col min="1036" max="1036" width="9.42578125" style="65" bestFit="1" customWidth="1"/>
    <col min="1037" max="1037" width="15.42578125" style="65" bestFit="1" customWidth="1"/>
    <col min="1038" max="1279" width="11.42578125" style="65"/>
    <col min="1280" max="1280" width="10.7109375" style="65" customWidth="1"/>
    <col min="1281" max="1281" width="8.7109375" style="65" customWidth="1"/>
    <col min="1282" max="1282" width="21.42578125" style="65" bestFit="1" customWidth="1"/>
    <col min="1283" max="1283" width="13.85546875" style="65" bestFit="1" customWidth="1"/>
    <col min="1284" max="1284" width="17.42578125" style="65" bestFit="1" customWidth="1"/>
    <col min="1285" max="1285" width="2.140625" style="65" customWidth="1"/>
    <col min="1286" max="1286" width="9.140625" style="65" customWidth="1"/>
    <col min="1287" max="1287" width="21.140625" style="65" customWidth="1"/>
    <col min="1288" max="1288" width="13.85546875" style="65" bestFit="1" customWidth="1"/>
    <col min="1289" max="1289" width="14.42578125" style="65" bestFit="1" customWidth="1"/>
    <col min="1290" max="1290" width="10.7109375" style="65" bestFit="1" customWidth="1"/>
    <col min="1291" max="1291" width="10.5703125" style="65" bestFit="1" customWidth="1"/>
    <col min="1292" max="1292" width="9.42578125" style="65" bestFit="1" customWidth="1"/>
    <col min="1293" max="1293" width="15.42578125" style="65" bestFit="1" customWidth="1"/>
    <col min="1294" max="1535" width="11.42578125" style="65"/>
    <col min="1536" max="1536" width="10.7109375" style="65" customWidth="1"/>
    <col min="1537" max="1537" width="8.7109375" style="65" customWidth="1"/>
    <col min="1538" max="1538" width="21.42578125" style="65" bestFit="1" customWidth="1"/>
    <col min="1539" max="1539" width="13.85546875" style="65" bestFit="1" customWidth="1"/>
    <col min="1540" max="1540" width="17.42578125" style="65" bestFit="1" customWidth="1"/>
    <col min="1541" max="1541" width="2.140625" style="65" customWidth="1"/>
    <col min="1542" max="1542" width="9.140625" style="65" customWidth="1"/>
    <col min="1543" max="1543" width="21.140625" style="65" customWidth="1"/>
    <col min="1544" max="1544" width="13.85546875" style="65" bestFit="1" customWidth="1"/>
    <col min="1545" max="1545" width="14.42578125" style="65" bestFit="1" customWidth="1"/>
    <col min="1546" max="1546" width="10.7109375" style="65" bestFit="1" customWidth="1"/>
    <col min="1547" max="1547" width="10.5703125" style="65" bestFit="1" customWidth="1"/>
    <col min="1548" max="1548" width="9.42578125" style="65" bestFit="1" customWidth="1"/>
    <col min="1549" max="1549" width="15.42578125" style="65" bestFit="1" customWidth="1"/>
    <col min="1550" max="1791" width="11.42578125" style="65"/>
    <col min="1792" max="1792" width="10.7109375" style="65" customWidth="1"/>
    <col min="1793" max="1793" width="8.7109375" style="65" customWidth="1"/>
    <col min="1794" max="1794" width="21.42578125" style="65" bestFit="1" customWidth="1"/>
    <col min="1795" max="1795" width="13.85546875" style="65" bestFit="1" customWidth="1"/>
    <col min="1796" max="1796" width="17.42578125" style="65" bestFit="1" customWidth="1"/>
    <col min="1797" max="1797" width="2.140625" style="65" customWidth="1"/>
    <col min="1798" max="1798" width="9.140625" style="65" customWidth="1"/>
    <col min="1799" max="1799" width="21.140625" style="65" customWidth="1"/>
    <col min="1800" max="1800" width="13.85546875" style="65" bestFit="1" customWidth="1"/>
    <col min="1801" max="1801" width="14.42578125" style="65" bestFit="1" customWidth="1"/>
    <col min="1802" max="1802" width="10.7109375" style="65" bestFit="1" customWidth="1"/>
    <col min="1803" max="1803" width="10.5703125" style="65" bestFit="1" customWidth="1"/>
    <col min="1804" max="1804" width="9.42578125" style="65" bestFit="1" customWidth="1"/>
    <col min="1805" max="1805" width="15.42578125" style="65" bestFit="1" customWidth="1"/>
    <col min="1806" max="2047" width="11.42578125" style="65"/>
    <col min="2048" max="2048" width="10.7109375" style="65" customWidth="1"/>
    <col min="2049" max="2049" width="8.7109375" style="65" customWidth="1"/>
    <col min="2050" max="2050" width="21.42578125" style="65" bestFit="1" customWidth="1"/>
    <col min="2051" max="2051" width="13.85546875" style="65" bestFit="1" customWidth="1"/>
    <col min="2052" max="2052" width="17.42578125" style="65" bestFit="1" customWidth="1"/>
    <col min="2053" max="2053" width="2.140625" style="65" customWidth="1"/>
    <col min="2054" max="2054" width="9.140625" style="65" customWidth="1"/>
    <col min="2055" max="2055" width="21.140625" style="65" customWidth="1"/>
    <col min="2056" max="2056" width="13.85546875" style="65" bestFit="1" customWidth="1"/>
    <col min="2057" max="2057" width="14.42578125" style="65" bestFit="1" customWidth="1"/>
    <col min="2058" max="2058" width="10.7109375" style="65" bestFit="1" customWidth="1"/>
    <col min="2059" max="2059" width="10.5703125" style="65" bestFit="1" customWidth="1"/>
    <col min="2060" max="2060" width="9.42578125" style="65" bestFit="1" customWidth="1"/>
    <col min="2061" max="2061" width="15.42578125" style="65" bestFit="1" customWidth="1"/>
    <col min="2062" max="2303" width="11.42578125" style="65"/>
    <col min="2304" max="2304" width="10.7109375" style="65" customWidth="1"/>
    <col min="2305" max="2305" width="8.7109375" style="65" customWidth="1"/>
    <col min="2306" max="2306" width="21.42578125" style="65" bestFit="1" customWidth="1"/>
    <col min="2307" max="2307" width="13.85546875" style="65" bestFit="1" customWidth="1"/>
    <col min="2308" max="2308" width="17.42578125" style="65" bestFit="1" customWidth="1"/>
    <col min="2309" max="2309" width="2.140625" style="65" customWidth="1"/>
    <col min="2310" max="2310" width="9.140625" style="65" customWidth="1"/>
    <col min="2311" max="2311" width="21.140625" style="65" customWidth="1"/>
    <col min="2312" max="2312" width="13.85546875" style="65" bestFit="1" customWidth="1"/>
    <col min="2313" max="2313" width="14.42578125" style="65" bestFit="1" customWidth="1"/>
    <col min="2314" max="2314" width="10.7109375" style="65" bestFit="1" customWidth="1"/>
    <col min="2315" max="2315" width="10.5703125" style="65" bestFit="1" customWidth="1"/>
    <col min="2316" max="2316" width="9.42578125" style="65" bestFit="1" customWidth="1"/>
    <col min="2317" max="2317" width="15.42578125" style="65" bestFit="1" customWidth="1"/>
    <col min="2318" max="2559" width="11.42578125" style="65"/>
    <col min="2560" max="2560" width="10.7109375" style="65" customWidth="1"/>
    <col min="2561" max="2561" width="8.7109375" style="65" customWidth="1"/>
    <col min="2562" max="2562" width="21.42578125" style="65" bestFit="1" customWidth="1"/>
    <col min="2563" max="2563" width="13.85546875" style="65" bestFit="1" customWidth="1"/>
    <col min="2564" max="2564" width="17.42578125" style="65" bestFit="1" customWidth="1"/>
    <col min="2565" max="2565" width="2.140625" style="65" customWidth="1"/>
    <col min="2566" max="2566" width="9.140625" style="65" customWidth="1"/>
    <col min="2567" max="2567" width="21.140625" style="65" customWidth="1"/>
    <col min="2568" max="2568" width="13.85546875" style="65" bestFit="1" customWidth="1"/>
    <col min="2569" max="2569" width="14.42578125" style="65" bestFit="1" customWidth="1"/>
    <col min="2570" max="2570" width="10.7109375" style="65" bestFit="1" customWidth="1"/>
    <col min="2571" max="2571" width="10.5703125" style="65" bestFit="1" customWidth="1"/>
    <col min="2572" max="2572" width="9.42578125" style="65" bestFit="1" customWidth="1"/>
    <col min="2573" max="2573" width="15.42578125" style="65" bestFit="1" customWidth="1"/>
    <col min="2574" max="2815" width="11.42578125" style="65"/>
    <col min="2816" max="2816" width="10.7109375" style="65" customWidth="1"/>
    <col min="2817" max="2817" width="8.7109375" style="65" customWidth="1"/>
    <col min="2818" max="2818" width="21.42578125" style="65" bestFit="1" customWidth="1"/>
    <col min="2819" max="2819" width="13.85546875" style="65" bestFit="1" customWidth="1"/>
    <col min="2820" max="2820" width="17.42578125" style="65" bestFit="1" customWidth="1"/>
    <col min="2821" max="2821" width="2.140625" style="65" customWidth="1"/>
    <col min="2822" max="2822" width="9.140625" style="65" customWidth="1"/>
    <col min="2823" max="2823" width="21.140625" style="65" customWidth="1"/>
    <col min="2824" max="2824" width="13.85546875" style="65" bestFit="1" customWidth="1"/>
    <col min="2825" max="2825" width="14.42578125" style="65" bestFit="1" customWidth="1"/>
    <col min="2826" max="2826" width="10.7109375" style="65" bestFit="1" customWidth="1"/>
    <col min="2827" max="2827" width="10.5703125" style="65" bestFit="1" customWidth="1"/>
    <col min="2828" max="2828" width="9.42578125" style="65" bestFit="1" customWidth="1"/>
    <col min="2829" max="2829" width="15.42578125" style="65" bestFit="1" customWidth="1"/>
    <col min="2830" max="3071" width="11.42578125" style="65"/>
    <col min="3072" max="3072" width="10.7109375" style="65" customWidth="1"/>
    <col min="3073" max="3073" width="8.7109375" style="65" customWidth="1"/>
    <col min="3074" max="3074" width="21.42578125" style="65" bestFit="1" customWidth="1"/>
    <col min="3075" max="3075" width="13.85546875" style="65" bestFit="1" customWidth="1"/>
    <col min="3076" max="3076" width="17.42578125" style="65" bestFit="1" customWidth="1"/>
    <col min="3077" max="3077" width="2.140625" style="65" customWidth="1"/>
    <col min="3078" max="3078" width="9.140625" style="65" customWidth="1"/>
    <col min="3079" max="3079" width="21.140625" style="65" customWidth="1"/>
    <col min="3080" max="3080" width="13.85546875" style="65" bestFit="1" customWidth="1"/>
    <col min="3081" max="3081" width="14.42578125" style="65" bestFit="1" customWidth="1"/>
    <col min="3082" max="3082" width="10.7109375" style="65" bestFit="1" customWidth="1"/>
    <col min="3083" max="3083" width="10.5703125" style="65" bestFit="1" customWidth="1"/>
    <col min="3084" max="3084" width="9.42578125" style="65" bestFit="1" customWidth="1"/>
    <col min="3085" max="3085" width="15.42578125" style="65" bestFit="1" customWidth="1"/>
    <col min="3086" max="3327" width="11.42578125" style="65"/>
    <col min="3328" max="3328" width="10.7109375" style="65" customWidth="1"/>
    <col min="3329" max="3329" width="8.7109375" style="65" customWidth="1"/>
    <col min="3330" max="3330" width="21.42578125" style="65" bestFit="1" customWidth="1"/>
    <col min="3331" max="3331" width="13.85546875" style="65" bestFit="1" customWidth="1"/>
    <col min="3332" max="3332" width="17.42578125" style="65" bestFit="1" customWidth="1"/>
    <col min="3333" max="3333" width="2.140625" style="65" customWidth="1"/>
    <col min="3334" max="3334" width="9.140625" style="65" customWidth="1"/>
    <col min="3335" max="3335" width="21.140625" style="65" customWidth="1"/>
    <col min="3336" max="3336" width="13.85546875" style="65" bestFit="1" customWidth="1"/>
    <col min="3337" max="3337" width="14.42578125" style="65" bestFit="1" customWidth="1"/>
    <col min="3338" max="3338" width="10.7109375" style="65" bestFit="1" customWidth="1"/>
    <col min="3339" max="3339" width="10.5703125" style="65" bestFit="1" customWidth="1"/>
    <col min="3340" max="3340" width="9.42578125" style="65" bestFit="1" customWidth="1"/>
    <col min="3341" max="3341" width="15.42578125" style="65" bestFit="1" customWidth="1"/>
    <col min="3342" max="3583" width="11.42578125" style="65"/>
    <col min="3584" max="3584" width="10.7109375" style="65" customWidth="1"/>
    <col min="3585" max="3585" width="8.7109375" style="65" customWidth="1"/>
    <col min="3586" max="3586" width="21.42578125" style="65" bestFit="1" customWidth="1"/>
    <col min="3587" max="3587" width="13.85546875" style="65" bestFit="1" customWidth="1"/>
    <col min="3588" max="3588" width="17.42578125" style="65" bestFit="1" customWidth="1"/>
    <col min="3589" max="3589" width="2.140625" style="65" customWidth="1"/>
    <col min="3590" max="3590" width="9.140625" style="65" customWidth="1"/>
    <col min="3591" max="3591" width="21.140625" style="65" customWidth="1"/>
    <col min="3592" max="3592" width="13.85546875" style="65" bestFit="1" customWidth="1"/>
    <col min="3593" max="3593" width="14.42578125" style="65" bestFit="1" customWidth="1"/>
    <col min="3594" max="3594" width="10.7109375" style="65" bestFit="1" customWidth="1"/>
    <col min="3595" max="3595" width="10.5703125" style="65" bestFit="1" customWidth="1"/>
    <col min="3596" max="3596" width="9.42578125" style="65" bestFit="1" customWidth="1"/>
    <col min="3597" max="3597" width="15.42578125" style="65" bestFit="1" customWidth="1"/>
    <col min="3598" max="3839" width="11.42578125" style="65"/>
    <col min="3840" max="3840" width="10.7109375" style="65" customWidth="1"/>
    <col min="3841" max="3841" width="8.7109375" style="65" customWidth="1"/>
    <col min="3842" max="3842" width="21.42578125" style="65" bestFit="1" customWidth="1"/>
    <col min="3843" max="3843" width="13.85546875" style="65" bestFit="1" customWidth="1"/>
    <col min="3844" max="3844" width="17.42578125" style="65" bestFit="1" customWidth="1"/>
    <col min="3845" max="3845" width="2.140625" style="65" customWidth="1"/>
    <col min="3846" max="3846" width="9.140625" style="65" customWidth="1"/>
    <col min="3847" max="3847" width="21.140625" style="65" customWidth="1"/>
    <col min="3848" max="3848" width="13.85546875" style="65" bestFit="1" customWidth="1"/>
    <col min="3849" max="3849" width="14.42578125" style="65" bestFit="1" customWidth="1"/>
    <col min="3850" max="3850" width="10.7109375" style="65" bestFit="1" customWidth="1"/>
    <col min="3851" max="3851" width="10.5703125" style="65" bestFit="1" customWidth="1"/>
    <col min="3852" max="3852" width="9.42578125" style="65" bestFit="1" customWidth="1"/>
    <col min="3853" max="3853" width="15.42578125" style="65" bestFit="1" customWidth="1"/>
    <col min="3854" max="4095" width="11.42578125" style="65"/>
    <col min="4096" max="4096" width="10.7109375" style="65" customWidth="1"/>
    <col min="4097" max="4097" width="8.7109375" style="65" customWidth="1"/>
    <col min="4098" max="4098" width="21.42578125" style="65" bestFit="1" customWidth="1"/>
    <col min="4099" max="4099" width="13.85546875" style="65" bestFit="1" customWidth="1"/>
    <col min="4100" max="4100" width="17.42578125" style="65" bestFit="1" customWidth="1"/>
    <col min="4101" max="4101" width="2.140625" style="65" customWidth="1"/>
    <col min="4102" max="4102" width="9.140625" style="65" customWidth="1"/>
    <col min="4103" max="4103" width="21.140625" style="65" customWidth="1"/>
    <col min="4104" max="4104" width="13.85546875" style="65" bestFit="1" customWidth="1"/>
    <col min="4105" max="4105" width="14.42578125" style="65" bestFit="1" customWidth="1"/>
    <col min="4106" max="4106" width="10.7109375" style="65" bestFit="1" customWidth="1"/>
    <col min="4107" max="4107" width="10.5703125" style="65" bestFit="1" customWidth="1"/>
    <col min="4108" max="4108" width="9.42578125" style="65" bestFit="1" customWidth="1"/>
    <col min="4109" max="4109" width="15.42578125" style="65" bestFit="1" customWidth="1"/>
    <col min="4110" max="4351" width="11.42578125" style="65"/>
    <col min="4352" max="4352" width="10.7109375" style="65" customWidth="1"/>
    <col min="4353" max="4353" width="8.7109375" style="65" customWidth="1"/>
    <col min="4354" max="4354" width="21.42578125" style="65" bestFit="1" customWidth="1"/>
    <col min="4355" max="4355" width="13.85546875" style="65" bestFit="1" customWidth="1"/>
    <col min="4356" max="4356" width="17.42578125" style="65" bestFit="1" customWidth="1"/>
    <col min="4357" max="4357" width="2.140625" style="65" customWidth="1"/>
    <col min="4358" max="4358" width="9.140625" style="65" customWidth="1"/>
    <col min="4359" max="4359" width="21.140625" style="65" customWidth="1"/>
    <col min="4360" max="4360" width="13.85546875" style="65" bestFit="1" customWidth="1"/>
    <col min="4361" max="4361" width="14.42578125" style="65" bestFit="1" customWidth="1"/>
    <col min="4362" max="4362" width="10.7109375" style="65" bestFit="1" customWidth="1"/>
    <col min="4363" max="4363" width="10.5703125" style="65" bestFit="1" customWidth="1"/>
    <col min="4364" max="4364" width="9.42578125" style="65" bestFit="1" customWidth="1"/>
    <col min="4365" max="4365" width="15.42578125" style="65" bestFit="1" customWidth="1"/>
    <col min="4366" max="4607" width="11.42578125" style="65"/>
    <col min="4608" max="4608" width="10.7109375" style="65" customWidth="1"/>
    <col min="4609" max="4609" width="8.7109375" style="65" customWidth="1"/>
    <col min="4610" max="4610" width="21.42578125" style="65" bestFit="1" customWidth="1"/>
    <col min="4611" max="4611" width="13.85546875" style="65" bestFit="1" customWidth="1"/>
    <col min="4612" max="4612" width="17.42578125" style="65" bestFit="1" customWidth="1"/>
    <col min="4613" max="4613" width="2.140625" style="65" customWidth="1"/>
    <col min="4614" max="4614" width="9.140625" style="65" customWidth="1"/>
    <col min="4615" max="4615" width="21.140625" style="65" customWidth="1"/>
    <col min="4616" max="4616" width="13.85546875" style="65" bestFit="1" customWidth="1"/>
    <col min="4617" max="4617" width="14.42578125" style="65" bestFit="1" customWidth="1"/>
    <col min="4618" max="4618" width="10.7109375" style="65" bestFit="1" customWidth="1"/>
    <col min="4619" max="4619" width="10.5703125" style="65" bestFit="1" customWidth="1"/>
    <col min="4620" max="4620" width="9.42578125" style="65" bestFit="1" customWidth="1"/>
    <col min="4621" max="4621" width="15.42578125" style="65" bestFit="1" customWidth="1"/>
    <col min="4622" max="4863" width="11.42578125" style="65"/>
    <col min="4864" max="4864" width="10.7109375" style="65" customWidth="1"/>
    <col min="4865" max="4865" width="8.7109375" style="65" customWidth="1"/>
    <col min="4866" max="4866" width="21.42578125" style="65" bestFit="1" customWidth="1"/>
    <col min="4867" max="4867" width="13.85546875" style="65" bestFit="1" customWidth="1"/>
    <col min="4868" max="4868" width="17.42578125" style="65" bestFit="1" customWidth="1"/>
    <col min="4869" max="4869" width="2.140625" style="65" customWidth="1"/>
    <col min="4870" max="4870" width="9.140625" style="65" customWidth="1"/>
    <col min="4871" max="4871" width="21.140625" style="65" customWidth="1"/>
    <col min="4872" max="4872" width="13.85546875" style="65" bestFit="1" customWidth="1"/>
    <col min="4873" max="4873" width="14.42578125" style="65" bestFit="1" customWidth="1"/>
    <col min="4874" max="4874" width="10.7109375" style="65" bestFit="1" customWidth="1"/>
    <col min="4875" max="4875" width="10.5703125" style="65" bestFit="1" customWidth="1"/>
    <col min="4876" max="4876" width="9.42578125" style="65" bestFit="1" customWidth="1"/>
    <col min="4877" max="4877" width="15.42578125" style="65" bestFit="1" customWidth="1"/>
    <col min="4878" max="5119" width="11.42578125" style="65"/>
    <col min="5120" max="5120" width="10.7109375" style="65" customWidth="1"/>
    <col min="5121" max="5121" width="8.7109375" style="65" customWidth="1"/>
    <col min="5122" max="5122" width="21.42578125" style="65" bestFit="1" customWidth="1"/>
    <col min="5123" max="5123" width="13.85546875" style="65" bestFit="1" customWidth="1"/>
    <col min="5124" max="5124" width="17.42578125" style="65" bestFit="1" customWidth="1"/>
    <col min="5125" max="5125" width="2.140625" style="65" customWidth="1"/>
    <col min="5126" max="5126" width="9.140625" style="65" customWidth="1"/>
    <col min="5127" max="5127" width="21.140625" style="65" customWidth="1"/>
    <col min="5128" max="5128" width="13.85546875" style="65" bestFit="1" customWidth="1"/>
    <col min="5129" max="5129" width="14.42578125" style="65" bestFit="1" customWidth="1"/>
    <col min="5130" max="5130" width="10.7109375" style="65" bestFit="1" customWidth="1"/>
    <col min="5131" max="5131" width="10.5703125" style="65" bestFit="1" customWidth="1"/>
    <col min="5132" max="5132" width="9.42578125" style="65" bestFit="1" customWidth="1"/>
    <col min="5133" max="5133" width="15.42578125" style="65" bestFit="1" customWidth="1"/>
    <col min="5134" max="5375" width="11.42578125" style="65"/>
    <col min="5376" max="5376" width="10.7109375" style="65" customWidth="1"/>
    <col min="5377" max="5377" width="8.7109375" style="65" customWidth="1"/>
    <col min="5378" max="5378" width="21.42578125" style="65" bestFit="1" customWidth="1"/>
    <col min="5379" max="5379" width="13.85546875" style="65" bestFit="1" customWidth="1"/>
    <col min="5380" max="5380" width="17.42578125" style="65" bestFit="1" customWidth="1"/>
    <col min="5381" max="5381" width="2.140625" style="65" customWidth="1"/>
    <col min="5382" max="5382" width="9.140625" style="65" customWidth="1"/>
    <col min="5383" max="5383" width="21.140625" style="65" customWidth="1"/>
    <col min="5384" max="5384" width="13.85546875" style="65" bestFit="1" customWidth="1"/>
    <col min="5385" max="5385" width="14.42578125" style="65" bestFit="1" customWidth="1"/>
    <col min="5386" max="5386" width="10.7109375" style="65" bestFit="1" customWidth="1"/>
    <col min="5387" max="5387" width="10.5703125" style="65" bestFit="1" customWidth="1"/>
    <col min="5388" max="5388" width="9.42578125" style="65" bestFit="1" customWidth="1"/>
    <col min="5389" max="5389" width="15.42578125" style="65" bestFit="1" customWidth="1"/>
    <col min="5390" max="5631" width="11.42578125" style="65"/>
    <col min="5632" max="5632" width="10.7109375" style="65" customWidth="1"/>
    <col min="5633" max="5633" width="8.7109375" style="65" customWidth="1"/>
    <col min="5634" max="5634" width="21.42578125" style="65" bestFit="1" customWidth="1"/>
    <col min="5635" max="5635" width="13.85546875" style="65" bestFit="1" customWidth="1"/>
    <col min="5636" max="5636" width="17.42578125" style="65" bestFit="1" customWidth="1"/>
    <col min="5637" max="5637" width="2.140625" style="65" customWidth="1"/>
    <col min="5638" max="5638" width="9.140625" style="65" customWidth="1"/>
    <col min="5639" max="5639" width="21.140625" style="65" customWidth="1"/>
    <col min="5640" max="5640" width="13.85546875" style="65" bestFit="1" customWidth="1"/>
    <col min="5641" max="5641" width="14.42578125" style="65" bestFit="1" customWidth="1"/>
    <col min="5642" max="5642" width="10.7109375" style="65" bestFit="1" customWidth="1"/>
    <col min="5643" max="5643" width="10.5703125" style="65" bestFit="1" customWidth="1"/>
    <col min="5644" max="5644" width="9.42578125" style="65" bestFit="1" customWidth="1"/>
    <col min="5645" max="5645" width="15.42578125" style="65" bestFit="1" customWidth="1"/>
    <col min="5646" max="5887" width="11.42578125" style="65"/>
    <col min="5888" max="5888" width="10.7109375" style="65" customWidth="1"/>
    <col min="5889" max="5889" width="8.7109375" style="65" customWidth="1"/>
    <col min="5890" max="5890" width="21.42578125" style="65" bestFit="1" customWidth="1"/>
    <col min="5891" max="5891" width="13.85546875" style="65" bestFit="1" customWidth="1"/>
    <col min="5892" max="5892" width="17.42578125" style="65" bestFit="1" customWidth="1"/>
    <col min="5893" max="5893" width="2.140625" style="65" customWidth="1"/>
    <col min="5894" max="5894" width="9.140625" style="65" customWidth="1"/>
    <col min="5895" max="5895" width="21.140625" style="65" customWidth="1"/>
    <col min="5896" max="5896" width="13.85546875" style="65" bestFit="1" customWidth="1"/>
    <col min="5897" max="5897" width="14.42578125" style="65" bestFit="1" customWidth="1"/>
    <col min="5898" max="5898" width="10.7109375" style="65" bestFit="1" customWidth="1"/>
    <col min="5899" max="5899" width="10.5703125" style="65" bestFit="1" customWidth="1"/>
    <col min="5900" max="5900" width="9.42578125" style="65" bestFit="1" customWidth="1"/>
    <col min="5901" max="5901" width="15.42578125" style="65" bestFit="1" customWidth="1"/>
    <col min="5902" max="6143" width="11.42578125" style="65"/>
    <col min="6144" max="6144" width="10.7109375" style="65" customWidth="1"/>
    <col min="6145" max="6145" width="8.7109375" style="65" customWidth="1"/>
    <col min="6146" max="6146" width="21.42578125" style="65" bestFit="1" customWidth="1"/>
    <col min="6147" max="6147" width="13.85546875" style="65" bestFit="1" customWidth="1"/>
    <col min="6148" max="6148" width="17.42578125" style="65" bestFit="1" customWidth="1"/>
    <col min="6149" max="6149" width="2.140625" style="65" customWidth="1"/>
    <col min="6150" max="6150" width="9.140625" style="65" customWidth="1"/>
    <col min="6151" max="6151" width="21.140625" style="65" customWidth="1"/>
    <col min="6152" max="6152" width="13.85546875" style="65" bestFit="1" customWidth="1"/>
    <col min="6153" max="6153" width="14.42578125" style="65" bestFit="1" customWidth="1"/>
    <col min="6154" max="6154" width="10.7109375" style="65" bestFit="1" customWidth="1"/>
    <col min="6155" max="6155" width="10.5703125" style="65" bestFit="1" customWidth="1"/>
    <col min="6156" max="6156" width="9.42578125" style="65" bestFit="1" customWidth="1"/>
    <col min="6157" max="6157" width="15.42578125" style="65" bestFit="1" customWidth="1"/>
    <col min="6158" max="6399" width="11.42578125" style="65"/>
    <col min="6400" max="6400" width="10.7109375" style="65" customWidth="1"/>
    <col min="6401" max="6401" width="8.7109375" style="65" customWidth="1"/>
    <col min="6402" max="6402" width="21.42578125" style="65" bestFit="1" customWidth="1"/>
    <col min="6403" max="6403" width="13.85546875" style="65" bestFit="1" customWidth="1"/>
    <col min="6404" max="6404" width="17.42578125" style="65" bestFit="1" customWidth="1"/>
    <col min="6405" max="6405" width="2.140625" style="65" customWidth="1"/>
    <col min="6406" max="6406" width="9.140625" style="65" customWidth="1"/>
    <col min="6407" max="6407" width="21.140625" style="65" customWidth="1"/>
    <col min="6408" max="6408" width="13.85546875" style="65" bestFit="1" customWidth="1"/>
    <col min="6409" max="6409" width="14.42578125" style="65" bestFit="1" customWidth="1"/>
    <col min="6410" max="6410" width="10.7109375" style="65" bestFit="1" customWidth="1"/>
    <col min="6411" max="6411" width="10.5703125" style="65" bestFit="1" customWidth="1"/>
    <col min="6412" max="6412" width="9.42578125" style="65" bestFit="1" customWidth="1"/>
    <col min="6413" max="6413" width="15.42578125" style="65" bestFit="1" customWidth="1"/>
    <col min="6414" max="6655" width="11.42578125" style="65"/>
    <col min="6656" max="6656" width="10.7109375" style="65" customWidth="1"/>
    <col min="6657" max="6657" width="8.7109375" style="65" customWidth="1"/>
    <col min="6658" max="6658" width="21.42578125" style="65" bestFit="1" customWidth="1"/>
    <col min="6659" max="6659" width="13.85546875" style="65" bestFit="1" customWidth="1"/>
    <col min="6660" max="6660" width="17.42578125" style="65" bestFit="1" customWidth="1"/>
    <col min="6661" max="6661" width="2.140625" style="65" customWidth="1"/>
    <col min="6662" max="6662" width="9.140625" style="65" customWidth="1"/>
    <col min="6663" max="6663" width="21.140625" style="65" customWidth="1"/>
    <col min="6664" max="6664" width="13.85546875" style="65" bestFit="1" customWidth="1"/>
    <col min="6665" max="6665" width="14.42578125" style="65" bestFit="1" customWidth="1"/>
    <col min="6666" max="6666" width="10.7109375" style="65" bestFit="1" customWidth="1"/>
    <col min="6667" max="6667" width="10.5703125" style="65" bestFit="1" customWidth="1"/>
    <col min="6668" max="6668" width="9.42578125" style="65" bestFit="1" customWidth="1"/>
    <col min="6669" max="6669" width="15.42578125" style="65" bestFit="1" customWidth="1"/>
    <col min="6670" max="6911" width="11.42578125" style="65"/>
    <col min="6912" max="6912" width="10.7109375" style="65" customWidth="1"/>
    <col min="6913" max="6913" width="8.7109375" style="65" customWidth="1"/>
    <col min="6914" max="6914" width="21.42578125" style="65" bestFit="1" customWidth="1"/>
    <col min="6915" max="6915" width="13.85546875" style="65" bestFit="1" customWidth="1"/>
    <col min="6916" max="6916" width="17.42578125" style="65" bestFit="1" customWidth="1"/>
    <col min="6917" max="6917" width="2.140625" style="65" customWidth="1"/>
    <col min="6918" max="6918" width="9.140625" style="65" customWidth="1"/>
    <col min="6919" max="6919" width="21.140625" style="65" customWidth="1"/>
    <col min="6920" max="6920" width="13.85546875" style="65" bestFit="1" customWidth="1"/>
    <col min="6921" max="6921" width="14.42578125" style="65" bestFit="1" customWidth="1"/>
    <col min="6922" max="6922" width="10.7109375" style="65" bestFit="1" customWidth="1"/>
    <col min="6923" max="6923" width="10.5703125" style="65" bestFit="1" customWidth="1"/>
    <col min="6924" max="6924" width="9.42578125" style="65" bestFit="1" customWidth="1"/>
    <col min="6925" max="6925" width="15.42578125" style="65" bestFit="1" customWidth="1"/>
    <col min="6926" max="7167" width="11.42578125" style="65"/>
    <col min="7168" max="7168" width="10.7109375" style="65" customWidth="1"/>
    <col min="7169" max="7169" width="8.7109375" style="65" customWidth="1"/>
    <col min="7170" max="7170" width="21.42578125" style="65" bestFit="1" customWidth="1"/>
    <col min="7171" max="7171" width="13.85546875" style="65" bestFit="1" customWidth="1"/>
    <col min="7172" max="7172" width="17.42578125" style="65" bestFit="1" customWidth="1"/>
    <col min="7173" max="7173" width="2.140625" style="65" customWidth="1"/>
    <col min="7174" max="7174" width="9.140625" style="65" customWidth="1"/>
    <col min="7175" max="7175" width="21.140625" style="65" customWidth="1"/>
    <col min="7176" max="7176" width="13.85546875" style="65" bestFit="1" customWidth="1"/>
    <col min="7177" max="7177" width="14.42578125" style="65" bestFit="1" customWidth="1"/>
    <col min="7178" max="7178" width="10.7109375" style="65" bestFit="1" customWidth="1"/>
    <col min="7179" max="7179" width="10.5703125" style="65" bestFit="1" customWidth="1"/>
    <col min="7180" max="7180" width="9.42578125" style="65" bestFit="1" customWidth="1"/>
    <col min="7181" max="7181" width="15.42578125" style="65" bestFit="1" customWidth="1"/>
    <col min="7182" max="7423" width="11.42578125" style="65"/>
    <col min="7424" max="7424" width="10.7109375" style="65" customWidth="1"/>
    <col min="7425" max="7425" width="8.7109375" style="65" customWidth="1"/>
    <col min="7426" max="7426" width="21.42578125" style="65" bestFit="1" customWidth="1"/>
    <col min="7427" max="7427" width="13.85546875" style="65" bestFit="1" customWidth="1"/>
    <col min="7428" max="7428" width="17.42578125" style="65" bestFit="1" customWidth="1"/>
    <col min="7429" max="7429" width="2.140625" style="65" customWidth="1"/>
    <col min="7430" max="7430" width="9.140625" style="65" customWidth="1"/>
    <col min="7431" max="7431" width="21.140625" style="65" customWidth="1"/>
    <col min="7432" max="7432" width="13.85546875" style="65" bestFit="1" customWidth="1"/>
    <col min="7433" max="7433" width="14.42578125" style="65" bestFit="1" customWidth="1"/>
    <col min="7434" max="7434" width="10.7109375" style="65" bestFit="1" customWidth="1"/>
    <col min="7435" max="7435" width="10.5703125" style="65" bestFit="1" customWidth="1"/>
    <col min="7436" max="7436" width="9.42578125" style="65" bestFit="1" customWidth="1"/>
    <col min="7437" max="7437" width="15.42578125" style="65" bestFit="1" customWidth="1"/>
    <col min="7438" max="7679" width="11.42578125" style="65"/>
    <col min="7680" max="7680" width="10.7109375" style="65" customWidth="1"/>
    <col min="7681" max="7681" width="8.7109375" style="65" customWidth="1"/>
    <col min="7682" max="7682" width="21.42578125" style="65" bestFit="1" customWidth="1"/>
    <col min="7683" max="7683" width="13.85546875" style="65" bestFit="1" customWidth="1"/>
    <col min="7684" max="7684" width="17.42578125" style="65" bestFit="1" customWidth="1"/>
    <col min="7685" max="7685" width="2.140625" style="65" customWidth="1"/>
    <col min="7686" max="7686" width="9.140625" style="65" customWidth="1"/>
    <col min="7687" max="7687" width="21.140625" style="65" customWidth="1"/>
    <col min="7688" max="7688" width="13.85546875" style="65" bestFit="1" customWidth="1"/>
    <col min="7689" max="7689" width="14.42578125" style="65" bestFit="1" customWidth="1"/>
    <col min="7690" max="7690" width="10.7109375" style="65" bestFit="1" customWidth="1"/>
    <col min="7691" max="7691" width="10.5703125" style="65" bestFit="1" customWidth="1"/>
    <col min="7692" max="7692" width="9.42578125" style="65" bestFit="1" customWidth="1"/>
    <col min="7693" max="7693" width="15.42578125" style="65" bestFit="1" customWidth="1"/>
    <col min="7694" max="7935" width="11.42578125" style="65"/>
    <col min="7936" max="7936" width="10.7109375" style="65" customWidth="1"/>
    <col min="7937" max="7937" width="8.7109375" style="65" customWidth="1"/>
    <col min="7938" max="7938" width="21.42578125" style="65" bestFit="1" customWidth="1"/>
    <col min="7939" max="7939" width="13.85546875" style="65" bestFit="1" customWidth="1"/>
    <col min="7940" max="7940" width="17.42578125" style="65" bestFit="1" customWidth="1"/>
    <col min="7941" max="7941" width="2.140625" style="65" customWidth="1"/>
    <col min="7942" max="7942" width="9.140625" style="65" customWidth="1"/>
    <col min="7943" max="7943" width="21.140625" style="65" customWidth="1"/>
    <col min="7944" max="7944" width="13.85546875" style="65" bestFit="1" customWidth="1"/>
    <col min="7945" max="7945" width="14.42578125" style="65" bestFit="1" customWidth="1"/>
    <col min="7946" max="7946" width="10.7109375" style="65" bestFit="1" customWidth="1"/>
    <col min="7947" max="7947" width="10.5703125" style="65" bestFit="1" customWidth="1"/>
    <col min="7948" max="7948" width="9.42578125" style="65" bestFit="1" customWidth="1"/>
    <col min="7949" max="7949" width="15.42578125" style="65" bestFit="1" customWidth="1"/>
    <col min="7950" max="8191" width="11.42578125" style="65"/>
    <col min="8192" max="8192" width="10.7109375" style="65" customWidth="1"/>
    <col min="8193" max="8193" width="8.7109375" style="65" customWidth="1"/>
    <col min="8194" max="8194" width="21.42578125" style="65" bestFit="1" customWidth="1"/>
    <col min="8195" max="8195" width="13.85546875" style="65" bestFit="1" customWidth="1"/>
    <col min="8196" max="8196" width="17.42578125" style="65" bestFit="1" customWidth="1"/>
    <col min="8197" max="8197" width="2.140625" style="65" customWidth="1"/>
    <col min="8198" max="8198" width="9.140625" style="65" customWidth="1"/>
    <col min="8199" max="8199" width="21.140625" style="65" customWidth="1"/>
    <col min="8200" max="8200" width="13.85546875" style="65" bestFit="1" customWidth="1"/>
    <col min="8201" max="8201" width="14.42578125" style="65" bestFit="1" customWidth="1"/>
    <col min="8202" max="8202" width="10.7109375" style="65" bestFit="1" customWidth="1"/>
    <col min="8203" max="8203" width="10.5703125" style="65" bestFit="1" customWidth="1"/>
    <col min="8204" max="8204" width="9.42578125" style="65" bestFit="1" customWidth="1"/>
    <col min="8205" max="8205" width="15.42578125" style="65" bestFit="1" customWidth="1"/>
    <col min="8206" max="8447" width="11.42578125" style="65"/>
    <col min="8448" max="8448" width="10.7109375" style="65" customWidth="1"/>
    <col min="8449" max="8449" width="8.7109375" style="65" customWidth="1"/>
    <col min="8450" max="8450" width="21.42578125" style="65" bestFit="1" customWidth="1"/>
    <col min="8451" max="8451" width="13.85546875" style="65" bestFit="1" customWidth="1"/>
    <col min="8452" max="8452" width="17.42578125" style="65" bestFit="1" customWidth="1"/>
    <col min="8453" max="8453" width="2.140625" style="65" customWidth="1"/>
    <col min="8454" max="8454" width="9.140625" style="65" customWidth="1"/>
    <col min="8455" max="8455" width="21.140625" style="65" customWidth="1"/>
    <col min="8456" max="8456" width="13.85546875" style="65" bestFit="1" customWidth="1"/>
    <col min="8457" max="8457" width="14.42578125" style="65" bestFit="1" customWidth="1"/>
    <col min="8458" max="8458" width="10.7109375" style="65" bestFit="1" customWidth="1"/>
    <col min="8459" max="8459" width="10.5703125" style="65" bestFit="1" customWidth="1"/>
    <col min="8460" max="8460" width="9.42578125" style="65" bestFit="1" customWidth="1"/>
    <col min="8461" max="8461" width="15.42578125" style="65" bestFit="1" customWidth="1"/>
    <col min="8462" max="8703" width="11.42578125" style="65"/>
    <col min="8704" max="8704" width="10.7109375" style="65" customWidth="1"/>
    <col min="8705" max="8705" width="8.7109375" style="65" customWidth="1"/>
    <col min="8706" max="8706" width="21.42578125" style="65" bestFit="1" customWidth="1"/>
    <col min="8707" max="8707" width="13.85546875" style="65" bestFit="1" customWidth="1"/>
    <col min="8708" max="8708" width="17.42578125" style="65" bestFit="1" customWidth="1"/>
    <col min="8709" max="8709" width="2.140625" style="65" customWidth="1"/>
    <col min="8710" max="8710" width="9.140625" style="65" customWidth="1"/>
    <col min="8711" max="8711" width="21.140625" style="65" customWidth="1"/>
    <col min="8712" max="8712" width="13.85546875" style="65" bestFit="1" customWidth="1"/>
    <col min="8713" max="8713" width="14.42578125" style="65" bestFit="1" customWidth="1"/>
    <col min="8714" max="8714" width="10.7109375" style="65" bestFit="1" customWidth="1"/>
    <col min="8715" max="8715" width="10.5703125" style="65" bestFit="1" customWidth="1"/>
    <col min="8716" max="8716" width="9.42578125" style="65" bestFit="1" customWidth="1"/>
    <col min="8717" max="8717" width="15.42578125" style="65" bestFit="1" customWidth="1"/>
    <col min="8718" max="8959" width="11.42578125" style="65"/>
    <col min="8960" max="8960" width="10.7109375" style="65" customWidth="1"/>
    <col min="8961" max="8961" width="8.7109375" style="65" customWidth="1"/>
    <col min="8962" max="8962" width="21.42578125" style="65" bestFit="1" customWidth="1"/>
    <col min="8963" max="8963" width="13.85546875" style="65" bestFit="1" customWidth="1"/>
    <col min="8964" max="8964" width="17.42578125" style="65" bestFit="1" customWidth="1"/>
    <col min="8965" max="8965" width="2.140625" style="65" customWidth="1"/>
    <col min="8966" max="8966" width="9.140625" style="65" customWidth="1"/>
    <col min="8967" max="8967" width="21.140625" style="65" customWidth="1"/>
    <col min="8968" max="8968" width="13.85546875" style="65" bestFit="1" customWidth="1"/>
    <col min="8969" max="8969" width="14.42578125" style="65" bestFit="1" customWidth="1"/>
    <col min="8970" max="8970" width="10.7109375" style="65" bestFit="1" customWidth="1"/>
    <col min="8971" max="8971" width="10.5703125" style="65" bestFit="1" customWidth="1"/>
    <col min="8972" max="8972" width="9.42578125" style="65" bestFit="1" customWidth="1"/>
    <col min="8973" max="8973" width="15.42578125" style="65" bestFit="1" customWidth="1"/>
    <col min="8974" max="9215" width="11.42578125" style="65"/>
    <col min="9216" max="9216" width="10.7109375" style="65" customWidth="1"/>
    <col min="9217" max="9217" width="8.7109375" style="65" customWidth="1"/>
    <col min="9218" max="9218" width="21.42578125" style="65" bestFit="1" customWidth="1"/>
    <col min="9219" max="9219" width="13.85546875" style="65" bestFit="1" customWidth="1"/>
    <col min="9220" max="9220" width="17.42578125" style="65" bestFit="1" customWidth="1"/>
    <col min="9221" max="9221" width="2.140625" style="65" customWidth="1"/>
    <col min="9222" max="9222" width="9.140625" style="65" customWidth="1"/>
    <col min="9223" max="9223" width="21.140625" style="65" customWidth="1"/>
    <col min="9224" max="9224" width="13.85546875" style="65" bestFit="1" customWidth="1"/>
    <col min="9225" max="9225" width="14.42578125" style="65" bestFit="1" customWidth="1"/>
    <col min="9226" max="9226" width="10.7109375" style="65" bestFit="1" customWidth="1"/>
    <col min="9227" max="9227" width="10.5703125" style="65" bestFit="1" customWidth="1"/>
    <col min="9228" max="9228" width="9.42578125" style="65" bestFit="1" customWidth="1"/>
    <col min="9229" max="9229" width="15.42578125" style="65" bestFit="1" customWidth="1"/>
    <col min="9230" max="9471" width="11.42578125" style="65"/>
    <col min="9472" max="9472" width="10.7109375" style="65" customWidth="1"/>
    <col min="9473" max="9473" width="8.7109375" style="65" customWidth="1"/>
    <col min="9474" max="9474" width="21.42578125" style="65" bestFit="1" customWidth="1"/>
    <col min="9475" max="9475" width="13.85546875" style="65" bestFit="1" customWidth="1"/>
    <col min="9476" max="9476" width="17.42578125" style="65" bestFit="1" customWidth="1"/>
    <col min="9477" max="9477" width="2.140625" style="65" customWidth="1"/>
    <col min="9478" max="9478" width="9.140625" style="65" customWidth="1"/>
    <col min="9479" max="9479" width="21.140625" style="65" customWidth="1"/>
    <col min="9480" max="9480" width="13.85546875" style="65" bestFit="1" customWidth="1"/>
    <col min="9481" max="9481" width="14.42578125" style="65" bestFit="1" customWidth="1"/>
    <col min="9482" max="9482" width="10.7109375" style="65" bestFit="1" customWidth="1"/>
    <col min="9483" max="9483" width="10.5703125" style="65" bestFit="1" customWidth="1"/>
    <col min="9484" max="9484" width="9.42578125" style="65" bestFit="1" customWidth="1"/>
    <col min="9485" max="9485" width="15.42578125" style="65" bestFit="1" customWidth="1"/>
    <col min="9486" max="9727" width="11.42578125" style="65"/>
    <col min="9728" max="9728" width="10.7109375" style="65" customWidth="1"/>
    <col min="9729" max="9729" width="8.7109375" style="65" customWidth="1"/>
    <col min="9730" max="9730" width="21.42578125" style="65" bestFit="1" customWidth="1"/>
    <col min="9731" max="9731" width="13.85546875" style="65" bestFit="1" customWidth="1"/>
    <col min="9732" max="9732" width="17.42578125" style="65" bestFit="1" customWidth="1"/>
    <col min="9733" max="9733" width="2.140625" style="65" customWidth="1"/>
    <col min="9734" max="9734" width="9.140625" style="65" customWidth="1"/>
    <col min="9735" max="9735" width="21.140625" style="65" customWidth="1"/>
    <col min="9736" max="9736" width="13.85546875" style="65" bestFit="1" customWidth="1"/>
    <col min="9737" max="9737" width="14.42578125" style="65" bestFit="1" customWidth="1"/>
    <col min="9738" max="9738" width="10.7109375" style="65" bestFit="1" customWidth="1"/>
    <col min="9739" max="9739" width="10.5703125" style="65" bestFit="1" customWidth="1"/>
    <col min="9740" max="9740" width="9.42578125" style="65" bestFit="1" customWidth="1"/>
    <col min="9741" max="9741" width="15.42578125" style="65" bestFit="1" customWidth="1"/>
    <col min="9742" max="9983" width="11.42578125" style="65"/>
    <col min="9984" max="9984" width="10.7109375" style="65" customWidth="1"/>
    <col min="9985" max="9985" width="8.7109375" style="65" customWidth="1"/>
    <col min="9986" max="9986" width="21.42578125" style="65" bestFit="1" customWidth="1"/>
    <col min="9987" max="9987" width="13.85546875" style="65" bestFit="1" customWidth="1"/>
    <col min="9988" max="9988" width="17.42578125" style="65" bestFit="1" customWidth="1"/>
    <col min="9989" max="9989" width="2.140625" style="65" customWidth="1"/>
    <col min="9990" max="9990" width="9.140625" style="65" customWidth="1"/>
    <col min="9991" max="9991" width="21.140625" style="65" customWidth="1"/>
    <col min="9992" max="9992" width="13.85546875" style="65" bestFit="1" customWidth="1"/>
    <col min="9993" max="9993" width="14.42578125" style="65" bestFit="1" customWidth="1"/>
    <col min="9994" max="9994" width="10.7109375" style="65" bestFit="1" customWidth="1"/>
    <col min="9995" max="9995" width="10.5703125" style="65" bestFit="1" customWidth="1"/>
    <col min="9996" max="9996" width="9.42578125" style="65" bestFit="1" customWidth="1"/>
    <col min="9997" max="9997" width="15.42578125" style="65" bestFit="1" customWidth="1"/>
    <col min="9998" max="10239" width="11.42578125" style="65"/>
    <col min="10240" max="10240" width="10.7109375" style="65" customWidth="1"/>
    <col min="10241" max="10241" width="8.7109375" style="65" customWidth="1"/>
    <col min="10242" max="10242" width="21.42578125" style="65" bestFit="1" customWidth="1"/>
    <col min="10243" max="10243" width="13.85546875" style="65" bestFit="1" customWidth="1"/>
    <col min="10244" max="10244" width="17.42578125" style="65" bestFit="1" customWidth="1"/>
    <col min="10245" max="10245" width="2.140625" style="65" customWidth="1"/>
    <col min="10246" max="10246" width="9.140625" style="65" customWidth="1"/>
    <col min="10247" max="10247" width="21.140625" style="65" customWidth="1"/>
    <col min="10248" max="10248" width="13.85546875" style="65" bestFit="1" customWidth="1"/>
    <col min="10249" max="10249" width="14.42578125" style="65" bestFit="1" customWidth="1"/>
    <col min="10250" max="10250" width="10.7109375" style="65" bestFit="1" customWidth="1"/>
    <col min="10251" max="10251" width="10.5703125" style="65" bestFit="1" customWidth="1"/>
    <col min="10252" max="10252" width="9.42578125" style="65" bestFit="1" customWidth="1"/>
    <col min="10253" max="10253" width="15.42578125" style="65" bestFit="1" customWidth="1"/>
    <col min="10254" max="10495" width="11.42578125" style="65"/>
    <col min="10496" max="10496" width="10.7109375" style="65" customWidth="1"/>
    <col min="10497" max="10497" width="8.7109375" style="65" customWidth="1"/>
    <col min="10498" max="10498" width="21.42578125" style="65" bestFit="1" customWidth="1"/>
    <col min="10499" max="10499" width="13.85546875" style="65" bestFit="1" customWidth="1"/>
    <col min="10500" max="10500" width="17.42578125" style="65" bestFit="1" customWidth="1"/>
    <col min="10501" max="10501" width="2.140625" style="65" customWidth="1"/>
    <col min="10502" max="10502" width="9.140625" style="65" customWidth="1"/>
    <col min="10503" max="10503" width="21.140625" style="65" customWidth="1"/>
    <col min="10504" max="10504" width="13.85546875" style="65" bestFit="1" customWidth="1"/>
    <col min="10505" max="10505" width="14.42578125" style="65" bestFit="1" customWidth="1"/>
    <col min="10506" max="10506" width="10.7109375" style="65" bestFit="1" customWidth="1"/>
    <col min="10507" max="10507" width="10.5703125" style="65" bestFit="1" customWidth="1"/>
    <col min="10508" max="10508" width="9.42578125" style="65" bestFit="1" customWidth="1"/>
    <col min="10509" max="10509" width="15.42578125" style="65" bestFit="1" customWidth="1"/>
    <col min="10510" max="10751" width="11.42578125" style="65"/>
    <col min="10752" max="10752" width="10.7109375" style="65" customWidth="1"/>
    <col min="10753" max="10753" width="8.7109375" style="65" customWidth="1"/>
    <col min="10754" max="10754" width="21.42578125" style="65" bestFit="1" customWidth="1"/>
    <col min="10755" max="10755" width="13.85546875" style="65" bestFit="1" customWidth="1"/>
    <col min="10756" max="10756" width="17.42578125" style="65" bestFit="1" customWidth="1"/>
    <col min="10757" max="10757" width="2.140625" style="65" customWidth="1"/>
    <col min="10758" max="10758" width="9.140625" style="65" customWidth="1"/>
    <col min="10759" max="10759" width="21.140625" style="65" customWidth="1"/>
    <col min="10760" max="10760" width="13.85546875" style="65" bestFit="1" customWidth="1"/>
    <col min="10761" max="10761" width="14.42578125" style="65" bestFit="1" customWidth="1"/>
    <col min="10762" max="10762" width="10.7109375" style="65" bestFit="1" customWidth="1"/>
    <col min="10763" max="10763" width="10.5703125" style="65" bestFit="1" customWidth="1"/>
    <col min="10764" max="10764" width="9.42578125" style="65" bestFit="1" customWidth="1"/>
    <col min="10765" max="10765" width="15.42578125" style="65" bestFit="1" customWidth="1"/>
    <col min="10766" max="11007" width="11.42578125" style="65"/>
    <col min="11008" max="11008" width="10.7109375" style="65" customWidth="1"/>
    <col min="11009" max="11009" width="8.7109375" style="65" customWidth="1"/>
    <col min="11010" max="11010" width="21.42578125" style="65" bestFit="1" customWidth="1"/>
    <col min="11011" max="11011" width="13.85546875" style="65" bestFit="1" customWidth="1"/>
    <col min="11012" max="11012" width="17.42578125" style="65" bestFit="1" customWidth="1"/>
    <col min="11013" max="11013" width="2.140625" style="65" customWidth="1"/>
    <col min="11014" max="11014" width="9.140625" style="65" customWidth="1"/>
    <col min="11015" max="11015" width="21.140625" style="65" customWidth="1"/>
    <col min="11016" max="11016" width="13.85546875" style="65" bestFit="1" customWidth="1"/>
    <col min="11017" max="11017" width="14.42578125" style="65" bestFit="1" customWidth="1"/>
    <col min="11018" max="11018" width="10.7109375" style="65" bestFit="1" customWidth="1"/>
    <col min="11019" max="11019" width="10.5703125" style="65" bestFit="1" customWidth="1"/>
    <col min="11020" max="11020" width="9.42578125" style="65" bestFit="1" customWidth="1"/>
    <col min="11021" max="11021" width="15.42578125" style="65" bestFit="1" customWidth="1"/>
    <col min="11022" max="11263" width="11.42578125" style="65"/>
    <col min="11264" max="11264" width="10.7109375" style="65" customWidth="1"/>
    <col min="11265" max="11265" width="8.7109375" style="65" customWidth="1"/>
    <col min="11266" max="11266" width="21.42578125" style="65" bestFit="1" customWidth="1"/>
    <col min="11267" max="11267" width="13.85546875" style="65" bestFit="1" customWidth="1"/>
    <col min="11268" max="11268" width="17.42578125" style="65" bestFit="1" customWidth="1"/>
    <col min="11269" max="11269" width="2.140625" style="65" customWidth="1"/>
    <col min="11270" max="11270" width="9.140625" style="65" customWidth="1"/>
    <col min="11271" max="11271" width="21.140625" style="65" customWidth="1"/>
    <col min="11272" max="11272" width="13.85546875" style="65" bestFit="1" customWidth="1"/>
    <col min="11273" max="11273" width="14.42578125" style="65" bestFit="1" customWidth="1"/>
    <col min="11274" max="11274" width="10.7109375" style="65" bestFit="1" customWidth="1"/>
    <col min="11275" max="11275" width="10.5703125" style="65" bestFit="1" customWidth="1"/>
    <col min="11276" max="11276" width="9.42578125" style="65" bestFit="1" customWidth="1"/>
    <col min="11277" max="11277" width="15.42578125" style="65" bestFit="1" customWidth="1"/>
    <col min="11278" max="11519" width="11.42578125" style="65"/>
    <col min="11520" max="11520" width="10.7109375" style="65" customWidth="1"/>
    <col min="11521" max="11521" width="8.7109375" style="65" customWidth="1"/>
    <col min="11522" max="11522" width="21.42578125" style="65" bestFit="1" customWidth="1"/>
    <col min="11523" max="11523" width="13.85546875" style="65" bestFit="1" customWidth="1"/>
    <col min="11524" max="11524" width="17.42578125" style="65" bestFit="1" customWidth="1"/>
    <col min="11525" max="11525" width="2.140625" style="65" customWidth="1"/>
    <col min="11526" max="11526" width="9.140625" style="65" customWidth="1"/>
    <col min="11527" max="11527" width="21.140625" style="65" customWidth="1"/>
    <col min="11528" max="11528" width="13.85546875" style="65" bestFit="1" customWidth="1"/>
    <col min="11529" max="11529" width="14.42578125" style="65" bestFit="1" customWidth="1"/>
    <col min="11530" max="11530" width="10.7109375" style="65" bestFit="1" customWidth="1"/>
    <col min="11531" max="11531" width="10.5703125" style="65" bestFit="1" customWidth="1"/>
    <col min="11532" max="11532" width="9.42578125" style="65" bestFit="1" customWidth="1"/>
    <col min="11533" max="11533" width="15.42578125" style="65" bestFit="1" customWidth="1"/>
    <col min="11534" max="11775" width="11.42578125" style="65"/>
    <col min="11776" max="11776" width="10.7109375" style="65" customWidth="1"/>
    <col min="11777" max="11777" width="8.7109375" style="65" customWidth="1"/>
    <col min="11778" max="11778" width="21.42578125" style="65" bestFit="1" customWidth="1"/>
    <col min="11779" max="11779" width="13.85546875" style="65" bestFit="1" customWidth="1"/>
    <col min="11780" max="11780" width="17.42578125" style="65" bestFit="1" customWidth="1"/>
    <col min="11781" max="11781" width="2.140625" style="65" customWidth="1"/>
    <col min="11782" max="11782" width="9.140625" style="65" customWidth="1"/>
    <col min="11783" max="11783" width="21.140625" style="65" customWidth="1"/>
    <col min="11784" max="11784" width="13.85546875" style="65" bestFit="1" customWidth="1"/>
    <col min="11785" max="11785" width="14.42578125" style="65" bestFit="1" customWidth="1"/>
    <col min="11786" max="11786" width="10.7109375" style="65" bestFit="1" customWidth="1"/>
    <col min="11787" max="11787" width="10.5703125" style="65" bestFit="1" customWidth="1"/>
    <col min="11788" max="11788" width="9.42578125" style="65" bestFit="1" customWidth="1"/>
    <col min="11789" max="11789" width="15.42578125" style="65" bestFit="1" customWidth="1"/>
    <col min="11790" max="12031" width="11.42578125" style="65"/>
    <col min="12032" max="12032" width="10.7109375" style="65" customWidth="1"/>
    <col min="12033" max="12033" width="8.7109375" style="65" customWidth="1"/>
    <col min="12034" max="12034" width="21.42578125" style="65" bestFit="1" customWidth="1"/>
    <col min="12035" max="12035" width="13.85546875" style="65" bestFit="1" customWidth="1"/>
    <col min="12036" max="12036" width="17.42578125" style="65" bestFit="1" customWidth="1"/>
    <col min="12037" max="12037" width="2.140625" style="65" customWidth="1"/>
    <col min="12038" max="12038" width="9.140625" style="65" customWidth="1"/>
    <col min="12039" max="12039" width="21.140625" style="65" customWidth="1"/>
    <col min="12040" max="12040" width="13.85546875" style="65" bestFit="1" customWidth="1"/>
    <col min="12041" max="12041" width="14.42578125" style="65" bestFit="1" customWidth="1"/>
    <col min="12042" max="12042" width="10.7109375" style="65" bestFit="1" customWidth="1"/>
    <col min="12043" max="12043" width="10.5703125" style="65" bestFit="1" customWidth="1"/>
    <col min="12044" max="12044" width="9.42578125" style="65" bestFit="1" customWidth="1"/>
    <col min="12045" max="12045" width="15.42578125" style="65" bestFit="1" customWidth="1"/>
    <col min="12046" max="12287" width="11.42578125" style="65"/>
    <col min="12288" max="12288" width="10.7109375" style="65" customWidth="1"/>
    <col min="12289" max="12289" width="8.7109375" style="65" customWidth="1"/>
    <col min="12290" max="12290" width="21.42578125" style="65" bestFit="1" customWidth="1"/>
    <col min="12291" max="12291" width="13.85546875" style="65" bestFit="1" customWidth="1"/>
    <col min="12292" max="12292" width="17.42578125" style="65" bestFit="1" customWidth="1"/>
    <col min="12293" max="12293" width="2.140625" style="65" customWidth="1"/>
    <col min="12294" max="12294" width="9.140625" style="65" customWidth="1"/>
    <col min="12295" max="12295" width="21.140625" style="65" customWidth="1"/>
    <col min="12296" max="12296" width="13.85546875" style="65" bestFit="1" customWidth="1"/>
    <col min="12297" max="12297" width="14.42578125" style="65" bestFit="1" customWidth="1"/>
    <col min="12298" max="12298" width="10.7109375" style="65" bestFit="1" customWidth="1"/>
    <col min="12299" max="12299" width="10.5703125" style="65" bestFit="1" customWidth="1"/>
    <col min="12300" max="12300" width="9.42578125" style="65" bestFit="1" customWidth="1"/>
    <col min="12301" max="12301" width="15.42578125" style="65" bestFit="1" customWidth="1"/>
    <col min="12302" max="12543" width="11.42578125" style="65"/>
    <col min="12544" max="12544" width="10.7109375" style="65" customWidth="1"/>
    <col min="12545" max="12545" width="8.7109375" style="65" customWidth="1"/>
    <col min="12546" max="12546" width="21.42578125" style="65" bestFit="1" customWidth="1"/>
    <col min="12547" max="12547" width="13.85546875" style="65" bestFit="1" customWidth="1"/>
    <col min="12548" max="12548" width="17.42578125" style="65" bestFit="1" customWidth="1"/>
    <col min="12549" max="12549" width="2.140625" style="65" customWidth="1"/>
    <col min="12550" max="12550" width="9.140625" style="65" customWidth="1"/>
    <col min="12551" max="12551" width="21.140625" style="65" customWidth="1"/>
    <col min="12552" max="12552" width="13.85546875" style="65" bestFit="1" customWidth="1"/>
    <col min="12553" max="12553" width="14.42578125" style="65" bestFit="1" customWidth="1"/>
    <col min="12554" max="12554" width="10.7109375" style="65" bestFit="1" customWidth="1"/>
    <col min="12555" max="12555" width="10.5703125" style="65" bestFit="1" customWidth="1"/>
    <col min="12556" max="12556" width="9.42578125" style="65" bestFit="1" customWidth="1"/>
    <col min="12557" max="12557" width="15.42578125" style="65" bestFit="1" customWidth="1"/>
    <col min="12558" max="12799" width="11.42578125" style="65"/>
    <col min="12800" max="12800" width="10.7109375" style="65" customWidth="1"/>
    <col min="12801" max="12801" width="8.7109375" style="65" customWidth="1"/>
    <col min="12802" max="12802" width="21.42578125" style="65" bestFit="1" customWidth="1"/>
    <col min="12803" max="12803" width="13.85546875" style="65" bestFit="1" customWidth="1"/>
    <col min="12804" max="12804" width="17.42578125" style="65" bestFit="1" customWidth="1"/>
    <col min="12805" max="12805" width="2.140625" style="65" customWidth="1"/>
    <col min="12806" max="12806" width="9.140625" style="65" customWidth="1"/>
    <col min="12807" max="12807" width="21.140625" style="65" customWidth="1"/>
    <col min="12808" max="12808" width="13.85546875" style="65" bestFit="1" customWidth="1"/>
    <col min="12809" max="12809" width="14.42578125" style="65" bestFit="1" customWidth="1"/>
    <col min="12810" max="12810" width="10.7109375" style="65" bestFit="1" customWidth="1"/>
    <col min="12811" max="12811" width="10.5703125" style="65" bestFit="1" customWidth="1"/>
    <col min="12812" max="12812" width="9.42578125" style="65" bestFit="1" customWidth="1"/>
    <col min="12813" max="12813" width="15.42578125" style="65" bestFit="1" customWidth="1"/>
    <col min="12814" max="13055" width="11.42578125" style="65"/>
    <col min="13056" max="13056" width="10.7109375" style="65" customWidth="1"/>
    <col min="13057" max="13057" width="8.7109375" style="65" customWidth="1"/>
    <col min="13058" max="13058" width="21.42578125" style="65" bestFit="1" customWidth="1"/>
    <col min="13059" max="13059" width="13.85546875" style="65" bestFit="1" customWidth="1"/>
    <col min="13060" max="13060" width="17.42578125" style="65" bestFit="1" customWidth="1"/>
    <col min="13061" max="13061" width="2.140625" style="65" customWidth="1"/>
    <col min="13062" max="13062" width="9.140625" style="65" customWidth="1"/>
    <col min="13063" max="13063" width="21.140625" style="65" customWidth="1"/>
    <col min="13064" max="13064" width="13.85546875" style="65" bestFit="1" customWidth="1"/>
    <col min="13065" max="13065" width="14.42578125" style="65" bestFit="1" customWidth="1"/>
    <col min="13066" max="13066" width="10.7109375" style="65" bestFit="1" customWidth="1"/>
    <col min="13067" max="13067" width="10.5703125" style="65" bestFit="1" customWidth="1"/>
    <col min="13068" max="13068" width="9.42578125" style="65" bestFit="1" customWidth="1"/>
    <col min="13069" max="13069" width="15.42578125" style="65" bestFit="1" customWidth="1"/>
    <col min="13070" max="13311" width="11.42578125" style="65"/>
    <col min="13312" max="13312" width="10.7109375" style="65" customWidth="1"/>
    <col min="13313" max="13313" width="8.7109375" style="65" customWidth="1"/>
    <col min="13314" max="13314" width="21.42578125" style="65" bestFit="1" customWidth="1"/>
    <col min="13315" max="13315" width="13.85546875" style="65" bestFit="1" customWidth="1"/>
    <col min="13316" max="13316" width="17.42578125" style="65" bestFit="1" customWidth="1"/>
    <col min="13317" max="13317" width="2.140625" style="65" customWidth="1"/>
    <col min="13318" max="13318" width="9.140625" style="65" customWidth="1"/>
    <col min="13319" max="13319" width="21.140625" style="65" customWidth="1"/>
    <col min="13320" max="13320" width="13.85546875" style="65" bestFit="1" customWidth="1"/>
    <col min="13321" max="13321" width="14.42578125" style="65" bestFit="1" customWidth="1"/>
    <col min="13322" max="13322" width="10.7109375" style="65" bestFit="1" customWidth="1"/>
    <col min="13323" max="13323" width="10.5703125" style="65" bestFit="1" customWidth="1"/>
    <col min="13324" max="13324" width="9.42578125" style="65" bestFit="1" customWidth="1"/>
    <col min="13325" max="13325" width="15.42578125" style="65" bestFit="1" customWidth="1"/>
    <col min="13326" max="13567" width="11.42578125" style="65"/>
    <col min="13568" max="13568" width="10.7109375" style="65" customWidth="1"/>
    <col min="13569" max="13569" width="8.7109375" style="65" customWidth="1"/>
    <col min="13570" max="13570" width="21.42578125" style="65" bestFit="1" customWidth="1"/>
    <col min="13571" max="13571" width="13.85546875" style="65" bestFit="1" customWidth="1"/>
    <col min="13572" max="13572" width="17.42578125" style="65" bestFit="1" customWidth="1"/>
    <col min="13573" max="13573" width="2.140625" style="65" customWidth="1"/>
    <col min="13574" max="13574" width="9.140625" style="65" customWidth="1"/>
    <col min="13575" max="13575" width="21.140625" style="65" customWidth="1"/>
    <col min="13576" max="13576" width="13.85546875" style="65" bestFit="1" customWidth="1"/>
    <col min="13577" max="13577" width="14.42578125" style="65" bestFit="1" customWidth="1"/>
    <col min="13578" max="13578" width="10.7109375" style="65" bestFit="1" customWidth="1"/>
    <col min="13579" max="13579" width="10.5703125" style="65" bestFit="1" customWidth="1"/>
    <col min="13580" max="13580" width="9.42578125" style="65" bestFit="1" customWidth="1"/>
    <col min="13581" max="13581" width="15.42578125" style="65" bestFit="1" customWidth="1"/>
    <col min="13582" max="13823" width="11.42578125" style="65"/>
    <col min="13824" max="13824" width="10.7109375" style="65" customWidth="1"/>
    <col min="13825" max="13825" width="8.7109375" style="65" customWidth="1"/>
    <col min="13826" max="13826" width="21.42578125" style="65" bestFit="1" customWidth="1"/>
    <col min="13827" max="13827" width="13.85546875" style="65" bestFit="1" customWidth="1"/>
    <col min="13828" max="13828" width="17.42578125" style="65" bestFit="1" customWidth="1"/>
    <col min="13829" max="13829" width="2.140625" style="65" customWidth="1"/>
    <col min="13830" max="13830" width="9.140625" style="65" customWidth="1"/>
    <col min="13831" max="13831" width="21.140625" style="65" customWidth="1"/>
    <col min="13832" max="13832" width="13.85546875" style="65" bestFit="1" customWidth="1"/>
    <col min="13833" max="13833" width="14.42578125" style="65" bestFit="1" customWidth="1"/>
    <col min="13834" max="13834" width="10.7109375" style="65" bestFit="1" customWidth="1"/>
    <col min="13835" max="13835" width="10.5703125" style="65" bestFit="1" customWidth="1"/>
    <col min="13836" max="13836" width="9.42578125" style="65" bestFit="1" customWidth="1"/>
    <col min="13837" max="13837" width="15.42578125" style="65" bestFit="1" customWidth="1"/>
    <col min="13838" max="14079" width="11.42578125" style="65"/>
    <col min="14080" max="14080" width="10.7109375" style="65" customWidth="1"/>
    <col min="14081" max="14081" width="8.7109375" style="65" customWidth="1"/>
    <col min="14082" max="14082" width="21.42578125" style="65" bestFit="1" customWidth="1"/>
    <col min="14083" max="14083" width="13.85546875" style="65" bestFit="1" customWidth="1"/>
    <col min="14084" max="14084" width="17.42578125" style="65" bestFit="1" customWidth="1"/>
    <col min="14085" max="14085" width="2.140625" style="65" customWidth="1"/>
    <col min="14086" max="14086" width="9.140625" style="65" customWidth="1"/>
    <col min="14087" max="14087" width="21.140625" style="65" customWidth="1"/>
    <col min="14088" max="14088" width="13.85546875" style="65" bestFit="1" customWidth="1"/>
    <col min="14089" max="14089" width="14.42578125" style="65" bestFit="1" customWidth="1"/>
    <col min="14090" max="14090" width="10.7109375" style="65" bestFit="1" customWidth="1"/>
    <col min="14091" max="14091" width="10.5703125" style="65" bestFit="1" customWidth="1"/>
    <col min="14092" max="14092" width="9.42578125" style="65" bestFit="1" customWidth="1"/>
    <col min="14093" max="14093" width="15.42578125" style="65" bestFit="1" customWidth="1"/>
    <col min="14094" max="14335" width="11.42578125" style="65"/>
    <col min="14336" max="14336" width="10.7109375" style="65" customWidth="1"/>
    <col min="14337" max="14337" width="8.7109375" style="65" customWidth="1"/>
    <col min="14338" max="14338" width="21.42578125" style="65" bestFit="1" customWidth="1"/>
    <col min="14339" max="14339" width="13.85546875" style="65" bestFit="1" customWidth="1"/>
    <col min="14340" max="14340" width="17.42578125" style="65" bestFit="1" customWidth="1"/>
    <col min="14341" max="14341" width="2.140625" style="65" customWidth="1"/>
    <col min="14342" max="14342" width="9.140625" style="65" customWidth="1"/>
    <col min="14343" max="14343" width="21.140625" style="65" customWidth="1"/>
    <col min="14344" max="14344" width="13.85546875" style="65" bestFit="1" customWidth="1"/>
    <col min="14345" max="14345" width="14.42578125" style="65" bestFit="1" customWidth="1"/>
    <col min="14346" max="14346" width="10.7109375" style="65" bestFit="1" customWidth="1"/>
    <col min="14347" max="14347" width="10.5703125" style="65" bestFit="1" customWidth="1"/>
    <col min="14348" max="14348" width="9.42578125" style="65" bestFit="1" customWidth="1"/>
    <col min="14349" max="14349" width="15.42578125" style="65" bestFit="1" customWidth="1"/>
    <col min="14350" max="14591" width="11.42578125" style="65"/>
    <col min="14592" max="14592" width="10.7109375" style="65" customWidth="1"/>
    <col min="14593" max="14593" width="8.7109375" style="65" customWidth="1"/>
    <col min="14594" max="14594" width="21.42578125" style="65" bestFit="1" customWidth="1"/>
    <col min="14595" max="14595" width="13.85546875" style="65" bestFit="1" customWidth="1"/>
    <col min="14596" max="14596" width="17.42578125" style="65" bestFit="1" customWidth="1"/>
    <col min="14597" max="14597" width="2.140625" style="65" customWidth="1"/>
    <col min="14598" max="14598" width="9.140625" style="65" customWidth="1"/>
    <col min="14599" max="14599" width="21.140625" style="65" customWidth="1"/>
    <col min="14600" max="14600" width="13.85546875" style="65" bestFit="1" customWidth="1"/>
    <col min="14601" max="14601" width="14.42578125" style="65" bestFit="1" customWidth="1"/>
    <col min="14602" max="14602" width="10.7109375" style="65" bestFit="1" customWidth="1"/>
    <col min="14603" max="14603" width="10.5703125" style="65" bestFit="1" customWidth="1"/>
    <col min="14604" max="14604" width="9.42578125" style="65" bestFit="1" customWidth="1"/>
    <col min="14605" max="14605" width="15.42578125" style="65" bestFit="1" customWidth="1"/>
    <col min="14606" max="14847" width="11.42578125" style="65"/>
    <col min="14848" max="14848" width="10.7109375" style="65" customWidth="1"/>
    <col min="14849" max="14849" width="8.7109375" style="65" customWidth="1"/>
    <col min="14850" max="14850" width="21.42578125" style="65" bestFit="1" customWidth="1"/>
    <col min="14851" max="14851" width="13.85546875" style="65" bestFit="1" customWidth="1"/>
    <col min="14852" max="14852" width="17.42578125" style="65" bestFit="1" customWidth="1"/>
    <col min="14853" max="14853" width="2.140625" style="65" customWidth="1"/>
    <col min="14854" max="14854" width="9.140625" style="65" customWidth="1"/>
    <col min="14855" max="14855" width="21.140625" style="65" customWidth="1"/>
    <col min="14856" max="14856" width="13.85546875" style="65" bestFit="1" customWidth="1"/>
    <col min="14857" max="14857" width="14.42578125" style="65" bestFit="1" customWidth="1"/>
    <col min="14858" max="14858" width="10.7109375" style="65" bestFit="1" customWidth="1"/>
    <col min="14859" max="14859" width="10.5703125" style="65" bestFit="1" customWidth="1"/>
    <col min="14860" max="14860" width="9.42578125" style="65" bestFit="1" customWidth="1"/>
    <col min="14861" max="14861" width="15.42578125" style="65" bestFit="1" customWidth="1"/>
    <col min="14862" max="15103" width="11.42578125" style="65"/>
    <col min="15104" max="15104" width="10.7109375" style="65" customWidth="1"/>
    <col min="15105" max="15105" width="8.7109375" style="65" customWidth="1"/>
    <col min="15106" max="15106" width="21.42578125" style="65" bestFit="1" customWidth="1"/>
    <col min="15107" max="15107" width="13.85546875" style="65" bestFit="1" customWidth="1"/>
    <col min="15108" max="15108" width="17.42578125" style="65" bestFit="1" customWidth="1"/>
    <col min="15109" max="15109" width="2.140625" style="65" customWidth="1"/>
    <col min="15110" max="15110" width="9.140625" style="65" customWidth="1"/>
    <col min="15111" max="15111" width="21.140625" style="65" customWidth="1"/>
    <col min="15112" max="15112" width="13.85546875" style="65" bestFit="1" customWidth="1"/>
    <col min="15113" max="15113" width="14.42578125" style="65" bestFit="1" customWidth="1"/>
    <col min="15114" max="15114" width="10.7109375" style="65" bestFit="1" customWidth="1"/>
    <col min="15115" max="15115" width="10.5703125" style="65" bestFit="1" customWidth="1"/>
    <col min="15116" max="15116" width="9.42578125" style="65" bestFit="1" customWidth="1"/>
    <col min="15117" max="15117" width="15.42578125" style="65" bestFit="1" customWidth="1"/>
    <col min="15118" max="15359" width="11.42578125" style="65"/>
    <col min="15360" max="15360" width="10.7109375" style="65" customWidth="1"/>
    <col min="15361" max="15361" width="8.7109375" style="65" customWidth="1"/>
    <col min="15362" max="15362" width="21.42578125" style="65" bestFit="1" customWidth="1"/>
    <col min="15363" max="15363" width="13.85546875" style="65" bestFit="1" customWidth="1"/>
    <col min="15364" max="15364" width="17.42578125" style="65" bestFit="1" customWidth="1"/>
    <col min="15365" max="15365" width="2.140625" style="65" customWidth="1"/>
    <col min="15366" max="15366" width="9.140625" style="65" customWidth="1"/>
    <col min="15367" max="15367" width="21.140625" style="65" customWidth="1"/>
    <col min="15368" max="15368" width="13.85546875" style="65" bestFit="1" customWidth="1"/>
    <col min="15369" max="15369" width="14.42578125" style="65" bestFit="1" customWidth="1"/>
    <col min="15370" max="15370" width="10.7109375" style="65" bestFit="1" customWidth="1"/>
    <col min="15371" max="15371" width="10.5703125" style="65" bestFit="1" customWidth="1"/>
    <col min="15372" max="15372" width="9.42578125" style="65" bestFit="1" customWidth="1"/>
    <col min="15373" max="15373" width="15.42578125" style="65" bestFit="1" customWidth="1"/>
    <col min="15374" max="15615" width="11.42578125" style="65"/>
    <col min="15616" max="15616" width="10.7109375" style="65" customWidth="1"/>
    <col min="15617" max="15617" width="8.7109375" style="65" customWidth="1"/>
    <col min="15618" max="15618" width="21.42578125" style="65" bestFit="1" customWidth="1"/>
    <col min="15619" max="15619" width="13.85546875" style="65" bestFit="1" customWidth="1"/>
    <col min="15620" max="15620" width="17.42578125" style="65" bestFit="1" customWidth="1"/>
    <col min="15621" max="15621" width="2.140625" style="65" customWidth="1"/>
    <col min="15622" max="15622" width="9.140625" style="65" customWidth="1"/>
    <col min="15623" max="15623" width="21.140625" style="65" customWidth="1"/>
    <col min="15624" max="15624" width="13.85546875" style="65" bestFit="1" customWidth="1"/>
    <col min="15625" max="15625" width="14.42578125" style="65" bestFit="1" customWidth="1"/>
    <col min="15626" max="15626" width="10.7109375" style="65" bestFit="1" customWidth="1"/>
    <col min="15627" max="15627" width="10.5703125" style="65" bestFit="1" customWidth="1"/>
    <col min="15628" max="15628" width="9.42578125" style="65" bestFit="1" customWidth="1"/>
    <col min="15629" max="15629" width="15.42578125" style="65" bestFit="1" customWidth="1"/>
    <col min="15630" max="15871" width="11.42578125" style="65"/>
    <col min="15872" max="15872" width="10.7109375" style="65" customWidth="1"/>
    <col min="15873" max="15873" width="8.7109375" style="65" customWidth="1"/>
    <col min="15874" max="15874" width="21.42578125" style="65" bestFit="1" customWidth="1"/>
    <col min="15875" max="15875" width="13.85546875" style="65" bestFit="1" customWidth="1"/>
    <col min="15876" max="15876" width="17.42578125" style="65" bestFit="1" customWidth="1"/>
    <col min="15877" max="15877" width="2.140625" style="65" customWidth="1"/>
    <col min="15878" max="15878" width="9.140625" style="65" customWidth="1"/>
    <col min="15879" max="15879" width="21.140625" style="65" customWidth="1"/>
    <col min="15880" max="15880" width="13.85546875" style="65" bestFit="1" customWidth="1"/>
    <col min="15881" max="15881" width="14.42578125" style="65" bestFit="1" customWidth="1"/>
    <col min="15882" max="15882" width="10.7109375" style="65" bestFit="1" customWidth="1"/>
    <col min="15883" max="15883" width="10.5703125" style="65" bestFit="1" customWidth="1"/>
    <col min="15884" max="15884" width="9.42578125" style="65" bestFit="1" customWidth="1"/>
    <col min="15885" max="15885" width="15.42578125" style="65" bestFit="1" customWidth="1"/>
    <col min="15886" max="16127" width="11.42578125" style="65"/>
    <col min="16128" max="16128" width="10.7109375" style="65" customWidth="1"/>
    <col min="16129" max="16129" width="8.7109375" style="65" customWidth="1"/>
    <col min="16130" max="16130" width="21.42578125" style="65" bestFit="1" customWidth="1"/>
    <col min="16131" max="16131" width="13.85546875" style="65" bestFit="1" customWidth="1"/>
    <col min="16132" max="16132" width="17.42578125" style="65" bestFit="1" customWidth="1"/>
    <col min="16133" max="16133" width="2.140625" style="65" customWidth="1"/>
    <col min="16134" max="16134" width="9.140625" style="65" customWidth="1"/>
    <col min="16135" max="16135" width="21.140625" style="65" customWidth="1"/>
    <col min="16136" max="16136" width="13.85546875" style="65" bestFit="1" customWidth="1"/>
    <col min="16137" max="16137" width="14.42578125" style="65" bestFit="1" customWidth="1"/>
    <col min="16138" max="16138" width="10.7109375" style="65" bestFit="1" customWidth="1"/>
    <col min="16139" max="16139" width="10.5703125" style="65" bestFit="1" customWidth="1"/>
    <col min="16140" max="16140" width="9.42578125" style="65" bestFit="1" customWidth="1"/>
    <col min="16141" max="16141" width="15.42578125" style="65" bestFit="1" customWidth="1"/>
    <col min="16142" max="16384" width="11.42578125" style="65"/>
  </cols>
  <sheetData>
    <row r="1" spans="1:14" x14ac:dyDescent="0.25">
      <c r="A1" s="206"/>
      <c r="B1" s="206"/>
      <c r="C1" s="206"/>
      <c r="D1" s="206"/>
      <c r="E1" s="206"/>
      <c r="F1" s="206"/>
      <c r="G1" s="206"/>
      <c r="H1" s="206"/>
      <c r="I1" s="206"/>
      <c r="J1" s="206"/>
    </row>
    <row r="2" spans="1:14" customFormat="1" x14ac:dyDescent="0.25">
      <c r="B2" s="201" t="s">
        <v>46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1:14" customFormat="1" x14ac:dyDescent="0.25"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</row>
    <row r="4" spans="1:14" customFormat="1" x14ac:dyDescent="0.25"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</row>
    <row r="5" spans="1:14" x14ac:dyDescent="0.25">
      <c r="A5" s="206"/>
      <c r="B5" s="206"/>
      <c r="C5" s="206"/>
      <c r="D5" s="206"/>
      <c r="E5" s="206"/>
      <c r="F5" s="206"/>
      <c r="G5" s="206"/>
      <c r="H5" s="206"/>
      <c r="I5" s="206"/>
      <c r="J5" s="206"/>
    </row>
    <row r="6" spans="1:14" ht="15.75" thickBot="1" x14ac:dyDescent="0.3">
      <c r="A6" s="66"/>
    </row>
    <row r="7" spans="1:14" ht="19.5" thickBot="1" x14ac:dyDescent="0.35">
      <c r="B7" s="207" t="s">
        <v>128</v>
      </c>
      <c r="C7" s="208"/>
      <c r="D7" s="208"/>
      <c r="E7" s="209"/>
      <c r="G7" s="207" t="s">
        <v>71</v>
      </c>
      <c r="H7" s="208"/>
      <c r="I7" s="208"/>
      <c r="J7" s="209"/>
    </row>
    <row r="8" spans="1:14" ht="15.75" thickBot="1" x14ac:dyDescent="0.3">
      <c r="B8" s="187" t="s">
        <v>72</v>
      </c>
      <c r="C8" s="188" t="s">
        <v>129</v>
      </c>
      <c r="D8" s="188" t="s">
        <v>130</v>
      </c>
      <c r="E8" s="189" t="s">
        <v>131</v>
      </c>
      <c r="F8" s="185"/>
      <c r="G8" s="187" t="s">
        <v>72</v>
      </c>
      <c r="H8" s="188" t="s">
        <v>76</v>
      </c>
      <c r="I8" s="188" t="s">
        <v>74</v>
      </c>
      <c r="J8" s="189" t="s">
        <v>75</v>
      </c>
    </row>
    <row r="9" spans="1:14" ht="6.75" customHeight="1" thickBot="1" x14ac:dyDescent="0.3">
      <c r="B9" s="70"/>
      <c r="C9" s="71"/>
      <c r="D9" s="71"/>
      <c r="E9" s="72"/>
    </row>
    <row r="10" spans="1:14" ht="15" customHeight="1" x14ac:dyDescent="0.25">
      <c r="A10" s="217" t="s">
        <v>132</v>
      </c>
      <c r="B10" s="73">
        <v>0</v>
      </c>
      <c r="C10" s="74" t="s">
        <v>78</v>
      </c>
      <c r="D10" s="74">
        <v>4000000</v>
      </c>
      <c r="E10" s="75">
        <f>+B10*D10</f>
        <v>0</v>
      </c>
      <c r="G10" s="80">
        <v>0</v>
      </c>
      <c r="H10" s="81" t="s">
        <v>79</v>
      </c>
      <c r="I10" s="81">
        <f>800000</f>
        <v>800000</v>
      </c>
      <c r="J10" s="79">
        <f t="shared" ref="J10:J18" si="0">+G10*I10</f>
        <v>0</v>
      </c>
      <c r="K10" s="76"/>
    </row>
    <row r="11" spans="1:14" x14ac:dyDescent="0.25">
      <c r="A11" s="218"/>
      <c r="B11" s="77">
        <v>0</v>
      </c>
      <c r="C11" s="78" t="s">
        <v>80</v>
      </c>
      <c r="D11" s="78">
        <v>4000000</v>
      </c>
      <c r="E11" s="79">
        <f>+D11*B11</f>
        <v>0</v>
      </c>
      <c r="G11" s="80">
        <v>0</v>
      </c>
      <c r="H11" s="81" t="s">
        <v>81</v>
      </c>
      <c r="I11" s="81">
        <v>1000000</v>
      </c>
      <c r="J11" s="79">
        <f t="shared" si="0"/>
        <v>0</v>
      </c>
    </row>
    <row r="12" spans="1:14" x14ac:dyDescent="0.25">
      <c r="A12" s="218"/>
      <c r="B12" s="80">
        <v>0</v>
      </c>
      <c r="C12" s="81" t="s">
        <v>82</v>
      </c>
      <c r="D12" s="81">
        <v>150000</v>
      </c>
      <c r="E12" s="79">
        <f>+D12*B12</f>
        <v>0</v>
      </c>
      <c r="G12" s="80">
        <v>0</v>
      </c>
      <c r="H12" s="81" t="s">
        <v>83</v>
      </c>
      <c r="I12" s="81">
        <v>1000000</v>
      </c>
      <c r="J12" s="79">
        <f t="shared" si="0"/>
        <v>0</v>
      </c>
    </row>
    <row r="13" spans="1:14" x14ac:dyDescent="0.25">
      <c r="A13" s="218"/>
      <c r="B13" s="80">
        <v>0</v>
      </c>
      <c r="C13" s="81" t="s">
        <v>84</v>
      </c>
      <c r="D13" s="81">
        <v>1300000</v>
      </c>
      <c r="E13" s="79">
        <f>+D13*B13</f>
        <v>0</v>
      </c>
      <c r="G13" s="80">
        <v>1</v>
      </c>
      <c r="H13" s="81" t="s">
        <v>133</v>
      </c>
      <c r="I13" s="81">
        <v>150000</v>
      </c>
      <c r="J13" s="170">
        <f t="shared" si="0"/>
        <v>150000</v>
      </c>
      <c r="N13" s="100"/>
    </row>
    <row r="14" spans="1:14" x14ac:dyDescent="0.25">
      <c r="A14" s="218"/>
      <c r="B14" s="80">
        <v>0</v>
      </c>
      <c r="C14" s="81" t="s">
        <v>86</v>
      </c>
      <c r="D14" s="81">
        <v>40000</v>
      </c>
      <c r="E14" s="79">
        <f>+D14*B14</f>
        <v>0</v>
      </c>
      <c r="G14" s="80">
        <v>1</v>
      </c>
      <c r="H14" s="81" t="s">
        <v>134</v>
      </c>
      <c r="I14" s="81">
        <v>200000</v>
      </c>
      <c r="J14" s="170">
        <f t="shared" si="0"/>
        <v>200000</v>
      </c>
      <c r="N14" s="100"/>
    </row>
    <row r="15" spans="1:14" ht="30" x14ac:dyDescent="0.25">
      <c r="A15" s="218"/>
      <c r="B15" s="180">
        <v>0</v>
      </c>
      <c r="C15" s="176" t="s">
        <v>88</v>
      </c>
      <c r="D15" s="81">
        <v>750000</v>
      </c>
      <c r="E15" s="79">
        <f>D15*B15</f>
        <v>0</v>
      </c>
      <c r="G15" s="80">
        <v>1</v>
      </c>
      <c r="H15" s="108" t="s">
        <v>135</v>
      </c>
      <c r="I15" s="81">
        <v>150000</v>
      </c>
      <c r="J15" s="170">
        <f t="shared" si="0"/>
        <v>150000</v>
      </c>
      <c r="N15" s="100"/>
    </row>
    <row r="16" spans="1:14" ht="89.25" customHeight="1" x14ac:dyDescent="0.25">
      <c r="A16" s="218"/>
      <c r="B16" s="80">
        <v>0</v>
      </c>
      <c r="C16" s="182" t="s">
        <v>90</v>
      </c>
      <c r="D16" s="177">
        <v>200000</v>
      </c>
      <c r="E16" s="178">
        <f>+B16*D16</f>
        <v>0</v>
      </c>
      <c r="F16" s="179"/>
      <c r="G16" s="180">
        <v>1</v>
      </c>
      <c r="H16" s="181" t="s">
        <v>136</v>
      </c>
      <c r="I16" s="176">
        <v>3666661</v>
      </c>
      <c r="J16" s="178">
        <f t="shared" si="0"/>
        <v>3666661</v>
      </c>
      <c r="N16" s="100"/>
    </row>
    <row r="17" spans="1:14" x14ac:dyDescent="0.25">
      <c r="A17" s="218"/>
      <c r="B17" s="80">
        <v>0</v>
      </c>
      <c r="C17" s="81" t="s">
        <v>92</v>
      </c>
      <c r="D17" s="78">
        <v>500000</v>
      </c>
      <c r="E17" s="79">
        <f>+B17*D17</f>
        <v>0</v>
      </c>
      <c r="G17" s="80"/>
      <c r="H17" s="167" t="s">
        <v>137</v>
      </c>
      <c r="I17" s="81">
        <v>1000000</v>
      </c>
      <c r="J17" s="79">
        <f t="shared" si="0"/>
        <v>0</v>
      </c>
      <c r="N17" s="100"/>
    </row>
    <row r="18" spans="1:14" ht="15.75" thickBot="1" x14ac:dyDescent="0.3">
      <c r="A18" s="218"/>
      <c r="B18" s="80">
        <v>3</v>
      </c>
      <c r="C18" s="167" t="s">
        <v>138</v>
      </c>
      <c r="D18" s="81">
        <v>800000</v>
      </c>
      <c r="E18" s="79">
        <f>+B18*D18</f>
        <v>2400000</v>
      </c>
      <c r="G18" s="80">
        <v>1</v>
      </c>
      <c r="H18" s="167" t="s">
        <v>139</v>
      </c>
      <c r="I18" s="81">
        <v>100000</v>
      </c>
      <c r="J18" s="170">
        <f t="shared" si="0"/>
        <v>100000</v>
      </c>
      <c r="K18" s="82"/>
    </row>
    <row r="19" spans="1:14" ht="15" customHeight="1" thickBot="1" x14ac:dyDescent="0.3">
      <c r="A19" s="219"/>
      <c r="B19" s="186" t="s">
        <v>97</v>
      </c>
      <c r="C19" s="85"/>
      <c r="D19" s="85"/>
      <c r="E19" s="86">
        <f>SUM(E10:E18)</f>
        <v>2400000</v>
      </c>
      <c r="G19" s="87" t="s">
        <v>98</v>
      </c>
      <c r="H19" s="88"/>
      <c r="I19" s="88"/>
      <c r="J19" s="89">
        <f>SUM(J10:J18)</f>
        <v>4266661</v>
      </c>
      <c r="K19" s="155" t="s">
        <v>99</v>
      </c>
      <c r="L19" s="156">
        <f>J19*12</f>
        <v>51199932</v>
      </c>
    </row>
    <row r="20" spans="1:14" ht="19.5" thickBot="1" x14ac:dyDescent="0.3">
      <c r="A20" s="220" t="s">
        <v>140</v>
      </c>
      <c r="B20" s="73">
        <v>3</v>
      </c>
      <c r="C20" s="74" t="s">
        <v>100</v>
      </c>
      <c r="D20" s="74">
        <v>300000</v>
      </c>
      <c r="E20" s="75">
        <f>+D20*B20</f>
        <v>900000</v>
      </c>
      <c r="G20" s="223" t="s">
        <v>101</v>
      </c>
      <c r="H20" s="224"/>
      <c r="I20" s="224"/>
      <c r="J20" s="225"/>
    </row>
    <row r="21" spans="1:14" x14ac:dyDescent="0.25">
      <c r="A21" s="221"/>
      <c r="B21" s="80">
        <v>3</v>
      </c>
      <c r="C21" s="81" t="s">
        <v>90</v>
      </c>
      <c r="D21" s="78">
        <v>200000</v>
      </c>
      <c r="E21" s="79">
        <f>+D21*B21</f>
        <v>600000</v>
      </c>
      <c r="G21" s="97">
        <v>0</v>
      </c>
      <c r="H21" s="98" t="s">
        <v>102</v>
      </c>
      <c r="I21" s="98">
        <v>5000000</v>
      </c>
      <c r="J21" s="99"/>
    </row>
    <row r="22" spans="1:14" x14ac:dyDescent="0.25">
      <c r="A22" s="221"/>
      <c r="B22" s="80">
        <v>3</v>
      </c>
      <c r="C22" s="81" t="s">
        <v>103</v>
      </c>
      <c r="D22" s="81">
        <v>2000000</v>
      </c>
      <c r="E22" s="79">
        <f>+D22</f>
        <v>2000000</v>
      </c>
      <c r="G22" s="97">
        <v>0</v>
      </c>
      <c r="H22" s="98" t="s">
        <v>104</v>
      </c>
      <c r="I22" s="98">
        <v>1000000</v>
      </c>
      <c r="J22" s="170">
        <f t="shared" ref="J22" si="1">+I22</f>
        <v>1000000</v>
      </c>
      <c r="K22" s="82"/>
    </row>
    <row r="23" spans="1:14" x14ac:dyDescent="0.25">
      <c r="A23" s="221"/>
      <c r="B23" s="80">
        <v>3</v>
      </c>
      <c r="C23" s="81" t="s">
        <v>105</v>
      </c>
      <c r="D23" s="81">
        <v>400000</v>
      </c>
      <c r="E23" s="79">
        <f>+D23</f>
        <v>400000</v>
      </c>
      <c r="G23" s="80">
        <v>0</v>
      </c>
      <c r="H23" s="81" t="s">
        <v>141</v>
      </c>
      <c r="I23" s="81">
        <v>1500000</v>
      </c>
      <c r="J23" s="170">
        <f>+I23</f>
        <v>1500000</v>
      </c>
    </row>
    <row r="24" spans="1:14" x14ac:dyDescent="0.25">
      <c r="A24" s="221"/>
      <c r="B24" s="80">
        <v>3</v>
      </c>
      <c r="C24" s="81" t="s">
        <v>107</v>
      </c>
      <c r="D24" s="81">
        <v>300000</v>
      </c>
      <c r="E24" s="79">
        <f>+D24*B24</f>
        <v>900000</v>
      </c>
      <c r="G24" s="77">
        <v>1</v>
      </c>
      <c r="H24" s="78" t="s">
        <v>108</v>
      </c>
      <c r="I24" s="78">
        <f>'Anexo 3B Nómina Market place'!T11</f>
        <v>6125000</v>
      </c>
      <c r="J24" s="170">
        <f>+G24*I24</f>
        <v>6125000</v>
      </c>
    </row>
    <row r="25" spans="1:14" x14ac:dyDescent="0.25">
      <c r="A25" s="221"/>
      <c r="B25" s="80"/>
      <c r="C25" s="81" t="s">
        <v>109</v>
      </c>
      <c r="D25" s="81">
        <v>80000</v>
      </c>
      <c r="E25" s="79">
        <f>+D25*B25</f>
        <v>0</v>
      </c>
      <c r="G25" s="77">
        <v>1</v>
      </c>
      <c r="H25" s="78" t="s">
        <v>110</v>
      </c>
      <c r="I25" s="78">
        <f>'Anexo 3B Nómina Market place'!AM12</f>
        <v>1395990</v>
      </c>
      <c r="J25" s="170">
        <f t="shared" ref="J25:J26" si="2">+G25*I25</f>
        <v>1395990</v>
      </c>
    </row>
    <row r="26" spans="1:14" ht="15.75" thickBot="1" x14ac:dyDescent="0.3">
      <c r="A26" s="221"/>
      <c r="B26" s="162"/>
      <c r="C26" s="163" t="s">
        <v>111</v>
      </c>
      <c r="D26" s="163">
        <v>500000</v>
      </c>
      <c r="E26" s="164">
        <f>+D26*B26</f>
        <v>0</v>
      </c>
      <c r="G26" s="77">
        <v>1</v>
      </c>
      <c r="H26" s="78" t="s">
        <v>112</v>
      </c>
      <c r="I26" s="78">
        <f>'Anexo 3B Nómina Market place'!AA11</f>
        <v>982350</v>
      </c>
      <c r="J26" s="170">
        <f t="shared" si="2"/>
        <v>982350</v>
      </c>
    </row>
    <row r="27" spans="1:14" ht="16.5" customHeight="1" thickBot="1" x14ac:dyDescent="0.3">
      <c r="A27" s="222"/>
      <c r="B27" s="87" t="s">
        <v>97</v>
      </c>
      <c r="C27" s="165"/>
      <c r="D27" s="165"/>
      <c r="E27" s="166">
        <f>SUM(E20:E26)</f>
        <v>4800000</v>
      </c>
      <c r="G27" s="97"/>
      <c r="H27" s="168" t="s">
        <v>142</v>
      </c>
      <c r="I27" s="98">
        <v>500000</v>
      </c>
      <c r="J27" s="170"/>
    </row>
    <row r="28" spans="1:14" ht="16.5" thickBot="1" x14ac:dyDescent="0.3">
      <c r="A28" s="227" t="s">
        <v>143</v>
      </c>
      <c r="B28" s="159">
        <v>0</v>
      </c>
      <c r="C28" s="74" t="s">
        <v>115</v>
      </c>
      <c r="D28" s="74">
        <v>5000000</v>
      </c>
      <c r="E28" s="75"/>
      <c r="G28" s="87" t="s">
        <v>98</v>
      </c>
      <c r="H28" s="88"/>
      <c r="I28" s="88"/>
      <c r="J28" s="89">
        <f>SUM(J21:J27)</f>
        <v>11003340</v>
      </c>
      <c r="K28" s="155" t="s">
        <v>99</v>
      </c>
      <c r="L28" s="156">
        <f>J28*12</f>
        <v>132040080</v>
      </c>
    </row>
    <row r="29" spans="1:14" x14ac:dyDescent="0.25">
      <c r="A29" s="228"/>
      <c r="B29" s="160">
        <v>0</v>
      </c>
      <c r="C29" s="81" t="s">
        <v>117</v>
      </c>
      <c r="D29" s="81">
        <v>1500000</v>
      </c>
      <c r="E29" s="79">
        <f>+D29*B29</f>
        <v>0</v>
      </c>
    </row>
    <row r="30" spans="1:14" x14ac:dyDescent="0.25">
      <c r="A30" s="228"/>
      <c r="B30" s="160">
        <v>0</v>
      </c>
      <c r="C30" s="81" t="s">
        <v>118</v>
      </c>
      <c r="D30" s="81">
        <v>2000000</v>
      </c>
      <c r="E30" s="79">
        <f t="shared" ref="E30:E33" si="3">+D30*B30</f>
        <v>0</v>
      </c>
      <c r="G30" s="90"/>
      <c r="H30" s="90"/>
      <c r="I30" s="90"/>
      <c r="J30" s="90"/>
    </row>
    <row r="31" spans="1:14" x14ac:dyDescent="0.25">
      <c r="A31" s="228"/>
      <c r="B31" s="160">
        <v>0</v>
      </c>
      <c r="C31" s="81" t="s">
        <v>119</v>
      </c>
      <c r="D31" s="81">
        <v>2500000</v>
      </c>
      <c r="E31" s="79">
        <f t="shared" si="3"/>
        <v>0</v>
      </c>
      <c r="G31" s="90"/>
      <c r="H31" s="90"/>
      <c r="I31" s="90"/>
      <c r="J31" s="106">
        <f>J28+J19</f>
        <v>15270001</v>
      </c>
    </row>
    <row r="32" spans="1:14" x14ac:dyDescent="0.25">
      <c r="A32" s="228"/>
      <c r="B32" s="160">
        <v>0</v>
      </c>
      <c r="C32" s="81" t="s">
        <v>120</v>
      </c>
      <c r="D32" s="81">
        <v>500000</v>
      </c>
      <c r="E32" s="79">
        <f t="shared" si="3"/>
        <v>0</v>
      </c>
      <c r="J32" s="106" t="s">
        <v>98</v>
      </c>
    </row>
    <row r="33" spans="1:13" x14ac:dyDescent="0.25">
      <c r="A33" s="228"/>
      <c r="B33" s="160">
        <v>0</v>
      </c>
      <c r="C33" s="81" t="s">
        <v>121</v>
      </c>
      <c r="D33" s="81">
        <v>2000000</v>
      </c>
      <c r="E33" s="79">
        <f t="shared" si="3"/>
        <v>0</v>
      </c>
      <c r="K33" s="199">
        <f>J31/25000</f>
        <v>610.80003999999997</v>
      </c>
      <c r="L33" s="154" t="s">
        <v>144</v>
      </c>
      <c r="M33" s="154"/>
    </row>
    <row r="34" spans="1:13" x14ac:dyDescent="0.25">
      <c r="A34" s="228"/>
      <c r="B34" s="160">
        <v>0</v>
      </c>
      <c r="C34" s="81" t="s">
        <v>122</v>
      </c>
      <c r="D34" s="81">
        <v>1500000</v>
      </c>
      <c r="E34" s="79"/>
      <c r="K34" s="158">
        <f>K33/2</f>
        <v>305.40001999999998</v>
      </c>
      <c r="L34" s="226" t="s">
        <v>145</v>
      </c>
      <c r="M34" s="226"/>
    </row>
    <row r="35" spans="1:13" x14ac:dyDescent="0.25">
      <c r="A35" s="228"/>
      <c r="B35" s="160">
        <v>0</v>
      </c>
      <c r="C35" s="81" t="s">
        <v>124</v>
      </c>
      <c r="D35" s="81">
        <v>2000000</v>
      </c>
      <c r="E35" s="79">
        <f>+D35*B35</f>
        <v>0</v>
      </c>
      <c r="K35" s="157"/>
      <c r="L35" s="226"/>
      <c r="M35" s="226"/>
    </row>
    <row r="36" spans="1:13" x14ac:dyDescent="0.25">
      <c r="A36" s="228"/>
      <c r="B36" s="160">
        <v>1</v>
      </c>
      <c r="C36" s="167" t="s">
        <v>146</v>
      </c>
      <c r="D36" s="81">
        <v>3500000</v>
      </c>
      <c r="E36" s="170">
        <f>+D36*B36</f>
        <v>3500000</v>
      </c>
      <c r="K36" s="157"/>
      <c r="L36" s="226"/>
      <c r="M36" s="226"/>
    </row>
    <row r="37" spans="1:13" ht="15.75" thickBot="1" x14ac:dyDescent="0.3">
      <c r="A37" s="228"/>
      <c r="B37" s="81">
        <v>0</v>
      </c>
      <c r="C37" s="81" t="s">
        <v>127</v>
      </c>
      <c r="D37" s="81">
        <v>3000000</v>
      </c>
      <c r="E37" s="79">
        <f>+B37*D37</f>
        <v>0</v>
      </c>
      <c r="K37" s="157"/>
      <c r="L37" s="183"/>
      <c r="M37" s="183"/>
    </row>
    <row r="38" spans="1:13" ht="16.5" thickBot="1" x14ac:dyDescent="0.3">
      <c r="A38" s="229"/>
      <c r="B38" s="87" t="s">
        <v>97</v>
      </c>
      <c r="C38" s="88"/>
      <c r="D38" s="88"/>
      <c r="E38" s="89">
        <f>SUM(E28:E37)</f>
        <v>3500000</v>
      </c>
    </row>
    <row r="39" spans="1:13" ht="15" customHeight="1" x14ac:dyDescent="0.25">
      <c r="A39" s="214" t="s">
        <v>147</v>
      </c>
      <c r="B39" s="175">
        <v>1</v>
      </c>
      <c r="C39" s="172" t="s">
        <v>148</v>
      </c>
      <c r="D39" s="173">
        <v>5000000</v>
      </c>
      <c r="E39" s="174">
        <f>+B39*D39</f>
        <v>5000000</v>
      </c>
      <c r="L39" s="198"/>
    </row>
    <row r="40" spans="1:13" ht="31.5" customHeight="1" x14ac:dyDescent="0.25">
      <c r="A40" s="215"/>
      <c r="B40" s="81">
        <v>1</v>
      </c>
      <c r="C40" s="171" t="s">
        <v>149</v>
      </c>
      <c r="D40" s="81">
        <v>870000</v>
      </c>
      <c r="E40" s="170">
        <f>+B40*D40</f>
        <v>870000</v>
      </c>
    </row>
    <row r="41" spans="1:13" ht="66" customHeight="1" thickBot="1" x14ac:dyDescent="0.3">
      <c r="A41" s="215"/>
      <c r="B41" s="173">
        <v>1</v>
      </c>
      <c r="C41" s="184" t="s">
        <v>150</v>
      </c>
      <c r="D41" s="173">
        <v>4600000</v>
      </c>
      <c r="E41" s="174">
        <f>+B41*D41</f>
        <v>4600000</v>
      </c>
    </row>
    <row r="42" spans="1:13" ht="16.5" thickBot="1" x14ac:dyDescent="0.3">
      <c r="A42" s="216"/>
      <c r="B42" s="87" t="s">
        <v>97</v>
      </c>
      <c r="C42" s="88"/>
      <c r="D42" s="88"/>
      <c r="E42" s="89">
        <f>SUM(E39:E41)</f>
        <v>10470000</v>
      </c>
    </row>
    <row r="43" spans="1:13" ht="21.75" thickBot="1" x14ac:dyDescent="0.4">
      <c r="A43" s="94"/>
      <c r="B43" s="95" t="s">
        <v>97</v>
      </c>
      <c r="C43" s="95"/>
      <c r="D43" s="95"/>
      <c r="E43" s="96">
        <f>E42+E27+E19+E38</f>
        <v>21170000</v>
      </c>
    </row>
    <row r="44" spans="1:13" x14ac:dyDescent="0.25">
      <c r="A44" s="169"/>
      <c r="B44" s="71"/>
    </row>
    <row r="45" spans="1:13" x14ac:dyDescent="0.25">
      <c r="A45" s="169"/>
      <c r="B45" s="90"/>
    </row>
    <row r="46" spans="1:13" x14ac:dyDescent="0.25">
      <c r="E46" s="106">
        <f>E43/12</f>
        <v>1764166.6666666667</v>
      </c>
    </row>
    <row r="47" spans="1:13" x14ac:dyDescent="0.25">
      <c r="E47" s="106" t="s">
        <v>151</v>
      </c>
    </row>
    <row r="49" spans="10:10" x14ac:dyDescent="0.25">
      <c r="J49" s="107"/>
    </row>
    <row r="50" spans="10:10" x14ac:dyDescent="0.25">
      <c r="J50" s="107"/>
    </row>
  </sheetData>
  <mergeCells count="11">
    <mergeCell ref="A39:A42"/>
    <mergeCell ref="A10:A19"/>
    <mergeCell ref="A20:A27"/>
    <mergeCell ref="G20:J20"/>
    <mergeCell ref="A1:J1"/>
    <mergeCell ref="B2:L4"/>
    <mergeCell ref="A5:J5"/>
    <mergeCell ref="B7:E7"/>
    <mergeCell ref="G7:J7"/>
    <mergeCell ref="L34:M36"/>
    <mergeCell ref="A28:A38"/>
  </mergeCells>
  <pageMargins left="0.70866141732283472" right="0.70866141732283472" top="0.74803149606299213" bottom="0.74803149606299213" header="0.31496062992125984" footer="0.31496062992125984"/>
  <pageSetup paperSize="9" scale="4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85C9A-2198-4730-8146-1FE49AC98798}">
  <sheetPr>
    <pageSetUpPr fitToPage="1"/>
  </sheetPr>
  <dimension ref="B1:AM53"/>
  <sheetViews>
    <sheetView zoomScaleNormal="100" zoomScaleSheetLayoutView="100" workbookViewId="0">
      <selection activeCell="E14" sqref="E14"/>
    </sheetView>
  </sheetViews>
  <sheetFormatPr baseColWidth="10" defaultColWidth="11.42578125" defaultRowHeight="12.75" x14ac:dyDescent="0.2"/>
  <cols>
    <col min="1" max="1" width="11.42578125" style="28"/>
    <col min="2" max="2" width="16.5703125" style="24" bestFit="1" customWidth="1"/>
    <col min="3" max="3" width="20" style="28" bestFit="1" customWidth="1"/>
    <col min="4" max="4" width="12.42578125" style="28" customWidth="1"/>
    <col min="5" max="5" width="10.85546875" style="28" bestFit="1" customWidth="1"/>
    <col min="6" max="6" width="14.140625" style="28" customWidth="1"/>
    <col min="7" max="7" width="13.7109375" style="28" bestFit="1" customWidth="1"/>
    <col min="8" max="8" width="10" style="28" bestFit="1" customWidth="1"/>
    <col min="9" max="9" width="10.7109375" style="28" bestFit="1" customWidth="1"/>
    <col min="10" max="10" width="13.28515625" style="28" bestFit="1" customWidth="1"/>
    <col min="11" max="11" width="13.85546875" style="28" customWidth="1"/>
    <col min="12" max="12" width="15.140625" style="28" customWidth="1"/>
    <col min="13" max="13" width="12.140625" style="28" customWidth="1"/>
    <col min="14" max="14" width="11.7109375" style="28" bestFit="1" customWidth="1"/>
    <col min="15" max="15" width="12" style="28" customWidth="1"/>
    <col min="16" max="16" width="10.7109375" style="28" customWidth="1"/>
    <col min="17" max="17" width="5.42578125" style="28" customWidth="1"/>
    <col min="18" max="18" width="11.7109375" style="28" bestFit="1" customWidth="1"/>
    <col min="19" max="19" width="16" style="28" customWidth="1"/>
    <col min="20" max="20" width="11.7109375" style="28" customWidth="1"/>
    <col min="21" max="21" width="3.28515625" style="28" customWidth="1"/>
    <col min="22" max="22" width="13.28515625" style="28" bestFit="1" customWidth="1"/>
    <col min="23" max="23" width="15.7109375" style="28" customWidth="1"/>
    <col min="24" max="24" width="9.7109375" style="28" bestFit="1" customWidth="1"/>
    <col min="25" max="25" width="13.7109375" style="28" customWidth="1"/>
    <col min="26" max="26" width="12.140625" style="28" customWidth="1"/>
    <col min="27" max="27" width="14.7109375" style="28" bestFit="1" customWidth="1"/>
    <col min="28" max="28" width="3.28515625" style="28" customWidth="1"/>
    <col min="29" max="29" width="21.5703125" style="28" bestFit="1" customWidth="1"/>
    <col min="30" max="30" width="11.85546875" style="28" bestFit="1" customWidth="1"/>
    <col min="31" max="31" width="13.42578125" style="28" bestFit="1" customWidth="1"/>
    <col min="32" max="33" width="11.85546875" style="28" customWidth="1"/>
    <col min="34" max="34" width="23" style="28" customWidth="1"/>
    <col min="35" max="35" width="20" style="28" customWidth="1"/>
    <col min="36" max="36" width="15.140625" style="28" bestFit="1" customWidth="1"/>
    <col min="37" max="37" width="11.85546875" style="28" customWidth="1"/>
    <col min="38" max="38" width="12.42578125" style="28" customWidth="1"/>
    <col min="39" max="39" width="12.28515625" style="28" customWidth="1"/>
    <col min="40" max="260" width="11.42578125" style="28"/>
    <col min="261" max="261" width="30.140625" style="28" bestFit="1" customWidth="1"/>
    <col min="262" max="262" width="13.5703125" style="28" bestFit="1" customWidth="1"/>
    <col min="263" max="263" width="11.85546875" style="28" customWidth="1"/>
    <col min="264" max="264" width="13" style="28" bestFit="1" customWidth="1"/>
    <col min="265" max="265" width="13" style="28" customWidth="1"/>
    <col min="266" max="267" width="12.5703125" style="28" customWidth="1"/>
    <col min="268" max="268" width="14.28515625" style="28" customWidth="1"/>
    <col min="269" max="269" width="15.42578125" style="28" customWidth="1"/>
    <col min="270" max="270" width="11.42578125" style="28"/>
    <col min="271" max="271" width="13.85546875" style="28" customWidth="1"/>
    <col min="272" max="272" width="14.140625" style="28" customWidth="1"/>
    <col min="273" max="273" width="14.5703125" style="28" customWidth="1"/>
    <col min="274" max="274" width="9.5703125" style="28" customWidth="1"/>
    <col min="275" max="275" width="10.28515625" style="28" customWidth="1"/>
    <col min="276" max="276" width="8.85546875" style="28" customWidth="1"/>
    <col min="277" max="277" width="10.42578125" style="28" customWidth="1"/>
    <col min="278" max="278" width="11.5703125" style="28" customWidth="1"/>
    <col min="279" max="279" width="3.28515625" style="28" customWidth="1"/>
    <col min="280" max="280" width="12.7109375" style="28" customWidth="1"/>
    <col min="281" max="284" width="11.42578125" style="28"/>
    <col min="285" max="285" width="3.28515625" style="28" customWidth="1"/>
    <col min="286" max="286" width="11.42578125" style="28"/>
    <col min="287" max="287" width="13.42578125" style="28" bestFit="1" customWidth="1"/>
    <col min="288" max="288" width="14" style="28" bestFit="1" customWidth="1"/>
    <col min="289" max="289" width="16.140625" style="28" bestFit="1" customWidth="1"/>
    <col min="290" max="290" width="16.140625" style="28" customWidth="1"/>
    <col min="291" max="516" width="11.42578125" style="28"/>
    <col min="517" max="517" width="30.140625" style="28" bestFit="1" customWidth="1"/>
    <col min="518" max="518" width="13.5703125" style="28" bestFit="1" customWidth="1"/>
    <col min="519" max="519" width="11.85546875" style="28" customWidth="1"/>
    <col min="520" max="520" width="13" style="28" bestFit="1" customWidth="1"/>
    <col min="521" max="521" width="13" style="28" customWidth="1"/>
    <col min="522" max="523" width="12.5703125" style="28" customWidth="1"/>
    <col min="524" max="524" width="14.28515625" style="28" customWidth="1"/>
    <col min="525" max="525" width="15.42578125" style="28" customWidth="1"/>
    <col min="526" max="526" width="11.42578125" style="28"/>
    <col min="527" max="527" width="13.85546875" style="28" customWidth="1"/>
    <col min="528" max="528" width="14.140625" style="28" customWidth="1"/>
    <col min="529" max="529" width="14.5703125" style="28" customWidth="1"/>
    <col min="530" max="530" width="9.5703125" style="28" customWidth="1"/>
    <col min="531" max="531" width="10.28515625" style="28" customWidth="1"/>
    <col min="532" max="532" width="8.85546875" style="28" customWidth="1"/>
    <col min="533" max="533" width="10.42578125" style="28" customWidth="1"/>
    <col min="534" max="534" width="11.5703125" style="28" customWidth="1"/>
    <col min="535" max="535" width="3.28515625" style="28" customWidth="1"/>
    <col min="536" max="536" width="12.7109375" style="28" customWidth="1"/>
    <col min="537" max="540" width="11.42578125" style="28"/>
    <col min="541" max="541" width="3.28515625" style="28" customWidth="1"/>
    <col min="542" max="542" width="11.42578125" style="28"/>
    <col min="543" max="543" width="13.42578125" style="28" bestFit="1" customWidth="1"/>
    <col min="544" max="544" width="14" style="28" bestFit="1" customWidth="1"/>
    <col min="545" max="545" width="16.140625" style="28" bestFit="1" customWidth="1"/>
    <col min="546" max="546" width="16.140625" style="28" customWidth="1"/>
    <col min="547" max="772" width="11.42578125" style="28"/>
    <col min="773" max="773" width="30.140625" style="28" bestFit="1" customWidth="1"/>
    <col min="774" max="774" width="13.5703125" style="28" bestFit="1" customWidth="1"/>
    <col min="775" max="775" width="11.85546875" style="28" customWidth="1"/>
    <col min="776" max="776" width="13" style="28" bestFit="1" customWidth="1"/>
    <col min="777" max="777" width="13" style="28" customWidth="1"/>
    <col min="778" max="779" width="12.5703125" style="28" customWidth="1"/>
    <col min="780" max="780" width="14.28515625" style="28" customWidth="1"/>
    <col min="781" max="781" width="15.42578125" style="28" customWidth="1"/>
    <col min="782" max="782" width="11.42578125" style="28"/>
    <col min="783" max="783" width="13.85546875" style="28" customWidth="1"/>
    <col min="784" max="784" width="14.140625" style="28" customWidth="1"/>
    <col min="785" max="785" width="14.5703125" style="28" customWidth="1"/>
    <col min="786" max="786" width="9.5703125" style="28" customWidth="1"/>
    <col min="787" max="787" width="10.28515625" style="28" customWidth="1"/>
    <col min="788" max="788" width="8.85546875" style="28" customWidth="1"/>
    <col min="789" max="789" width="10.42578125" style="28" customWidth="1"/>
    <col min="790" max="790" width="11.5703125" style="28" customWidth="1"/>
    <col min="791" max="791" width="3.28515625" style="28" customWidth="1"/>
    <col min="792" max="792" width="12.7109375" style="28" customWidth="1"/>
    <col min="793" max="796" width="11.42578125" style="28"/>
    <col min="797" max="797" width="3.28515625" style="28" customWidth="1"/>
    <col min="798" max="798" width="11.42578125" style="28"/>
    <col min="799" max="799" width="13.42578125" style="28" bestFit="1" customWidth="1"/>
    <col min="800" max="800" width="14" style="28" bestFit="1" customWidth="1"/>
    <col min="801" max="801" width="16.140625" style="28" bestFit="1" customWidth="1"/>
    <col min="802" max="802" width="16.140625" style="28" customWidth="1"/>
    <col min="803" max="1028" width="11.42578125" style="28"/>
    <col min="1029" max="1029" width="30.140625" style="28" bestFit="1" customWidth="1"/>
    <col min="1030" max="1030" width="13.5703125" style="28" bestFit="1" customWidth="1"/>
    <col min="1031" max="1031" width="11.85546875" style="28" customWidth="1"/>
    <col min="1032" max="1032" width="13" style="28" bestFit="1" customWidth="1"/>
    <col min="1033" max="1033" width="13" style="28" customWidth="1"/>
    <col min="1034" max="1035" width="12.5703125" style="28" customWidth="1"/>
    <col min="1036" max="1036" width="14.28515625" style="28" customWidth="1"/>
    <col min="1037" max="1037" width="15.42578125" style="28" customWidth="1"/>
    <col min="1038" max="1038" width="11.42578125" style="28"/>
    <col min="1039" max="1039" width="13.85546875" style="28" customWidth="1"/>
    <col min="1040" max="1040" width="14.140625" style="28" customWidth="1"/>
    <col min="1041" max="1041" width="14.5703125" style="28" customWidth="1"/>
    <col min="1042" max="1042" width="9.5703125" style="28" customWidth="1"/>
    <col min="1043" max="1043" width="10.28515625" style="28" customWidth="1"/>
    <col min="1044" max="1044" width="8.85546875" style="28" customWidth="1"/>
    <col min="1045" max="1045" width="10.42578125" style="28" customWidth="1"/>
    <col min="1046" max="1046" width="11.5703125" style="28" customWidth="1"/>
    <col min="1047" max="1047" width="3.28515625" style="28" customWidth="1"/>
    <col min="1048" max="1048" width="12.7109375" style="28" customWidth="1"/>
    <col min="1049" max="1052" width="11.42578125" style="28"/>
    <col min="1053" max="1053" width="3.28515625" style="28" customWidth="1"/>
    <col min="1054" max="1054" width="11.42578125" style="28"/>
    <col min="1055" max="1055" width="13.42578125" style="28" bestFit="1" customWidth="1"/>
    <col min="1056" max="1056" width="14" style="28" bestFit="1" customWidth="1"/>
    <col min="1057" max="1057" width="16.140625" style="28" bestFit="1" customWidth="1"/>
    <col min="1058" max="1058" width="16.140625" style="28" customWidth="1"/>
    <col min="1059" max="1284" width="11.42578125" style="28"/>
    <col min="1285" max="1285" width="30.140625" style="28" bestFit="1" customWidth="1"/>
    <col min="1286" max="1286" width="13.5703125" style="28" bestFit="1" customWidth="1"/>
    <col min="1287" max="1287" width="11.85546875" style="28" customWidth="1"/>
    <col min="1288" max="1288" width="13" style="28" bestFit="1" customWidth="1"/>
    <col min="1289" max="1289" width="13" style="28" customWidth="1"/>
    <col min="1290" max="1291" width="12.5703125" style="28" customWidth="1"/>
    <col min="1292" max="1292" width="14.28515625" style="28" customWidth="1"/>
    <col min="1293" max="1293" width="15.42578125" style="28" customWidth="1"/>
    <col min="1294" max="1294" width="11.42578125" style="28"/>
    <col min="1295" max="1295" width="13.85546875" style="28" customWidth="1"/>
    <col min="1296" max="1296" width="14.140625" style="28" customWidth="1"/>
    <col min="1297" max="1297" width="14.5703125" style="28" customWidth="1"/>
    <col min="1298" max="1298" width="9.5703125" style="28" customWidth="1"/>
    <col min="1299" max="1299" width="10.28515625" style="28" customWidth="1"/>
    <col min="1300" max="1300" width="8.85546875" style="28" customWidth="1"/>
    <col min="1301" max="1301" width="10.42578125" style="28" customWidth="1"/>
    <col min="1302" max="1302" width="11.5703125" style="28" customWidth="1"/>
    <col min="1303" max="1303" width="3.28515625" style="28" customWidth="1"/>
    <col min="1304" max="1304" width="12.7109375" style="28" customWidth="1"/>
    <col min="1305" max="1308" width="11.42578125" style="28"/>
    <col min="1309" max="1309" width="3.28515625" style="28" customWidth="1"/>
    <col min="1310" max="1310" width="11.42578125" style="28"/>
    <col min="1311" max="1311" width="13.42578125" style="28" bestFit="1" customWidth="1"/>
    <col min="1312" max="1312" width="14" style="28" bestFit="1" customWidth="1"/>
    <col min="1313" max="1313" width="16.140625" style="28" bestFit="1" customWidth="1"/>
    <col min="1314" max="1314" width="16.140625" style="28" customWidth="1"/>
    <col min="1315" max="1540" width="11.42578125" style="28"/>
    <col min="1541" max="1541" width="30.140625" style="28" bestFit="1" customWidth="1"/>
    <col min="1542" max="1542" width="13.5703125" style="28" bestFit="1" customWidth="1"/>
    <col min="1543" max="1543" width="11.85546875" style="28" customWidth="1"/>
    <col min="1544" max="1544" width="13" style="28" bestFit="1" customWidth="1"/>
    <col min="1545" max="1545" width="13" style="28" customWidth="1"/>
    <col min="1546" max="1547" width="12.5703125" style="28" customWidth="1"/>
    <col min="1548" max="1548" width="14.28515625" style="28" customWidth="1"/>
    <col min="1549" max="1549" width="15.42578125" style="28" customWidth="1"/>
    <col min="1550" max="1550" width="11.42578125" style="28"/>
    <col min="1551" max="1551" width="13.85546875" style="28" customWidth="1"/>
    <col min="1552" max="1552" width="14.140625" style="28" customWidth="1"/>
    <col min="1553" max="1553" width="14.5703125" style="28" customWidth="1"/>
    <col min="1554" max="1554" width="9.5703125" style="28" customWidth="1"/>
    <col min="1555" max="1555" width="10.28515625" style="28" customWidth="1"/>
    <col min="1556" max="1556" width="8.85546875" style="28" customWidth="1"/>
    <col min="1557" max="1557" width="10.42578125" style="28" customWidth="1"/>
    <col min="1558" max="1558" width="11.5703125" style="28" customWidth="1"/>
    <col min="1559" max="1559" width="3.28515625" style="28" customWidth="1"/>
    <col min="1560" max="1560" width="12.7109375" style="28" customWidth="1"/>
    <col min="1561" max="1564" width="11.42578125" style="28"/>
    <col min="1565" max="1565" width="3.28515625" style="28" customWidth="1"/>
    <col min="1566" max="1566" width="11.42578125" style="28"/>
    <col min="1567" max="1567" width="13.42578125" style="28" bestFit="1" customWidth="1"/>
    <col min="1568" max="1568" width="14" style="28" bestFit="1" customWidth="1"/>
    <col min="1569" max="1569" width="16.140625" style="28" bestFit="1" customWidth="1"/>
    <col min="1570" max="1570" width="16.140625" style="28" customWidth="1"/>
    <col min="1571" max="1796" width="11.42578125" style="28"/>
    <col min="1797" max="1797" width="30.140625" style="28" bestFit="1" customWidth="1"/>
    <col min="1798" max="1798" width="13.5703125" style="28" bestFit="1" customWidth="1"/>
    <col min="1799" max="1799" width="11.85546875" style="28" customWidth="1"/>
    <col min="1800" max="1800" width="13" style="28" bestFit="1" customWidth="1"/>
    <col min="1801" max="1801" width="13" style="28" customWidth="1"/>
    <col min="1802" max="1803" width="12.5703125" style="28" customWidth="1"/>
    <col min="1804" max="1804" width="14.28515625" style="28" customWidth="1"/>
    <col min="1805" max="1805" width="15.42578125" style="28" customWidth="1"/>
    <col min="1806" max="1806" width="11.42578125" style="28"/>
    <col min="1807" max="1807" width="13.85546875" style="28" customWidth="1"/>
    <col min="1808" max="1808" width="14.140625" style="28" customWidth="1"/>
    <col min="1809" max="1809" width="14.5703125" style="28" customWidth="1"/>
    <col min="1810" max="1810" width="9.5703125" style="28" customWidth="1"/>
    <col min="1811" max="1811" width="10.28515625" style="28" customWidth="1"/>
    <col min="1812" max="1812" width="8.85546875" style="28" customWidth="1"/>
    <col min="1813" max="1813" width="10.42578125" style="28" customWidth="1"/>
    <col min="1814" max="1814" width="11.5703125" style="28" customWidth="1"/>
    <col min="1815" max="1815" width="3.28515625" style="28" customWidth="1"/>
    <col min="1816" max="1816" width="12.7109375" style="28" customWidth="1"/>
    <col min="1817" max="1820" width="11.42578125" style="28"/>
    <col min="1821" max="1821" width="3.28515625" style="28" customWidth="1"/>
    <col min="1822" max="1822" width="11.42578125" style="28"/>
    <col min="1823" max="1823" width="13.42578125" style="28" bestFit="1" customWidth="1"/>
    <col min="1824" max="1824" width="14" style="28" bestFit="1" customWidth="1"/>
    <col min="1825" max="1825" width="16.140625" style="28" bestFit="1" customWidth="1"/>
    <col min="1826" max="1826" width="16.140625" style="28" customWidth="1"/>
    <col min="1827" max="2052" width="11.42578125" style="28"/>
    <col min="2053" max="2053" width="30.140625" style="28" bestFit="1" customWidth="1"/>
    <col min="2054" max="2054" width="13.5703125" style="28" bestFit="1" customWidth="1"/>
    <col min="2055" max="2055" width="11.85546875" style="28" customWidth="1"/>
    <col min="2056" max="2056" width="13" style="28" bestFit="1" customWidth="1"/>
    <col min="2057" max="2057" width="13" style="28" customWidth="1"/>
    <col min="2058" max="2059" width="12.5703125" style="28" customWidth="1"/>
    <col min="2060" max="2060" width="14.28515625" style="28" customWidth="1"/>
    <col min="2061" max="2061" width="15.42578125" style="28" customWidth="1"/>
    <col min="2062" max="2062" width="11.42578125" style="28"/>
    <col min="2063" max="2063" width="13.85546875" style="28" customWidth="1"/>
    <col min="2064" max="2064" width="14.140625" style="28" customWidth="1"/>
    <col min="2065" max="2065" width="14.5703125" style="28" customWidth="1"/>
    <col min="2066" max="2066" width="9.5703125" style="28" customWidth="1"/>
    <col min="2067" max="2067" width="10.28515625" style="28" customWidth="1"/>
    <col min="2068" max="2068" width="8.85546875" style="28" customWidth="1"/>
    <col min="2069" max="2069" width="10.42578125" style="28" customWidth="1"/>
    <col min="2070" max="2070" width="11.5703125" style="28" customWidth="1"/>
    <col min="2071" max="2071" width="3.28515625" style="28" customWidth="1"/>
    <col min="2072" max="2072" width="12.7109375" style="28" customWidth="1"/>
    <col min="2073" max="2076" width="11.42578125" style="28"/>
    <col min="2077" max="2077" width="3.28515625" style="28" customWidth="1"/>
    <col min="2078" max="2078" width="11.42578125" style="28"/>
    <col min="2079" max="2079" width="13.42578125" style="28" bestFit="1" customWidth="1"/>
    <col min="2080" max="2080" width="14" style="28" bestFit="1" customWidth="1"/>
    <col min="2081" max="2081" width="16.140625" style="28" bestFit="1" customWidth="1"/>
    <col min="2082" max="2082" width="16.140625" style="28" customWidth="1"/>
    <col min="2083" max="2308" width="11.42578125" style="28"/>
    <col min="2309" max="2309" width="30.140625" style="28" bestFit="1" customWidth="1"/>
    <col min="2310" max="2310" width="13.5703125" style="28" bestFit="1" customWidth="1"/>
    <col min="2311" max="2311" width="11.85546875" style="28" customWidth="1"/>
    <col min="2312" max="2312" width="13" style="28" bestFit="1" customWidth="1"/>
    <col min="2313" max="2313" width="13" style="28" customWidth="1"/>
    <col min="2314" max="2315" width="12.5703125" style="28" customWidth="1"/>
    <col min="2316" max="2316" width="14.28515625" style="28" customWidth="1"/>
    <col min="2317" max="2317" width="15.42578125" style="28" customWidth="1"/>
    <col min="2318" max="2318" width="11.42578125" style="28"/>
    <col min="2319" max="2319" width="13.85546875" style="28" customWidth="1"/>
    <col min="2320" max="2320" width="14.140625" style="28" customWidth="1"/>
    <col min="2321" max="2321" width="14.5703125" style="28" customWidth="1"/>
    <col min="2322" max="2322" width="9.5703125" style="28" customWidth="1"/>
    <col min="2323" max="2323" width="10.28515625" style="28" customWidth="1"/>
    <col min="2324" max="2324" width="8.85546875" style="28" customWidth="1"/>
    <col min="2325" max="2325" width="10.42578125" style="28" customWidth="1"/>
    <col min="2326" max="2326" width="11.5703125" style="28" customWidth="1"/>
    <col min="2327" max="2327" width="3.28515625" style="28" customWidth="1"/>
    <col min="2328" max="2328" width="12.7109375" style="28" customWidth="1"/>
    <col min="2329" max="2332" width="11.42578125" style="28"/>
    <col min="2333" max="2333" width="3.28515625" style="28" customWidth="1"/>
    <col min="2334" max="2334" width="11.42578125" style="28"/>
    <col min="2335" max="2335" width="13.42578125" style="28" bestFit="1" customWidth="1"/>
    <col min="2336" max="2336" width="14" style="28" bestFit="1" customWidth="1"/>
    <col min="2337" max="2337" width="16.140625" style="28" bestFit="1" customWidth="1"/>
    <col min="2338" max="2338" width="16.140625" style="28" customWidth="1"/>
    <col min="2339" max="2564" width="11.42578125" style="28"/>
    <col min="2565" max="2565" width="30.140625" style="28" bestFit="1" customWidth="1"/>
    <col min="2566" max="2566" width="13.5703125" style="28" bestFit="1" customWidth="1"/>
    <col min="2567" max="2567" width="11.85546875" style="28" customWidth="1"/>
    <col min="2568" max="2568" width="13" style="28" bestFit="1" customWidth="1"/>
    <col min="2569" max="2569" width="13" style="28" customWidth="1"/>
    <col min="2570" max="2571" width="12.5703125" style="28" customWidth="1"/>
    <col min="2572" max="2572" width="14.28515625" style="28" customWidth="1"/>
    <col min="2573" max="2573" width="15.42578125" style="28" customWidth="1"/>
    <col min="2574" max="2574" width="11.42578125" style="28"/>
    <col min="2575" max="2575" width="13.85546875" style="28" customWidth="1"/>
    <col min="2576" max="2576" width="14.140625" style="28" customWidth="1"/>
    <col min="2577" max="2577" width="14.5703125" style="28" customWidth="1"/>
    <col min="2578" max="2578" width="9.5703125" style="28" customWidth="1"/>
    <col min="2579" max="2579" width="10.28515625" style="28" customWidth="1"/>
    <col min="2580" max="2580" width="8.85546875" style="28" customWidth="1"/>
    <col min="2581" max="2581" width="10.42578125" style="28" customWidth="1"/>
    <col min="2582" max="2582" width="11.5703125" style="28" customWidth="1"/>
    <col min="2583" max="2583" width="3.28515625" style="28" customWidth="1"/>
    <col min="2584" max="2584" width="12.7109375" style="28" customWidth="1"/>
    <col min="2585" max="2588" width="11.42578125" style="28"/>
    <col min="2589" max="2589" width="3.28515625" style="28" customWidth="1"/>
    <col min="2590" max="2590" width="11.42578125" style="28"/>
    <col min="2591" max="2591" width="13.42578125" style="28" bestFit="1" customWidth="1"/>
    <col min="2592" max="2592" width="14" style="28" bestFit="1" customWidth="1"/>
    <col min="2593" max="2593" width="16.140625" style="28" bestFit="1" customWidth="1"/>
    <col min="2594" max="2594" width="16.140625" style="28" customWidth="1"/>
    <col min="2595" max="2820" width="11.42578125" style="28"/>
    <col min="2821" max="2821" width="30.140625" style="28" bestFit="1" customWidth="1"/>
    <col min="2822" max="2822" width="13.5703125" style="28" bestFit="1" customWidth="1"/>
    <col min="2823" max="2823" width="11.85546875" style="28" customWidth="1"/>
    <col min="2824" max="2824" width="13" style="28" bestFit="1" customWidth="1"/>
    <col min="2825" max="2825" width="13" style="28" customWidth="1"/>
    <col min="2826" max="2827" width="12.5703125" style="28" customWidth="1"/>
    <col min="2828" max="2828" width="14.28515625" style="28" customWidth="1"/>
    <col min="2829" max="2829" width="15.42578125" style="28" customWidth="1"/>
    <col min="2830" max="2830" width="11.42578125" style="28"/>
    <col min="2831" max="2831" width="13.85546875" style="28" customWidth="1"/>
    <col min="2832" max="2832" width="14.140625" style="28" customWidth="1"/>
    <col min="2833" max="2833" width="14.5703125" style="28" customWidth="1"/>
    <col min="2834" max="2834" width="9.5703125" style="28" customWidth="1"/>
    <col min="2835" max="2835" width="10.28515625" style="28" customWidth="1"/>
    <col min="2836" max="2836" width="8.85546875" style="28" customWidth="1"/>
    <col min="2837" max="2837" width="10.42578125" style="28" customWidth="1"/>
    <col min="2838" max="2838" width="11.5703125" style="28" customWidth="1"/>
    <col min="2839" max="2839" width="3.28515625" style="28" customWidth="1"/>
    <col min="2840" max="2840" width="12.7109375" style="28" customWidth="1"/>
    <col min="2841" max="2844" width="11.42578125" style="28"/>
    <col min="2845" max="2845" width="3.28515625" style="28" customWidth="1"/>
    <col min="2846" max="2846" width="11.42578125" style="28"/>
    <col min="2847" max="2847" width="13.42578125" style="28" bestFit="1" customWidth="1"/>
    <col min="2848" max="2848" width="14" style="28" bestFit="1" customWidth="1"/>
    <col min="2849" max="2849" width="16.140625" style="28" bestFit="1" customWidth="1"/>
    <col min="2850" max="2850" width="16.140625" style="28" customWidth="1"/>
    <col min="2851" max="3076" width="11.42578125" style="28"/>
    <col min="3077" max="3077" width="30.140625" style="28" bestFit="1" customWidth="1"/>
    <col min="3078" max="3078" width="13.5703125" style="28" bestFit="1" customWidth="1"/>
    <col min="3079" max="3079" width="11.85546875" style="28" customWidth="1"/>
    <col min="3080" max="3080" width="13" style="28" bestFit="1" customWidth="1"/>
    <col min="3081" max="3081" width="13" style="28" customWidth="1"/>
    <col min="3082" max="3083" width="12.5703125" style="28" customWidth="1"/>
    <col min="3084" max="3084" width="14.28515625" style="28" customWidth="1"/>
    <col min="3085" max="3085" width="15.42578125" style="28" customWidth="1"/>
    <col min="3086" max="3086" width="11.42578125" style="28"/>
    <col min="3087" max="3087" width="13.85546875" style="28" customWidth="1"/>
    <col min="3088" max="3088" width="14.140625" style="28" customWidth="1"/>
    <col min="3089" max="3089" width="14.5703125" style="28" customWidth="1"/>
    <col min="3090" max="3090" width="9.5703125" style="28" customWidth="1"/>
    <col min="3091" max="3091" width="10.28515625" style="28" customWidth="1"/>
    <col min="3092" max="3092" width="8.85546875" style="28" customWidth="1"/>
    <col min="3093" max="3093" width="10.42578125" style="28" customWidth="1"/>
    <col min="3094" max="3094" width="11.5703125" style="28" customWidth="1"/>
    <col min="3095" max="3095" width="3.28515625" style="28" customWidth="1"/>
    <col min="3096" max="3096" width="12.7109375" style="28" customWidth="1"/>
    <col min="3097" max="3100" width="11.42578125" style="28"/>
    <col min="3101" max="3101" width="3.28515625" style="28" customWidth="1"/>
    <col min="3102" max="3102" width="11.42578125" style="28"/>
    <col min="3103" max="3103" width="13.42578125" style="28" bestFit="1" customWidth="1"/>
    <col min="3104" max="3104" width="14" style="28" bestFit="1" customWidth="1"/>
    <col min="3105" max="3105" width="16.140625" style="28" bestFit="1" customWidth="1"/>
    <col min="3106" max="3106" width="16.140625" style="28" customWidth="1"/>
    <col min="3107" max="3332" width="11.42578125" style="28"/>
    <col min="3333" max="3333" width="30.140625" style="28" bestFit="1" customWidth="1"/>
    <col min="3334" max="3334" width="13.5703125" style="28" bestFit="1" customWidth="1"/>
    <col min="3335" max="3335" width="11.85546875" style="28" customWidth="1"/>
    <col min="3336" max="3336" width="13" style="28" bestFit="1" customWidth="1"/>
    <col min="3337" max="3337" width="13" style="28" customWidth="1"/>
    <col min="3338" max="3339" width="12.5703125" style="28" customWidth="1"/>
    <col min="3340" max="3340" width="14.28515625" style="28" customWidth="1"/>
    <col min="3341" max="3341" width="15.42578125" style="28" customWidth="1"/>
    <col min="3342" max="3342" width="11.42578125" style="28"/>
    <col min="3343" max="3343" width="13.85546875" style="28" customWidth="1"/>
    <col min="3344" max="3344" width="14.140625" style="28" customWidth="1"/>
    <col min="3345" max="3345" width="14.5703125" style="28" customWidth="1"/>
    <col min="3346" max="3346" width="9.5703125" style="28" customWidth="1"/>
    <col min="3347" max="3347" width="10.28515625" style="28" customWidth="1"/>
    <col min="3348" max="3348" width="8.85546875" style="28" customWidth="1"/>
    <col min="3349" max="3349" width="10.42578125" style="28" customWidth="1"/>
    <col min="3350" max="3350" width="11.5703125" style="28" customWidth="1"/>
    <col min="3351" max="3351" width="3.28515625" style="28" customWidth="1"/>
    <col min="3352" max="3352" width="12.7109375" style="28" customWidth="1"/>
    <col min="3353" max="3356" width="11.42578125" style="28"/>
    <col min="3357" max="3357" width="3.28515625" style="28" customWidth="1"/>
    <col min="3358" max="3358" width="11.42578125" style="28"/>
    <col min="3359" max="3359" width="13.42578125" style="28" bestFit="1" customWidth="1"/>
    <col min="3360" max="3360" width="14" style="28" bestFit="1" customWidth="1"/>
    <col min="3361" max="3361" width="16.140625" style="28" bestFit="1" customWidth="1"/>
    <col min="3362" max="3362" width="16.140625" style="28" customWidth="1"/>
    <col min="3363" max="3588" width="11.42578125" style="28"/>
    <col min="3589" max="3589" width="30.140625" style="28" bestFit="1" customWidth="1"/>
    <col min="3590" max="3590" width="13.5703125" style="28" bestFit="1" customWidth="1"/>
    <col min="3591" max="3591" width="11.85546875" style="28" customWidth="1"/>
    <col min="3592" max="3592" width="13" style="28" bestFit="1" customWidth="1"/>
    <col min="3593" max="3593" width="13" style="28" customWidth="1"/>
    <col min="3594" max="3595" width="12.5703125" style="28" customWidth="1"/>
    <col min="3596" max="3596" width="14.28515625" style="28" customWidth="1"/>
    <col min="3597" max="3597" width="15.42578125" style="28" customWidth="1"/>
    <col min="3598" max="3598" width="11.42578125" style="28"/>
    <col min="3599" max="3599" width="13.85546875" style="28" customWidth="1"/>
    <col min="3600" max="3600" width="14.140625" style="28" customWidth="1"/>
    <col min="3601" max="3601" width="14.5703125" style="28" customWidth="1"/>
    <col min="3602" max="3602" width="9.5703125" style="28" customWidth="1"/>
    <col min="3603" max="3603" width="10.28515625" style="28" customWidth="1"/>
    <col min="3604" max="3604" width="8.85546875" style="28" customWidth="1"/>
    <col min="3605" max="3605" width="10.42578125" style="28" customWidth="1"/>
    <col min="3606" max="3606" width="11.5703125" style="28" customWidth="1"/>
    <col min="3607" max="3607" width="3.28515625" style="28" customWidth="1"/>
    <col min="3608" max="3608" width="12.7109375" style="28" customWidth="1"/>
    <col min="3609" max="3612" width="11.42578125" style="28"/>
    <col min="3613" max="3613" width="3.28515625" style="28" customWidth="1"/>
    <col min="3614" max="3614" width="11.42578125" style="28"/>
    <col min="3615" max="3615" width="13.42578125" style="28" bestFit="1" customWidth="1"/>
    <col min="3616" max="3616" width="14" style="28" bestFit="1" customWidth="1"/>
    <col min="3617" max="3617" width="16.140625" style="28" bestFit="1" customWidth="1"/>
    <col min="3618" max="3618" width="16.140625" style="28" customWidth="1"/>
    <col min="3619" max="3844" width="11.42578125" style="28"/>
    <col min="3845" max="3845" width="30.140625" style="28" bestFit="1" customWidth="1"/>
    <col min="3846" max="3846" width="13.5703125" style="28" bestFit="1" customWidth="1"/>
    <col min="3847" max="3847" width="11.85546875" style="28" customWidth="1"/>
    <col min="3848" max="3848" width="13" style="28" bestFit="1" customWidth="1"/>
    <col min="3849" max="3849" width="13" style="28" customWidth="1"/>
    <col min="3850" max="3851" width="12.5703125" style="28" customWidth="1"/>
    <col min="3852" max="3852" width="14.28515625" style="28" customWidth="1"/>
    <col min="3853" max="3853" width="15.42578125" style="28" customWidth="1"/>
    <col min="3854" max="3854" width="11.42578125" style="28"/>
    <col min="3855" max="3855" width="13.85546875" style="28" customWidth="1"/>
    <col min="3856" max="3856" width="14.140625" style="28" customWidth="1"/>
    <col min="3857" max="3857" width="14.5703125" style="28" customWidth="1"/>
    <col min="3858" max="3858" width="9.5703125" style="28" customWidth="1"/>
    <col min="3859" max="3859" width="10.28515625" style="28" customWidth="1"/>
    <col min="3860" max="3860" width="8.85546875" style="28" customWidth="1"/>
    <col min="3861" max="3861" width="10.42578125" style="28" customWidth="1"/>
    <col min="3862" max="3862" width="11.5703125" style="28" customWidth="1"/>
    <col min="3863" max="3863" width="3.28515625" style="28" customWidth="1"/>
    <col min="3864" max="3864" width="12.7109375" style="28" customWidth="1"/>
    <col min="3865" max="3868" width="11.42578125" style="28"/>
    <col min="3869" max="3869" width="3.28515625" style="28" customWidth="1"/>
    <col min="3870" max="3870" width="11.42578125" style="28"/>
    <col min="3871" max="3871" width="13.42578125" style="28" bestFit="1" customWidth="1"/>
    <col min="3872" max="3872" width="14" style="28" bestFit="1" customWidth="1"/>
    <col min="3873" max="3873" width="16.140625" style="28" bestFit="1" customWidth="1"/>
    <col min="3874" max="3874" width="16.140625" style="28" customWidth="1"/>
    <col min="3875" max="4100" width="11.42578125" style="28"/>
    <col min="4101" max="4101" width="30.140625" style="28" bestFit="1" customWidth="1"/>
    <col min="4102" max="4102" width="13.5703125" style="28" bestFit="1" customWidth="1"/>
    <col min="4103" max="4103" width="11.85546875" style="28" customWidth="1"/>
    <col min="4104" max="4104" width="13" style="28" bestFit="1" customWidth="1"/>
    <col min="4105" max="4105" width="13" style="28" customWidth="1"/>
    <col min="4106" max="4107" width="12.5703125" style="28" customWidth="1"/>
    <col min="4108" max="4108" width="14.28515625" style="28" customWidth="1"/>
    <col min="4109" max="4109" width="15.42578125" style="28" customWidth="1"/>
    <col min="4110" max="4110" width="11.42578125" style="28"/>
    <col min="4111" max="4111" width="13.85546875" style="28" customWidth="1"/>
    <col min="4112" max="4112" width="14.140625" style="28" customWidth="1"/>
    <col min="4113" max="4113" width="14.5703125" style="28" customWidth="1"/>
    <col min="4114" max="4114" width="9.5703125" style="28" customWidth="1"/>
    <col min="4115" max="4115" width="10.28515625" style="28" customWidth="1"/>
    <col min="4116" max="4116" width="8.85546875" style="28" customWidth="1"/>
    <col min="4117" max="4117" width="10.42578125" style="28" customWidth="1"/>
    <col min="4118" max="4118" width="11.5703125" style="28" customWidth="1"/>
    <col min="4119" max="4119" width="3.28515625" style="28" customWidth="1"/>
    <col min="4120" max="4120" width="12.7109375" style="28" customWidth="1"/>
    <col min="4121" max="4124" width="11.42578125" style="28"/>
    <col min="4125" max="4125" width="3.28515625" style="28" customWidth="1"/>
    <col min="4126" max="4126" width="11.42578125" style="28"/>
    <col min="4127" max="4127" width="13.42578125" style="28" bestFit="1" customWidth="1"/>
    <col min="4128" max="4128" width="14" style="28" bestFit="1" customWidth="1"/>
    <col min="4129" max="4129" width="16.140625" style="28" bestFit="1" customWidth="1"/>
    <col min="4130" max="4130" width="16.140625" style="28" customWidth="1"/>
    <col min="4131" max="4356" width="11.42578125" style="28"/>
    <col min="4357" max="4357" width="30.140625" style="28" bestFit="1" customWidth="1"/>
    <col min="4358" max="4358" width="13.5703125" style="28" bestFit="1" customWidth="1"/>
    <col min="4359" max="4359" width="11.85546875" style="28" customWidth="1"/>
    <col min="4360" max="4360" width="13" style="28" bestFit="1" customWidth="1"/>
    <col min="4361" max="4361" width="13" style="28" customWidth="1"/>
    <col min="4362" max="4363" width="12.5703125" style="28" customWidth="1"/>
    <col min="4364" max="4364" width="14.28515625" style="28" customWidth="1"/>
    <col min="4365" max="4365" width="15.42578125" style="28" customWidth="1"/>
    <col min="4366" max="4366" width="11.42578125" style="28"/>
    <col min="4367" max="4367" width="13.85546875" style="28" customWidth="1"/>
    <col min="4368" max="4368" width="14.140625" style="28" customWidth="1"/>
    <col min="4369" max="4369" width="14.5703125" style="28" customWidth="1"/>
    <col min="4370" max="4370" width="9.5703125" style="28" customWidth="1"/>
    <col min="4371" max="4371" width="10.28515625" style="28" customWidth="1"/>
    <col min="4372" max="4372" width="8.85546875" style="28" customWidth="1"/>
    <col min="4373" max="4373" width="10.42578125" style="28" customWidth="1"/>
    <col min="4374" max="4374" width="11.5703125" style="28" customWidth="1"/>
    <col min="4375" max="4375" width="3.28515625" style="28" customWidth="1"/>
    <col min="4376" max="4376" width="12.7109375" style="28" customWidth="1"/>
    <col min="4377" max="4380" width="11.42578125" style="28"/>
    <col min="4381" max="4381" width="3.28515625" style="28" customWidth="1"/>
    <col min="4382" max="4382" width="11.42578125" style="28"/>
    <col min="4383" max="4383" width="13.42578125" style="28" bestFit="1" customWidth="1"/>
    <col min="4384" max="4384" width="14" style="28" bestFit="1" customWidth="1"/>
    <col min="4385" max="4385" width="16.140625" style="28" bestFit="1" customWidth="1"/>
    <col min="4386" max="4386" width="16.140625" style="28" customWidth="1"/>
    <col min="4387" max="4612" width="11.42578125" style="28"/>
    <col min="4613" max="4613" width="30.140625" style="28" bestFit="1" customWidth="1"/>
    <col min="4614" max="4614" width="13.5703125" style="28" bestFit="1" customWidth="1"/>
    <col min="4615" max="4615" width="11.85546875" style="28" customWidth="1"/>
    <col min="4616" max="4616" width="13" style="28" bestFit="1" customWidth="1"/>
    <col min="4617" max="4617" width="13" style="28" customWidth="1"/>
    <col min="4618" max="4619" width="12.5703125" style="28" customWidth="1"/>
    <col min="4620" max="4620" width="14.28515625" style="28" customWidth="1"/>
    <col min="4621" max="4621" width="15.42578125" style="28" customWidth="1"/>
    <col min="4622" max="4622" width="11.42578125" style="28"/>
    <col min="4623" max="4623" width="13.85546875" style="28" customWidth="1"/>
    <col min="4624" max="4624" width="14.140625" style="28" customWidth="1"/>
    <col min="4625" max="4625" width="14.5703125" style="28" customWidth="1"/>
    <col min="4626" max="4626" width="9.5703125" style="28" customWidth="1"/>
    <col min="4627" max="4627" width="10.28515625" style="28" customWidth="1"/>
    <col min="4628" max="4628" width="8.85546875" style="28" customWidth="1"/>
    <col min="4629" max="4629" width="10.42578125" style="28" customWidth="1"/>
    <col min="4630" max="4630" width="11.5703125" style="28" customWidth="1"/>
    <col min="4631" max="4631" width="3.28515625" style="28" customWidth="1"/>
    <col min="4632" max="4632" width="12.7109375" style="28" customWidth="1"/>
    <col min="4633" max="4636" width="11.42578125" style="28"/>
    <col min="4637" max="4637" width="3.28515625" style="28" customWidth="1"/>
    <col min="4638" max="4638" width="11.42578125" style="28"/>
    <col min="4639" max="4639" width="13.42578125" style="28" bestFit="1" customWidth="1"/>
    <col min="4640" max="4640" width="14" style="28" bestFit="1" customWidth="1"/>
    <col min="4641" max="4641" width="16.140625" style="28" bestFit="1" customWidth="1"/>
    <col min="4642" max="4642" width="16.140625" style="28" customWidth="1"/>
    <col min="4643" max="4868" width="11.42578125" style="28"/>
    <col min="4869" max="4869" width="30.140625" style="28" bestFit="1" customWidth="1"/>
    <col min="4870" max="4870" width="13.5703125" style="28" bestFit="1" customWidth="1"/>
    <col min="4871" max="4871" width="11.85546875" style="28" customWidth="1"/>
    <col min="4872" max="4872" width="13" style="28" bestFit="1" customWidth="1"/>
    <col min="4873" max="4873" width="13" style="28" customWidth="1"/>
    <col min="4874" max="4875" width="12.5703125" style="28" customWidth="1"/>
    <col min="4876" max="4876" width="14.28515625" style="28" customWidth="1"/>
    <col min="4877" max="4877" width="15.42578125" style="28" customWidth="1"/>
    <col min="4878" max="4878" width="11.42578125" style="28"/>
    <col min="4879" max="4879" width="13.85546875" style="28" customWidth="1"/>
    <col min="4880" max="4880" width="14.140625" style="28" customWidth="1"/>
    <col min="4881" max="4881" width="14.5703125" style="28" customWidth="1"/>
    <col min="4882" max="4882" width="9.5703125" style="28" customWidth="1"/>
    <col min="4883" max="4883" width="10.28515625" style="28" customWidth="1"/>
    <col min="4884" max="4884" width="8.85546875" style="28" customWidth="1"/>
    <col min="4885" max="4885" width="10.42578125" style="28" customWidth="1"/>
    <col min="4886" max="4886" width="11.5703125" style="28" customWidth="1"/>
    <col min="4887" max="4887" width="3.28515625" style="28" customWidth="1"/>
    <col min="4888" max="4888" width="12.7109375" style="28" customWidth="1"/>
    <col min="4889" max="4892" width="11.42578125" style="28"/>
    <col min="4893" max="4893" width="3.28515625" style="28" customWidth="1"/>
    <col min="4894" max="4894" width="11.42578125" style="28"/>
    <col min="4895" max="4895" width="13.42578125" style="28" bestFit="1" customWidth="1"/>
    <col min="4896" max="4896" width="14" style="28" bestFit="1" customWidth="1"/>
    <col min="4897" max="4897" width="16.140625" style="28" bestFit="1" customWidth="1"/>
    <col min="4898" max="4898" width="16.140625" style="28" customWidth="1"/>
    <col min="4899" max="5124" width="11.42578125" style="28"/>
    <col min="5125" max="5125" width="30.140625" style="28" bestFit="1" customWidth="1"/>
    <col min="5126" max="5126" width="13.5703125" style="28" bestFit="1" customWidth="1"/>
    <col min="5127" max="5127" width="11.85546875" style="28" customWidth="1"/>
    <col min="5128" max="5128" width="13" style="28" bestFit="1" customWidth="1"/>
    <col min="5129" max="5129" width="13" style="28" customWidth="1"/>
    <col min="5130" max="5131" width="12.5703125" style="28" customWidth="1"/>
    <col min="5132" max="5132" width="14.28515625" style="28" customWidth="1"/>
    <col min="5133" max="5133" width="15.42578125" style="28" customWidth="1"/>
    <col min="5134" max="5134" width="11.42578125" style="28"/>
    <col min="5135" max="5135" width="13.85546875" style="28" customWidth="1"/>
    <col min="5136" max="5136" width="14.140625" style="28" customWidth="1"/>
    <col min="5137" max="5137" width="14.5703125" style="28" customWidth="1"/>
    <col min="5138" max="5138" width="9.5703125" style="28" customWidth="1"/>
    <col min="5139" max="5139" width="10.28515625" style="28" customWidth="1"/>
    <col min="5140" max="5140" width="8.85546875" style="28" customWidth="1"/>
    <col min="5141" max="5141" width="10.42578125" style="28" customWidth="1"/>
    <col min="5142" max="5142" width="11.5703125" style="28" customWidth="1"/>
    <col min="5143" max="5143" width="3.28515625" style="28" customWidth="1"/>
    <col min="5144" max="5144" width="12.7109375" style="28" customWidth="1"/>
    <col min="5145" max="5148" width="11.42578125" style="28"/>
    <col min="5149" max="5149" width="3.28515625" style="28" customWidth="1"/>
    <col min="5150" max="5150" width="11.42578125" style="28"/>
    <col min="5151" max="5151" width="13.42578125" style="28" bestFit="1" customWidth="1"/>
    <col min="5152" max="5152" width="14" style="28" bestFit="1" customWidth="1"/>
    <col min="5153" max="5153" width="16.140625" style="28" bestFit="1" customWidth="1"/>
    <col min="5154" max="5154" width="16.140625" style="28" customWidth="1"/>
    <col min="5155" max="5380" width="11.42578125" style="28"/>
    <col min="5381" max="5381" width="30.140625" style="28" bestFit="1" customWidth="1"/>
    <col min="5382" max="5382" width="13.5703125" style="28" bestFit="1" customWidth="1"/>
    <col min="5383" max="5383" width="11.85546875" style="28" customWidth="1"/>
    <col min="5384" max="5384" width="13" style="28" bestFit="1" customWidth="1"/>
    <col min="5385" max="5385" width="13" style="28" customWidth="1"/>
    <col min="5386" max="5387" width="12.5703125" style="28" customWidth="1"/>
    <col min="5388" max="5388" width="14.28515625" style="28" customWidth="1"/>
    <col min="5389" max="5389" width="15.42578125" style="28" customWidth="1"/>
    <col min="5390" max="5390" width="11.42578125" style="28"/>
    <col min="5391" max="5391" width="13.85546875" style="28" customWidth="1"/>
    <col min="5392" max="5392" width="14.140625" style="28" customWidth="1"/>
    <col min="5393" max="5393" width="14.5703125" style="28" customWidth="1"/>
    <col min="5394" max="5394" width="9.5703125" style="28" customWidth="1"/>
    <col min="5395" max="5395" width="10.28515625" style="28" customWidth="1"/>
    <col min="5396" max="5396" width="8.85546875" style="28" customWidth="1"/>
    <col min="5397" max="5397" width="10.42578125" style="28" customWidth="1"/>
    <col min="5398" max="5398" width="11.5703125" style="28" customWidth="1"/>
    <col min="5399" max="5399" width="3.28515625" style="28" customWidth="1"/>
    <col min="5400" max="5400" width="12.7109375" style="28" customWidth="1"/>
    <col min="5401" max="5404" width="11.42578125" style="28"/>
    <col min="5405" max="5405" width="3.28515625" style="28" customWidth="1"/>
    <col min="5406" max="5406" width="11.42578125" style="28"/>
    <col min="5407" max="5407" width="13.42578125" style="28" bestFit="1" customWidth="1"/>
    <col min="5408" max="5408" width="14" style="28" bestFit="1" customWidth="1"/>
    <col min="5409" max="5409" width="16.140625" style="28" bestFit="1" customWidth="1"/>
    <col min="5410" max="5410" width="16.140625" style="28" customWidth="1"/>
    <col min="5411" max="5636" width="11.42578125" style="28"/>
    <col min="5637" max="5637" width="30.140625" style="28" bestFit="1" customWidth="1"/>
    <col min="5638" max="5638" width="13.5703125" style="28" bestFit="1" customWidth="1"/>
    <col min="5639" max="5639" width="11.85546875" style="28" customWidth="1"/>
    <col min="5640" max="5640" width="13" style="28" bestFit="1" customWidth="1"/>
    <col min="5641" max="5641" width="13" style="28" customWidth="1"/>
    <col min="5642" max="5643" width="12.5703125" style="28" customWidth="1"/>
    <col min="5644" max="5644" width="14.28515625" style="28" customWidth="1"/>
    <col min="5645" max="5645" width="15.42578125" style="28" customWidth="1"/>
    <col min="5646" max="5646" width="11.42578125" style="28"/>
    <col min="5647" max="5647" width="13.85546875" style="28" customWidth="1"/>
    <col min="5648" max="5648" width="14.140625" style="28" customWidth="1"/>
    <col min="5649" max="5649" width="14.5703125" style="28" customWidth="1"/>
    <col min="5650" max="5650" width="9.5703125" style="28" customWidth="1"/>
    <col min="5651" max="5651" width="10.28515625" style="28" customWidth="1"/>
    <col min="5652" max="5652" width="8.85546875" style="28" customWidth="1"/>
    <col min="5653" max="5653" width="10.42578125" style="28" customWidth="1"/>
    <col min="5654" max="5654" width="11.5703125" style="28" customWidth="1"/>
    <col min="5655" max="5655" width="3.28515625" style="28" customWidth="1"/>
    <col min="5656" max="5656" width="12.7109375" style="28" customWidth="1"/>
    <col min="5657" max="5660" width="11.42578125" style="28"/>
    <col min="5661" max="5661" width="3.28515625" style="28" customWidth="1"/>
    <col min="5662" max="5662" width="11.42578125" style="28"/>
    <col min="5663" max="5663" width="13.42578125" style="28" bestFit="1" customWidth="1"/>
    <col min="5664" max="5664" width="14" style="28" bestFit="1" customWidth="1"/>
    <col min="5665" max="5665" width="16.140625" style="28" bestFit="1" customWidth="1"/>
    <col min="5666" max="5666" width="16.140625" style="28" customWidth="1"/>
    <col min="5667" max="5892" width="11.42578125" style="28"/>
    <col min="5893" max="5893" width="30.140625" style="28" bestFit="1" customWidth="1"/>
    <col min="5894" max="5894" width="13.5703125" style="28" bestFit="1" customWidth="1"/>
    <col min="5895" max="5895" width="11.85546875" style="28" customWidth="1"/>
    <col min="5896" max="5896" width="13" style="28" bestFit="1" customWidth="1"/>
    <col min="5897" max="5897" width="13" style="28" customWidth="1"/>
    <col min="5898" max="5899" width="12.5703125" style="28" customWidth="1"/>
    <col min="5900" max="5900" width="14.28515625" style="28" customWidth="1"/>
    <col min="5901" max="5901" width="15.42578125" style="28" customWidth="1"/>
    <col min="5902" max="5902" width="11.42578125" style="28"/>
    <col min="5903" max="5903" width="13.85546875" style="28" customWidth="1"/>
    <col min="5904" max="5904" width="14.140625" style="28" customWidth="1"/>
    <col min="5905" max="5905" width="14.5703125" style="28" customWidth="1"/>
    <col min="5906" max="5906" width="9.5703125" style="28" customWidth="1"/>
    <col min="5907" max="5907" width="10.28515625" style="28" customWidth="1"/>
    <col min="5908" max="5908" width="8.85546875" style="28" customWidth="1"/>
    <col min="5909" max="5909" width="10.42578125" style="28" customWidth="1"/>
    <col min="5910" max="5910" width="11.5703125" style="28" customWidth="1"/>
    <col min="5911" max="5911" width="3.28515625" style="28" customWidth="1"/>
    <col min="5912" max="5912" width="12.7109375" style="28" customWidth="1"/>
    <col min="5913" max="5916" width="11.42578125" style="28"/>
    <col min="5917" max="5917" width="3.28515625" style="28" customWidth="1"/>
    <col min="5918" max="5918" width="11.42578125" style="28"/>
    <col min="5919" max="5919" width="13.42578125" style="28" bestFit="1" customWidth="1"/>
    <col min="5920" max="5920" width="14" style="28" bestFit="1" customWidth="1"/>
    <col min="5921" max="5921" width="16.140625" style="28" bestFit="1" customWidth="1"/>
    <col min="5922" max="5922" width="16.140625" style="28" customWidth="1"/>
    <col min="5923" max="6148" width="11.42578125" style="28"/>
    <col min="6149" max="6149" width="30.140625" style="28" bestFit="1" customWidth="1"/>
    <col min="6150" max="6150" width="13.5703125" style="28" bestFit="1" customWidth="1"/>
    <col min="6151" max="6151" width="11.85546875" style="28" customWidth="1"/>
    <col min="6152" max="6152" width="13" style="28" bestFit="1" customWidth="1"/>
    <col min="6153" max="6153" width="13" style="28" customWidth="1"/>
    <col min="6154" max="6155" width="12.5703125" style="28" customWidth="1"/>
    <col min="6156" max="6156" width="14.28515625" style="28" customWidth="1"/>
    <col min="6157" max="6157" width="15.42578125" style="28" customWidth="1"/>
    <col min="6158" max="6158" width="11.42578125" style="28"/>
    <col min="6159" max="6159" width="13.85546875" style="28" customWidth="1"/>
    <col min="6160" max="6160" width="14.140625" style="28" customWidth="1"/>
    <col min="6161" max="6161" width="14.5703125" style="28" customWidth="1"/>
    <col min="6162" max="6162" width="9.5703125" style="28" customWidth="1"/>
    <col min="6163" max="6163" width="10.28515625" style="28" customWidth="1"/>
    <col min="6164" max="6164" width="8.85546875" style="28" customWidth="1"/>
    <col min="6165" max="6165" width="10.42578125" style="28" customWidth="1"/>
    <col min="6166" max="6166" width="11.5703125" style="28" customWidth="1"/>
    <col min="6167" max="6167" width="3.28515625" style="28" customWidth="1"/>
    <col min="6168" max="6168" width="12.7109375" style="28" customWidth="1"/>
    <col min="6169" max="6172" width="11.42578125" style="28"/>
    <col min="6173" max="6173" width="3.28515625" style="28" customWidth="1"/>
    <col min="6174" max="6174" width="11.42578125" style="28"/>
    <col min="6175" max="6175" width="13.42578125" style="28" bestFit="1" customWidth="1"/>
    <col min="6176" max="6176" width="14" style="28" bestFit="1" customWidth="1"/>
    <col min="6177" max="6177" width="16.140625" style="28" bestFit="1" customWidth="1"/>
    <col min="6178" max="6178" width="16.140625" style="28" customWidth="1"/>
    <col min="6179" max="6404" width="11.42578125" style="28"/>
    <col min="6405" max="6405" width="30.140625" style="28" bestFit="1" customWidth="1"/>
    <col min="6406" max="6406" width="13.5703125" style="28" bestFit="1" customWidth="1"/>
    <col min="6407" max="6407" width="11.85546875" style="28" customWidth="1"/>
    <col min="6408" max="6408" width="13" style="28" bestFit="1" customWidth="1"/>
    <col min="6409" max="6409" width="13" style="28" customWidth="1"/>
    <col min="6410" max="6411" width="12.5703125" style="28" customWidth="1"/>
    <col min="6412" max="6412" width="14.28515625" style="28" customWidth="1"/>
    <col min="6413" max="6413" width="15.42578125" style="28" customWidth="1"/>
    <col min="6414" max="6414" width="11.42578125" style="28"/>
    <col min="6415" max="6415" width="13.85546875" style="28" customWidth="1"/>
    <col min="6416" max="6416" width="14.140625" style="28" customWidth="1"/>
    <col min="6417" max="6417" width="14.5703125" style="28" customWidth="1"/>
    <col min="6418" max="6418" width="9.5703125" style="28" customWidth="1"/>
    <col min="6419" max="6419" width="10.28515625" style="28" customWidth="1"/>
    <col min="6420" max="6420" width="8.85546875" style="28" customWidth="1"/>
    <col min="6421" max="6421" width="10.42578125" style="28" customWidth="1"/>
    <col min="6422" max="6422" width="11.5703125" style="28" customWidth="1"/>
    <col min="6423" max="6423" width="3.28515625" style="28" customWidth="1"/>
    <col min="6424" max="6424" width="12.7109375" style="28" customWidth="1"/>
    <col min="6425" max="6428" width="11.42578125" style="28"/>
    <col min="6429" max="6429" width="3.28515625" style="28" customWidth="1"/>
    <col min="6430" max="6430" width="11.42578125" style="28"/>
    <col min="6431" max="6431" width="13.42578125" style="28" bestFit="1" customWidth="1"/>
    <col min="6432" max="6432" width="14" style="28" bestFit="1" customWidth="1"/>
    <col min="6433" max="6433" width="16.140625" style="28" bestFit="1" customWidth="1"/>
    <col min="6434" max="6434" width="16.140625" style="28" customWidth="1"/>
    <col min="6435" max="6660" width="11.42578125" style="28"/>
    <col min="6661" max="6661" width="30.140625" style="28" bestFit="1" customWidth="1"/>
    <col min="6662" max="6662" width="13.5703125" style="28" bestFit="1" customWidth="1"/>
    <col min="6663" max="6663" width="11.85546875" style="28" customWidth="1"/>
    <col min="6664" max="6664" width="13" style="28" bestFit="1" customWidth="1"/>
    <col min="6665" max="6665" width="13" style="28" customWidth="1"/>
    <col min="6666" max="6667" width="12.5703125" style="28" customWidth="1"/>
    <col min="6668" max="6668" width="14.28515625" style="28" customWidth="1"/>
    <col min="6669" max="6669" width="15.42578125" style="28" customWidth="1"/>
    <col min="6670" max="6670" width="11.42578125" style="28"/>
    <col min="6671" max="6671" width="13.85546875" style="28" customWidth="1"/>
    <col min="6672" max="6672" width="14.140625" style="28" customWidth="1"/>
    <col min="6673" max="6673" width="14.5703125" style="28" customWidth="1"/>
    <col min="6674" max="6674" width="9.5703125" style="28" customWidth="1"/>
    <col min="6675" max="6675" width="10.28515625" style="28" customWidth="1"/>
    <col min="6676" max="6676" width="8.85546875" style="28" customWidth="1"/>
    <col min="6677" max="6677" width="10.42578125" style="28" customWidth="1"/>
    <col min="6678" max="6678" width="11.5703125" style="28" customWidth="1"/>
    <col min="6679" max="6679" width="3.28515625" style="28" customWidth="1"/>
    <col min="6680" max="6680" width="12.7109375" style="28" customWidth="1"/>
    <col min="6681" max="6684" width="11.42578125" style="28"/>
    <col min="6685" max="6685" width="3.28515625" style="28" customWidth="1"/>
    <col min="6686" max="6686" width="11.42578125" style="28"/>
    <col min="6687" max="6687" width="13.42578125" style="28" bestFit="1" customWidth="1"/>
    <col min="6688" max="6688" width="14" style="28" bestFit="1" customWidth="1"/>
    <col min="6689" max="6689" width="16.140625" style="28" bestFit="1" customWidth="1"/>
    <col min="6690" max="6690" width="16.140625" style="28" customWidth="1"/>
    <col min="6691" max="6916" width="11.42578125" style="28"/>
    <col min="6917" max="6917" width="30.140625" style="28" bestFit="1" customWidth="1"/>
    <col min="6918" max="6918" width="13.5703125" style="28" bestFit="1" customWidth="1"/>
    <col min="6919" max="6919" width="11.85546875" style="28" customWidth="1"/>
    <col min="6920" max="6920" width="13" style="28" bestFit="1" customWidth="1"/>
    <col min="6921" max="6921" width="13" style="28" customWidth="1"/>
    <col min="6922" max="6923" width="12.5703125" style="28" customWidth="1"/>
    <col min="6924" max="6924" width="14.28515625" style="28" customWidth="1"/>
    <col min="6925" max="6925" width="15.42578125" style="28" customWidth="1"/>
    <col min="6926" max="6926" width="11.42578125" style="28"/>
    <col min="6927" max="6927" width="13.85546875" style="28" customWidth="1"/>
    <col min="6928" max="6928" width="14.140625" style="28" customWidth="1"/>
    <col min="6929" max="6929" width="14.5703125" style="28" customWidth="1"/>
    <col min="6930" max="6930" width="9.5703125" style="28" customWidth="1"/>
    <col min="6931" max="6931" width="10.28515625" style="28" customWidth="1"/>
    <col min="6932" max="6932" width="8.85546875" style="28" customWidth="1"/>
    <col min="6933" max="6933" width="10.42578125" style="28" customWidth="1"/>
    <col min="6934" max="6934" width="11.5703125" style="28" customWidth="1"/>
    <col min="6935" max="6935" width="3.28515625" style="28" customWidth="1"/>
    <col min="6936" max="6936" width="12.7109375" style="28" customWidth="1"/>
    <col min="6937" max="6940" width="11.42578125" style="28"/>
    <col min="6941" max="6941" width="3.28515625" style="28" customWidth="1"/>
    <col min="6942" max="6942" width="11.42578125" style="28"/>
    <col min="6943" max="6943" width="13.42578125" style="28" bestFit="1" customWidth="1"/>
    <col min="6944" max="6944" width="14" style="28" bestFit="1" customWidth="1"/>
    <col min="6945" max="6945" width="16.140625" style="28" bestFit="1" customWidth="1"/>
    <col min="6946" max="6946" width="16.140625" style="28" customWidth="1"/>
    <col min="6947" max="7172" width="11.42578125" style="28"/>
    <col min="7173" max="7173" width="30.140625" style="28" bestFit="1" customWidth="1"/>
    <col min="7174" max="7174" width="13.5703125" style="28" bestFit="1" customWidth="1"/>
    <col min="7175" max="7175" width="11.85546875" style="28" customWidth="1"/>
    <col min="7176" max="7176" width="13" style="28" bestFit="1" customWidth="1"/>
    <col min="7177" max="7177" width="13" style="28" customWidth="1"/>
    <col min="7178" max="7179" width="12.5703125" style="28" customWidth="1"/>
    <col min="7180" max="7180" width="14.28515625" style="28" customWidth="1"/>
    <col min="7181" max="7181" width="15.42578125" style="28" customWidth="1"/>
    <col min="7182" max="7182" width="11.42578125" style="28"/>
    <col min="7183" max="7183" width="13.85546875" style="28" customWidth="1"/>
    <col min="7184" max="7184" width="14.140625" style="28" customWidth="1"/>
    <col min="7185" max="7185" width="14.5703125" style="28" customWidth="1"/>
    <col min="7186" max="7186" width="9.5703125" style="28" customWidth="1"/>
    <col min="7187" max="7187" width="10.28515625" style="28" customWidth="1"/>
    <col min="7188" max="7188" width="8.85546875" style="28" customWidth="1"/>
    <col min="7189" max="7189" width="10.42578125" style="28" customWidth="1"/>
    <col min="7190" max="7190" width="11.5703125" style="28" customWidth="1"/>
    <col min="7191" max="7191" width="3.28515625" style="28" customWidth="1"/>
    <col min="7192" max="7192" width="12.7109375" style="28" customWidth="1"/>
    <col min="7193" max="7196" width="11.42578125" style="28"/>
    <col min="7197" max="7197" width="3.28515625" style="28" customWidth="1"/>
    <col min="7198" max="7198" width="11.42578125" style="28"/>
    <col min="7199" max="7199" width="13.42578125" style="28" bestFit="1" customWidth="1"/>
    <col min="7200" max="7200" width="14" style="28" bestFit="1" customWidth="1"/>
    <col min="7201" max="7201" width="16.140625" style="28" bestFit="1" customWidth="1"/>
    <col min="7202" max="7202" width="16.140625" style="28" customWidth="1"/>
    <col min="7203" max="7428" width="11.42578125" style="28"/>
    <col min="7429" max="7429" width="30.140625" style="28" bestFit="1" customWidth="1"/>
    <col min="7430" max="7430" width="13.5703125" style="28" bestFit="1" customWidth="1"/>
    <col min="7431" max="7431" width="11.85546875" style="28" customWidth="1"/>
    <col min="7432" max="7432" width="13" style="28" bestFit="1" customWidth="1"/>
    <col min="7433" max="7433" width="13" style="28" customWidth="1"/>
    <col min="7434" max="7435" width="12.5703125" style="28" customWidth="1"/>
    <col min="7436" max="7436" width="14.28515625" style="28" customWidth="1"/>
    <col min="7437" max="7437" width="15.42578125" style="28" customWidth="1"/>
    <col min="7438" max="7438" width="11.42578125" style="28"/>
    <col min="7439" max="7439" width="13.85546875" style="28" customWidth="1"/>
    <col min="7440" max="7440" width="14.140625" style="28" customWidth="1"/>
    <col min="7441" max="7441" width="14.5703125" style="28" customWidth="1"/>
    <col min="7442" max="7442" width="9.5703125" style="28" customWidth="1"/>
    <col min="7443" max="7443" width="10.28515625" style="28" customWidth="1"/>
    <col min="7444" max="7444" width="8.85546875" style="28" customWidth="1"/>
    <col min="7445" max="7445" width="10.42578125" style="28" customWidth="1"/>
    <col min="7446" max="7446" width="11.5703125" style="28" customWidth="1"/>
    <col min="7447" max="7447" width="3.28515625" style="28" customWidth="1"/>
    <col min="7448" max="7448" width="12.7109375" style="28" customWidth="1"/>
    <col min="7449" max="7452" width="11.42578125" style="28"/>
    <col min="7453" max="7453" width="3.28515625" style="28" customWidth="1"/>
    <col min="7454" max="7454" width="11.42578125" style="28"/>
    <col min="7455" max="7455" width="13.42578125" style="28" bestFit="1" customWidth="1"/>
    <col min="7456" max="7456" width="14" style="28" bestFit="1" customWidth="1"/>
    <col min="7457" max="7457" width="16.140625" style="28" bestFit="1" customWidth="1"/>
    <col min="7458" max="7458" width="16.140625" style="28" customWidth="1"/>
    <col min="7459" max="7684" width="11.42578125" style="28"/>
    <col min="7685" max="7685" width="30.140625" style="28" bestFit="1" customWidth="1"/>
    <col min="7686" max="7686" width="13.5703125" style="28" bestFit="1" customWidth="1"/>
    <col min="7687" max="7687" width="11.85546875" style="28" customWidth="1"/>
    <col min="7688" max="7688" width="13" style="28" bestFit="1" customWidth="1"/>
    <col min="7689" max="7689" width="13" style="28" customWidth="1"/>
    <col min="7690" max="7691" width="12.5703125" style="28" customWidth="1"/>
    <col min="7692" max="7692" width="14.28515625" style="28" customWidth="1"/>
    <col min="7693" max="7693" width="15.42578125" style="28" customWidth="1"/>
    <col min="7694" max="7694" width="11.42578125" style="28"/>
    <col min="7695" max="7695" width="13.85546875" style="28" customWidth="1"/>
    <col min="7696" max="7696" width="14.140625" style="28" customWidth="1"/>
    <col min="7697" max="7697" width="14.5703125" style="28" customWidth="1"/>
    <col min="7698" max="7698" width="9.5703125" style="28" customWidth="1"/>
    <col min="7699" max="7699" width="10.28515625" style="28" customWidth="1"/>
    <col min="7700" max="7700" width="8.85546875" style="28" customWidth="1"/>
    <col min="7701" max="7701" width="10.42578125" style="28" customWidth="1"/>
    <col min="7702" max="7702" width="11.5703125" style="28" customWidth="1"/>
    <col min="7703" max="7703" width="3.28515625" style="28" customWidth="1"/>
    <col min="7704" max="7704" width="12.7109375" style="28" customWidth="1"/>
    <col min="7705" max="7708" width="11.42578125" style="28"/>
    <col min="7709" max="7709" width="3.28515625" style="28" customWidth="1"/>
    <col min="7710" max="7710" width="11.42578125" style="28"/>
    <col min="7711" max="7711" width="13.42578125" style="28" bestFit="1" customWidth="1"/>
    <col min="7712" max="7712" width="14" style="28" bestFit="1" customWidth="1"/>
    <col min="7713" max="7713" width="16.140625" style="28" bestFit="1" customWidth="1"/>
    <col min="7714" max="7714" width="16.140625" style="28" customWidth="1"/>
    <col min="7715" max="7940" width="11.42578125" style="28"/>
    <col min="7941" max="7941" width="30.140625" style="28" bestFit="1" customWidth="1"/>
    <col min="7942" max="7942" width="13.5703125" style="28" bestFit="1" customWidth="1"/>
    <col min="7943" max="7943" width="11.85546875" style="28" customWidth="1"/>
    <col min="7944" max="7944" width="13" style="28" bestFit="1" customWidth="1"/>
    <col min="7945" max="7945" width="13" style="28" customWidth="1"/>
    <col min="7946" max="7947" width="12.5703125" style="28" customWidth="1"/>
    <col min="7948" max="7948" width="14.28515625" style="28" customWidth="1"/>
    <col min="7949" max="7949" width="15.42578125" style="28" customWidth="1"/>
    <col min="7950" max="7950" width="11.42578125" style="28"/>
    <col min="7951" max="7951" width="13.85546875" style="28" customWidth="1"/>
    <col min="7952" max="7952" width="14.140625" style="28" customWidth="1"/>
    <col min="7953" max="7953" width="14.5703125" style="28" customWidth="1"/>
    <col min="7954" max="7954" width="9.5703125" style="28" customWidth="1"/>
    <col min="7955" max="7955" width="10.28515625" style="28" customWidth="1"/>
    <col min="7956" max="7956" width="8.85546875" style="28" customWidth="1"/>
    <col min="7957" max="7957" width="10.42578125" style="28" customWidth="1"/>
    <col min="7958" max="7958" width="11.5703125" style="28" customWidth="1"/>
    <col min="7959" max="7959" width="3.28515625" style="28" customWidth="1"/>
    <col min="7960" max="7960" width="12.7109375" style="28" customWidth="1"/>
    <col min="7961" max="7964" width="11.42578125" style="28"/>
    <col min="7965" max="7965" width="3.28515625" style="28" customWidth="1"/>
    <col min="7966" max="7966" width="11.42578125" style="28"/>
    <col min="7967" max="7967" width="13.42578125" style="28" bestFit="1" customWidth="1"/>
    <col min="7968" max="7968" width="14" style="28" bestFit="1" customWidth="1"/>
    <col min="7969" max="7969" width="16.140625" style="28" bestFit="1" customWidth="1"/>
    <col min="7970" max="7970" width="16.140625" style="28" customWidth="1"/>
    <col min="7971" max="8196" width="11.42578125" style="28"/>
    <col min="8197" max="8197" width="30.140625" style="28" bestFit="1" customWidth="1"/>
    <col min="8198" max="8198" width="13.5703125" style="28" bestFit="1" customWidth="1"/>
    <col min="8199" max="8199" width="11.85546875" style="28" customWidth="1"/>
    <col min="8200" max="8200" width="13" style="28" bestFit="1" customWidth="1"/>
    <col min="8201" max="8201" width="13" style="28" customWidth="1"/>
    <col min="8202" max="8203" width="12.5703125" style="28" customWidth="1"/>
    <col min="8204" max="8204" width="14.28515625" style="28" customWidth="1"/>
    <col min="8205" max="8205" width="15.42578125" style="28" customWidth="1"/>
    <col min="8206" max="8206" width="11.42578125" style="28"/>
    <col min="8207" max="8207" width="13.85546875" style="28" customWidth="1"/>
    <col min="8208" max="8208" width="14.140625" style="28" customWidth="1"/>
    <col min="8209" max="8209" width="14.5703125" style="28" customWidth="1"/>
    <col min="8210" max="8210" width="9.5703125" style="28" customWidth="1"/>
    <col min="8211" max="8211" width="10.28515625" style="28" customWidth="1"/>
    <col min="8212" max="8212" width="8.85546875" style="28" customWidth="1"/>
    <col min="8213" max="8213" width="10.42578125" style="28" customWidth="1"/>
    <col min="8214" max="8214" width="11.5703125" style="28" customWidth="1"/>
    <col min="8215" max="8215" width="3.28515625" style="28" customWidth="1"/>
    <col min="8216" max="8216" width="12.7109375" style="28" customWidth="1"/>
    <col min="8217" max="8220" width="11.42578125" style="28"/>
    <col min="8221" max="8221" width="3.28515625" style="28" customWidth="1"/>
    <col min="8222" max="8222" width="11.42578125" style="28"/>
    <col min="8223" max="8223" width="13.42578125" style="28" bestFit="1" customWidth="1"/>
    <col min="8224" max="8224" width="14" style="28" bestFit="1" customWidth="1"/>
    <col min="8225" max="8225" width="16.140625" style="28" bestFit="1" customWidth="1"/>
    <col min="8226" max="8226" width="16.140625" style="28" customWidth="1"/>
    <col min="8227" max="8452" width="11.42578125" style="28"/>
    <col min="8453" max="8453" width="30.140625" style="28" bestFit="1" customWidth="1"/>
    <col min="8454" max="8454" width="13.5703125" style="28" bestFit="1" customWidth="1"/>
    <col min="8455" max="8455" width="11.85546875" style="28" customWidth="1"/>
    <col min="8456" max="8456" width="13" style="28" bestFit="1" customWidth="1"/>
    <col min="8457" max="8457" width="13" style="28" customWidth="1"/>
    <col min="8458" max="8459" width="12.5703125" style="28" customWidth="1"/>
    <col min="8460" max="8460" width="14.28515625" style="28" customWidth="1"/>
    <col min="8461" max="8461" width="15.42578125" style="28" customWidth="1"/>
    <col min="8462" max="8462" width="11.42578125" style="28"/>
    <col min="8463" max="8463" width="13.85546875" style="28" customWidth="1"/>
    <col min="8464" max="8464" width="14.140625" style="28" customWidth="1"/>
    <col min="8465" max="8465" width="14.5703125" style="28" customWidth="1"/>
    <col min="8466" max="8466" width="9.5703125" style="28" customWidth="1"/>
    <col min="8467" max="8467" width="10.28515625" style="28" customWidth="1"/>
    <col min="8468" max="8468" width="8.85546875" style="28" customWidth="1"/>
    <col min="8469" max="8469" width="10.42578125" style="28" customWidth="1"/>
    <col min="8470" max="8470" width="11.5703125" style="28" customWidth="1"/>
    <col min="8471" max="8471" width="3.28515625" style="28" customWidth="1"/>
    <col min="8472" max="8472" width="12.7109375" style="28" customWidth="1"/>
    <col min="8473" max="8476" width="11.42578125" style="28"/>
    <col min="8477" max="8477" width="3.28515625" style="28" customWidth="1"/>
    <col min="8478" max="8478" width="11.42578125" style="28"/>
    <col min="8479" max="8479" width="13.42578125" style="28" bestFit="1" customWidth="1"/>
    <col min="8480" max="8480" width="14" style="28" bestFit="1" customWidth="1"/>
    <col min="8481" max="8481" width="16.140625" style="28" bestFit="1" customWidth="1"/>
    <col min="8482" max="8482" width="16.140625" style="28" customWidth="1"/>
    <col min="8483" max="8708" width="11.42578125" style="28"/>
    <col min="8709" max="8709" width="30.140625" style="28" bestFit="1" customWidth="1"/>
    <col min="8710" max="8710" width="13.5703125" style="28" bestFit="1" customWidth="1"/>
    <col min="8711" max="8711" width="11.85546875" style="28" customWidth="1"/>
    <col min="8712" max="8712" width="13" style="28" bestFit="1" customWidth="1"/>
    <col min="8713" max="8713" width="13" style="28" customWidth="1"/>
    <col min="8714" max="8715" width="12.5703125" style="28" customWidth="1"/>
    <col min="8716" max="8716" width="14.28515625" style="28" customWidth="1"/>
    <col min="8717" max="8717" width="15.42578125" style="28" customWidth="1"/>
    <col min="8718" max="8718" width="11.42578125" style="28"/>
    <col min="8719" max="8719" width="13.85546875" style="28" customWidth="1"/>
    <col min="8720" max="8720" width="14.140625" style="28" customWidth="1"/>
    <col min="8721" max="8721" width="14.5703125" style="28" customWidth="1"/>
    <col min="8722" max="8722" width="9.5703125" style="28" customWidth="1"/>
    <col min="8723" max="8723" width="10.28515625" style="28" customWidth="1"/>
    <col min="8724" max="8724" width="8.85546875" style="28" customWidth="1"/>
    <col min="8725" max="8725" width="10.42578125" style="28" customWidth="1"/>
    <col min="8726" max="8726" width="11.5703125" style="28" customWidth="1"/>
    <col min="8727" max="8727" width="3.28515625" style="28" customWidth="1"/>
    <col min="8728" max="8728" width="12.7109375" style="28" customWidth="1"/>
    <col min="8729" max="8732" width="11.42578125" style="28"/>
    <col min="8733" max="8733" width="3.28515625" style="28" customWidth="1"/>
    <col min="8734" max="8734" width="11.42578125" style="28"/>
    <col min="8735" max="8735" width="13.42578125" style="28" bestFit="1" customWidth="1"/>
    <col min="8736" max="8736" width="14" style="28" bestFit="1" customWidth="1"/>
    <col min="8737" max="8737" width="16.140625" style="28" bestFit="1" customWidth="1"/>
    <col min="8738" max="8738" width="16.140625" style="28" customWidth="1"/>
    <col min="8739" max="8964" width="11.42578125" style="28"/>
    <col min="8965" max="8965" width="30.140625" style="28" bestFit="1" customWidth="1"/>
    <col min="8966" max="8966" width="13.5703125" style="28" bestFit="1" customWidth="1"/>
    <col min="8967" max="8967" width="11.85546875" style="28" customWidth="1"/>
    <col min="8968" max="8968" width="13" style="28" bestFit="1" customWidth="1"/>
    <col min="8969" max="8969" width="13" style="28" customWidth="1"/>
    <col min="8970" max="8971" width="12.5703125" style="28" customWidth="1"/>
    <col min="8972" max="8972" width="14.28515625" style="28" customWidth="1"/>
    <col min="8973" max="8973" width="15.42578125" style="28" customWidth="1"/>
    <col min="8974" max="8974" width="11.42578125" style="28"/>
    <col min="8975" max="8975" width="13.85546875" style="28" customWidth="1"/>
    <col min="8976" max="8976" width="14.140625" style="28" customWidth="1"/>
    <col min="8977" max="8977" width="14.5703125" style="28" customWidth="1"/>
    <col min="8978" max="8978" width="9.5703125" style="28" customWidth="1"/>
    <col min="8979" max="8979" width="10.28515625" style="28" customWidth="1"/>
    <col min="8980" max="8980" width="8.85546875" style="28" customWidth="1"/>
    <col min="8981" max="8981" width="10.42578125" style="28" customWidth="1"/>
    <col min="8982" max="8982" width="11.5703125" style="28" customWidth="1"/>
    <col min="8983" max="8983" width="3.28515625" style="28" customWidth="1"/>
    <col min="8984" max="8984" width="12.7109375" style="28" customWidth="1"/>
    <col min="8985" max="8988" width="11.42578125" style="28"/>
    <col min="8989" max="8989" width="3.28515625" style="28" customWidth="1"/>
    <col min="8990" max="8990" width="11.42578125" style="28"/>
    <col min="8991" max="8991" width="13.42578125" style="28" bestFit="1" customWidth="1"/>
    <col min="8992" max="8992" width="14" style="28" bestFit="1" customWidth="1"/>
    <col min="8993" max="8993" width="16.140625" style="28" bestFit="1" customWidth="1"/>
    <col min="8994" max="8994" width="16.140625" style="28" customWidth="1"/>
    <col min="8995" max="9220" width="11.42578125" style="28"/>
    <col min="9221" max="9221" width="30.140625" style="28" bestFit="1" customWidth="1"/>
    <col min="9222" max="9222" width="13.5703125" style="28" bestFit="1" customWidth="1"/>
    <col min="9223" max="9223" width="11.85546875" style="28" customWidth="1"/>
    <col min="9224" max="9224" width="13" style="28" bestFit="1" customWidth="1"/>
    <col min="9225" max="9225" width="13" style="28" customWidth="1"/>
    <col min="9226" max="9227" width="12.5703125" style="28" customWidth="1"/>
    <col min="9228" max="9228" width="14.28515625" style="28" customWidth="1"/>
    <col min="9229" max="9229" width="15.42578125" style="28" customWidth="1"/>
    <col min="9230" max="9230" width="11.42578125" style="28"/>
    <col min="9231" max="9231" width="13.85546875" style="28" customWidth="1"/>
    <col min="9232" max="9232" width="14.140625" style="28" customWidth="1"/>
    <col min="9233" max="9233" width="14.5703125" style="28" customWidth="1"/>
    <col min="9234" max="9234" width="9.5703125" style="28" customWidth="1"/>
    <col min="9235" max="9235" width="10.28515625" style="28" customWidth="1"/>
    <col min="9236" max="9236" width="8.85546875" style="28" customWidth="1"/>
    <col min="9237" max="9237" width="10.42578125" style="28" customWidth="1"/>
    <col min="9238" max="9238" width="11.5703125" style="28" customWidth="1"/>
    <col min="9239" max="9239" width="3.28515625" style="28" customWidth="1"/>
    <col min="9240" max="9240" width="12.7109375" style="28" customWidth="1"/>
    <col min="9241" max="9244" width="11.42578125" style="28"/>
    <col min="9245" max="9245" width="3.28515625" style="28" customWidth="1"/>
    <col min="9246" max="9246" width="11.42578125" style="28"/>
    <col min="9247" max="9247" width="13.42578125" style="28" bestFit="1" customWidth="1"/>
    <col min="9248" max="9248" width="14" style="28" bestFit="1" customWidth="1"/>
    <col min="9249" max="9249" width="16.140625" style="28" bestFit="1" customWidth="1"/>
    <col min="9250" max="9250" width="16.140625" style="28" customWidth="1"/>
    <col min="9251" max="9476" width="11.42578125" style="28"/>
    <col min="9477" max="9477" width="30.140625" style="28" bestFit="1" customWidth="1"/>
    <col min="9478" max="9478" width="13.5703125" style="28" bestFit="1" customWidth="1"/>
    <col min="9479" max="9479" width="11.85546875" style="28" customWidth="1"/>
    <col min="9480" max="9480" width="13" style="28" bestFit="1" customWidth="1"/>
    <col min="9481" max="9481" width="13" style="28" customWidth="1"/>
    <col min="9482" max="9483" width="12.5703125" style="28" customWidth="1"/>
    <col min="9484" max="9484" width="14.28515625" style="28" customWidth="1"/>
    <col min="9485" max="9485" width="15.42578125" style="28" customWidth="1"/>
    <col min="9486" max="9486" width="11.42578125" style="28"/>
    <col min="9487" max="9487" width="13.85546875" style="28" customWidth="1"/>
    <col min="9488" max="9488" width="14.140625" style="28" customWidth="1"/>
    <col min="9489" max="9489" width="14.5703125" style="28" customWidth="1"/>
    <col min="9490" max="9490" width="9.5703125" style="28" customWidth="1"/>
    <col min="9491" max="9491" width="10.28515625" style="28" customWidth="1"/>
    <col min="9492" max="9492" width="8.85546875" style="28" customWidth="1"/>
    <col min="9493" max="9493" width="10.42578125" style="28" customWidth="1"/>
    <col min="9494" max="9494" width="11.5703125" style="28" customWidth="1"/>
    <col min="9495" max="9495" width="3.28515625" style="28" customWidth="1"/>
    <col min="9496" max="9496" width="12.7109375" style="28" customWidth="1"/>
    <col min="9497" max="9500" width="11.42578125" style="28"/>
    <col min="9501" max="9501" width="3.28515625" style="28" customWidth="1"/>
    <col min="9502" max="9502" width="11.42578125" style="28"/>
    <col min="9503" max="9503" width="13.42578125" style="28" bestFit="1" customWidth="1"/>
    <col min="9504" max="9504" width="14" style="28" bestFit="1" customWidth="1"/>
    <col min="9505" max="9505" width="16.140625" style="28" bestFit="1" customWidth="1"/>
    <col min="9506" max="9506" width="16.140625" style="28" customWidth="1"/>
    <col min="9507" max="9732" width="11.42578125" style="28"/>
    <col min="9733" max="9733" width="30.140625" style="28" bestFit="1" customWidth="1"/>
    <col min="9734" max="9734" width="13.5703125" style="28" bestFit="1" customWidth="1"/>
    <col min="9735" max="9735" width="11.85546875" style="28" customWidth="1"/>
    <col min="9736" max="9736" width="13" style="28" bestFit="1" customWidth="1"/>
    <col min="9737" max="9737" width="13" style="28" customWidth="1"/>
    <col min="9738" max="9739" width="12.5703125" style="28" customWidth="1"/>
    <col min="9740" max="9740" width="14.28515625" style="28" customWidth="1"/>
    <col min="9741" max="9741" width="15.42578125" style="28" customWidth="1"/>
    <col min="9742" max="9742" width="11.42578125" style="28"/>
    <col min="9743" max="9743" width="13.85546875" style="28" customWidth="1"/>
    <col min="9744" max="9744" width="14.140625" style="28" customWidth="1"/>
    <col min="9745" max="9745" width="14.5703125" style="28" customWidth="1"/>
    <col min="9746" max="9746" width="9.5703125" style="28" customWidth="1"/>
    <col min="9747" max="9747" width="10.28515625" style="28" customWidth="1"/>
    <col min="9748" max="9748" width="8.85546875" style="28" customWidth="1"/>
    <col min="9749" max="9749" width="10.42578125" style="28" customWidth="1"/>
    <col min="9750" max="9750" width="11.5703125" style="28" customWidth="1"/>
    <col min="9751" max="9751" width="3.28515625" style="28" customWidth="1"/>
    <col min="9752" max="9752" width="12.7109375" style="28" customWidth="1"/>
    <col min="9753" max="9756" width="11.42578125" style="28"/>
    <col min="9757" max="9757" width="3.28515625" style="28" customWidth="1"/>
    <col min="9758" max="9758" width="11.42578125" style="28"/>
    <col min="9759" max="9759" width="13.42578125" style="28" bestFit="1" customWidth="1"/>
    <col min="9760" max="9760" width="14" style="28" bestFit="1" customWidth="1"/>
    <col min="9761" max="9761" width="16.140625" style="28" bestFit="1" customWidth="1"/>
    <col min="9762" max="9762" width="16.140625" style="28" customWidth="1"/>
    <col min="9763" max="9988" width="11.42578125" style="28"/>
    <col min="9989" max="9989" width="30.140625" style="28" bestFit="1" customWidth="1"/>
    <col min="9990" max="9990" width="13.5703125" style="28" bestFit="1" customWidth="1"/>
    <col min="9991" max="9991" width="11.85546875" style="28" customWidth="1"/>
    <col min="9992" max="9992" width="13" style="28" bestFit="1" customWidth="1"/>
    <col min="9993" max="9993" width="13" style="28" customWidth="1"/>
    <col min="9994" max="9995" width="12.5703125" style="28" customWidth="1"/>
    <col min="9996" max="9996" width="14.28515625" style="28" customWidth="1"/>
    <col min="9997" max="9997" width="15.42578125" style="28" customWidth="1"/>
    <col min="9998" max="9998" width="11.42578125" style="28"/>
    <col min="9999" max="9999" width="13.85546875" style="28" customWidth="1"/>
    <col min="10000" max="10000" width="14.140625" style="28" customWidth="1"/>
    <col min="10001" max="10001" width="14.5703125" style="28" customWidth="1"/>
    <col min="10002" max="10002" width="9.5703125" style="28" customWidth="1"/>
    <col min="10003" max="10003" width="10.28515625" style="28" customWidth="1"/>
    <col min="10004" max="10004" width="8.85546875" style="28" customWidth="1"/>
    <col min="10005" max="10005" width="10.42578125" style="28" customWidth="1"/>
    <col min="10006" max="10006" width="11.5703125" style="28" customWidth="1"/>
    <col min="10007" max="10007" width="3.28515625" style="28" customWidth="1"/>
    <col min="10008" max="10008" width="12.7109375" style="28" customWidth="1"/>
    <col min="10009" max="10012" width="11.42578125" style="28"/>
    <col min="10013" max="10013" width="3.28515625" style="28" customWidth="1"/>
    <col min="10014" max="10014" width="11.42578125" style="28"/>
    <col min="10015" max="10015" width="13.42578125" style="28" bestFit="1" customWidth="1"/>
    <col min="10016" max="10016" width="14" style="28" bestFit="1" customWidth="1"/>
    <col min="10017" max="10017" width="16.140625" style="28" bestFit="1" customWidth="1"/>
    <col min="10018" max="10018" width="16.140625" style="28" customWidth="1"/>
    <col min="10019" max="10244" width="11.42578125" style="28"/>
    <col min="10245" max="10245" width="30.140625" style="28" bestFit="1" customWidth="1"/>
    <col min="10246" max="10246" width="13.5703125" style="28" bestFit="1" customWidth="1"/>
    <col min="10247" max="10247" width="11.85546875" style="28" customWidth="1"/>
    <col min="10248" max="10248" width="13" style="28" bestFit="1" customWidth="1"/>
    <col min="10249" max="10249" width="13" style="28" customWidth="1"/>
    <col min="10250" max="10251" width="12.5703125" style="28" customWidth="1"/>
    <col min="10252" max="10252" width="14.28515625" style="28" customWidth="1"/>
    <col min="10253" max="10253" width="15.42578125" style="28" customWidth="1"/>
    <col min="10254" max="10254" width="11.42578125" style="28"/>
    <col min="10255" max="10255" width="13.85546875" style="28" customWidth="1"/>
    <col min="10256" max="10256" width="14.140625" style="28" customWidth="1"/>
    <col min="10257" max="10257" width="14.5703125" style="28" customWidth="1"/>
    <col min="10258" max="10258" width="9.5703125" style="28" customWidth="1"/>
    <col min="10259" max="10259" width="10.28515625" style="28" customWidth="1"/>
    <col min="10260" max="10260" width="8.85546875" style="28" customWidth="1"/>
    <col min="10261" max="10261" width="10.42578125" style="28" customWidth="1"/>
    <col min="10262" max="10262" width="11.5703125" style="28" customWidth="1"/>
    <col min="10263" max="10263" width="3.28515625" style="28" customWidth="1"/>
    <col min="10264" max="10264" width="12.7109375" style="28" customWidth="1"/>
    <col min="10265" max="10268" width="11.42578125" style="28"/>
    <col min="10269" max="10269" width="3.28515625" style="28" customWidth="1"/>
    <col min="10270" max="10270" width="11.42578125" style="28"/>
    <col min="10271" max="10271" width="13.42578125" style="28" bestFit="1" customWidth="1"/>
    <col min="10272" max="10272" width="14" style="28" bestFit="1" customWidth="1"/>
    <col min="10273" max="10273" width="16.140625" style="28" bestFit="1" customWidth="1"/>
    <col min="10274" max="10274" width="16.140625" style="28" customWidth="1"/>
    <col min="10275" max="10500" width="11.42578125" style="28"/>
    <col min="10501" max="10501" width="30.140625" style="28" bestFit="1" customWidth="1"/>
    <col min="10502" max="10502" width="13.5703125" style="28" bestFit="1" customWidth="1"/>
    <col min="10503" max="10503" width="11.85546875" style="28" customWidth="1"/>
    <col min="10504" max="10504" width="13" style="28" bestFit="1" customWidth="1"/>
    <col min="10505" max="10505" width="13" style="28" customWidth="1"/>
    <col min="10506" max="10507" width="12.5703125" style="28" customWidth="1"/>
    <col min="10508" max="10508" width="14.28515625" style="28" customWidth="1"/>
    <col min="10509" max="10509" width="15.42578125" style="28" customWidth="1"/>
    <col min="10510" max="10510" width="11.42578125" style="28"/>
    <col min="10511" max="10511" width="13.85546875" style="28" customWidth="1"/>
    <col min="10512" max="10512" width="14.140625" style="28" customWidth="1"/>
    <col min="10513" max="10513" width="14.5703125" style="28" customWidth="1"/>
    <col min="10514" max="10514" width="9.5703125" style="28" customWidth="1"/>
    <col min="10515" max="10515" width="10.28515625" style="28" customWidth="1"/>
    <col min="10516" max="10516" width="8.85546875" style="28" customWidth="1"/>
    <col min="10517" max="10517" width="10.42578125" style="28" customWidth="1"/>
    <col min="10518" max="10518" width="11.5703125" style="28" customWidth="1"/>
    <col min="10519" max="10519" width="3.28515625" style="28" customWidth="1"/>
    <col min="10520" max="10520" width="12.7109375" style="28" customWidth="1"/>
    <col min="10521" max="10524" width="11.42578125" style="28"/>
    <col min="10525" max="10525" width="3.28515625" style="28" customWidth="1"/>
    <col min="10526" max="10526" width="11.42578125" style="28"/>
    <col min="10527" max="10527" width="13.42578125" style="28" bestFit="1" customWidth="1"/>
    <col min="10528" max="10528" width="14" style="28" bestFit="1" customWidth="1"/>
    <col min="10529" max="10529" width="16.140625" style="28" bestFit="1" customWidth="1"/>
    <col min="10530" max="10530" width="16.140625" style="28" customWidth="1"/>
    <col min="10531" max="10756" width="11.42578125" style="28"/>
    <col min="10757" max="10757" width="30.140625" style="28" bestFit="1" customWidth="1"/>
    <col min="10758" max="10758" width="13.5703125" style="28" bestFit="1" customWidth="1"/>
    <col min="10759" max="10759" width="11.85546875" style="28" customWidth="1"/>
    <col min="10760" max="10760" width="13" style="28" bestFit="1" customWidth="1"/>
    <col min="10761" max="10761" width="13" style="28" customWidth="1"/>
    <col min="10762" max="10763" width="12.5703125" style="28" customWidth="1"/>
    <col min="10764" max="10764" width="14.28515625" style="28" customWidth="1"/>
    <col min="10765" max="10765" width="15.42578125" style="28" customWidth="1"/>
    <col min="10766" max="10766" width="11.42578125" style="28"/>
    <col min="10767" max="10767" width="13.85546875" style="28" customWidth="1"/>
    <col min="10768" max="10768" width="14.140625" style="28" customWidth="1"/>
    <col min="10769" max="10769" width="14.5703125" style="28" customWidth="1"/>
    <col min="10770" max="10770" width="9.5703125" style="28" customWidth="1"/>
    <col min="10771" max="10771" width="10.28515625" style="28" customWidth="1"/>
    <col min="10772" max="10772" width="8.85546875" style="28" customWidth="1"/>
    <col min="10773" max="10773" width="10.42578125" style="28" customWidth="1"/>
    <col min="10774" max="10774" width="11.5703125" style="28" customWidth="1"/>
    <col min="10775" max="10775" width="3.28515625" style="28" customWidth="1"/>
    <col min="10776" max="10776" width="12.7109375" style="28" customWidth="1"/>
    <col min="10777" max="10780" width="11.42578125" style="28"/>
    <col min="10781" max="10781" width="3.28515625" style="28" customWidth="1"/>
    <col min="10782" max="10782" width="11.42578125" style="28"/>
    <col min="10783" max="10783" width="13.42578125" style="28" bestFit="1" customWidth="1"/>
    <col min="10784" max="10784" width="14" style="28" bestFit="1" customWidth="1"/>
    <col min="10785" max="10785" width="16.140625" style="28" bestFit="1" customWidth="1"/>
    <col min="10786" max="10786" width="16.140625" style="28" customWidth="1"/>
    <col min="10787" max="11012" width="11.42578125" style="28"/>
    <col min="11013" max="11013" width="30.140625" style="28" bestFit="1" customWidth="1"/>
    <col min="11014" max="11014" width="13.5703125" style="28" bestFit="1" customWidth="1"/>
    <col min="11015" max="11015" width="11.85546875" style="28" customWidth="1"/>
    <col min="11016" max="11016" width="13" style="28" bestFit="1" customWidth="1"/>
    <col min="11017" max="11017" width="13" style="28" customWidth="1"/>
    <col min="11018" max="11019" width="12.5703125" style="28" customWidth="1"/>
    <col min="11020" max="11020" width="14.28515625" style="28" customWidth="1"/>
    <col min="11021" max="11021" width="15.42578125" style="28" customWidth="1"/>
    <col min="11022" max="11022" width="11.42578125" style="28"/>
    <col min="11023" max="11023" width="13.85546875" style="28" customWidth="1"/>
    <col min="11024" max="11024" width="14.140625" style="28" customWidth="1"/>
    <col min="11025" max="11025" width="14.5703125" style="28" customWidth="1"/>
    <col min="11026" max="11026" width="9.5703125" style="28" customWidth="1"/>
    <col min="11027" max="11027" width="10.28515625" style="28" customWidth="1"/>
    <col min="11028" max="11028" width="8.85546875" style="28" customWidth="1"/>
    <col min="11029" max="11029" width="10.42578125" style="28" customWidth="1"/>
    <col min="11030" max="11030" width="11.5703125" style="28" customWidth="1"/>
    <col min="11031" max="11031" width="3.28515625" style="28" customWidth="1"/>
    <col min="11032" max="11032" width="12.7109375" style="28" customWidth="1"/>
    <col min="11033" max="11036" width="11.42578125" style="28"/>
    <col min="11037" max="11037" width="3.28515625" style="28" customWidth="1"/>
    <col min="11038" max="11038" width="11.42578125" style="28"/>
    <col min="11039" max="11039" width="13.42578125" style="28" bestFit="1" customWidth="1"/>
    <col min="11040" max="11040" width="14" style="28" bestFit="1" customWidth="1"/>
    <col min="11041" max="11041" width="16.140625" style="28" bestFit="1" customWidth="1"/>
    <col min="11042" max="11042" width="16.140625" style="28" customWidth="1"/>
    <col min="11043" max="11268" width="11.42578125" style="28"/>
    <col min="11269" max="11269" width="30.140625" style="28" bestFit="1" customWidth="1"/>
    <col min="11270" max="11270" width="13.5703125" style="28" bestFit="1" customWidth="1"/>
    <col min="11271" max="11271" width="11.85546875" style="28" customWidth="1"/>
    <col min="11272" max="11272" width="13" style="28" bestFit="1" customWidth="1"/>
    <col min="11273" max="11273" width="13" style="28" customWidth="1"/>
    <col min="11274" max="11275" width="12.5703125" style="28" customWidth="1"/>
    <col min="11276" max="11276" width="14.28515625" style="28" customWidth="1"/>
    <col min="11277" max="11277" width="15.42578125" style="28" customWidth="1"/>
    <col min="11278" max="11278" width="11.42578125" style="28"/>
    <col min="11279" max="11279" width="13.85546875" style="28" customWidth="1"/>
    <col min="11280" max="11280" width="14.140625" style="28" customWidth="1"/>
    <col min="11281" max="11281" width="14.5703125" style="28" customWidth="1"/>
    <col min="11282" max="11282" width="9.5703125" style="28" customWidth="1"/>
    <col min="11283" max="11283" width="10.28515625" style="28" customWidth="1"/>
    <col min="11284" max="11284" width="8.85546875" style="28" customWidth="1"/>
    <col min="11285" max="11285" width="10.42578125" style="28" customWidth="1"/>
    <col min="11286" max="11286" width="11.5703125" style="28" customWidth="1"/>
    <col min="11287" max="11287" width="3.28515625" style="28" customWidth="1"/>
    <col min="11288" max="11288" width="12.7109375" style="28" customWidth="1"/>
    <col min="11289" max="11292" width="11.42578125" style="28"/>
    <col min="11293" max="11293" width="3.28515625" style="28" customWidth="1"/>
    <col min="11294" max="11294" width="11.42578125" style="28"/>
    <col min="11295" max="11295" width="13.42578125" style="28" bestFit="1" customWidth="1"/>
    <col min="11296" max="11296" width="14" style="28" bestFit="1" customWidth="1"/>
    <col min="11297" max="11297" width="16.140625" style="28" bestFit="1" customWidth="1"/>
    <col min="11298" max="11298" width="16.140625" style="28" customWidth="1"/>
    <col min="11299" max="11524" width="11.42578125" style="28"/>
    <col min="11525" max="11525" width="30.140625" style="28" bestFit="1" customWidth="1"/>
    <col min="11526" max="11526" width="13.5703125" style="28" bestFit="1" customWidth="1"/>
    <col min="11527" max="11527" width="11.85546875" style="28" customWidth="1"/>
    <col min="11528" max="11528" width="13" style="28" bestFit="1" customWidth="1"/>
    <col min="11529" max="11529" width="13" style="28" customWidth="1"/>
    <col min="11530" max="11531" width="12.5703125" style="28" customWidth="1"/>
    <col min="11532" max="11532" width="14.28515625" style="28" customWidth="1"/>
    <col min="11533" max="11533" width="15.42578125" style="28" customWidth="1"/>
    <col min="11534" max="11534" width="11.42578125" style="28"/>
    <col min="11535" max="11535" width="13.85546875" style="28" customWidth="1"/>
    <col min="11536" max="11536" width="14.140625" style="28" customWidth="1"/>
    <col min="11537" max="11537" width="14.5703125" style="28" customWidth="1"/>
    <col min="11538" max="11538" width="9.5703125" style="28" customWidth="1"/>
    <col min="11539" max="11539" width="10.28515625" style="28" customWidth="1"/>
    <col min="11540" max="11540" width="8.85546875" style="28" customWidth="1"/>
    <col min="11541" max="11541" width="10.42578125" style="28" customWidth="1"/>
    <col min="11542" max="11542" width="11.5703125" style="28" customWidth="1"/>
    <col min="11543" max="11543" width="3.28515625" style="28" customWidth="1"/>
    <col min="11544" max="11544" width="12.7109375" style="28" customWidth="1"/>
    <col min="11545" max="11548" width="11.42578125" style="28"/>
    <col min="11549" max="11549" width="3.28515625" style="28" customWidth="1"/>
    <col min="11550" max="11550" width="11.42578125" style="28"/>
    <col min="11551" max="11551" width="13.42578125" style="28" bestFit="1" customWidth="1"/>
    <col min="11552" max="11552" width="14" style="28" bestFit="1" customWidth="1"/>
    <col min="11553" max="11553" width="16.140625" style="28" bestFit="1" customWidth="1"/>
    <col min="11554" max="11554" width="16.140625" style="28" customWidth="1"/>
    <col min="11555" max="11780" width="11.42578125" style="28"/>
    <col min="11781" max="11781" width="30.140625" style="28" bestFit="1" customWidth="1"/>
    <col min="11782" max="11782" width="13.5703125" style="28" bestFit="1" customWidth="1"/>
    <col min="11783" max="11783" width="11.85546875" style="28" customWidth="1"/>
    <col min="11784" max="11784" width="13" style="28" bestFit="1" customWidth="1"/>
    <col min="11785" max="11785" width="13" style="28" customWidth="1"/>
    <col min="11786" max="11787" width="12.5703125" style="28" customWidth="1"/>
    <col min="11788" max="11788" width="14.28515625" style="28" customWidth="1"/>
    <col min="11789" max="11789" width="15.42578125" style="28" customWidth="1"/>
    <col min="11790" max="11790" width="11.42578125" style="28"/>
    <col min="11791" max="11791" width="13.85546875" style="28" customWidth="1"/>
    <col min="11792" max="11792" width="14.140625" style="28" customWidth="1"/>
    <col min="11793" max="11793" width="14.5703125" style="28" customWidth="1"/>
    <col min="11794" max="11794" width="9.5703125" style="28" customWidth="1"/>
    <col min="11795" max="11795" width="10.28515625" style="28" customWidth="1"/>
    <col min="11796" max="11796" width="8.85546875" style="28" customWidth="1"/>
    <col min="11797" max="11797" width="10.42578125" style="28" customWidth="1"/>
    <col min="11798" max="11798" width="11.5703125" style="28" customWidth="1"/>
    <col min="11799" max="11799" width="3.28515625" style="28" customWidth="1"/>
    <col min="11800" max="11800" width="12.7109375" style="28" customWidth="1"/>
    <col min="11801" max="11804" width="11.42578125" style="28"/>
    <col min="11805" max="11805" width="3.28515625" style="28" customWidth="1"/>
    <col min="11806" max="11806" width="11.42578125" style="28"/>
    <col min="11807" max="11807" width="13.42578125" style="28" bestFit="1" customWidth="1"/>
    <col min="11808" max="11808" width="14" style="28" bestFit="1" customWidth="1"/>
    <col min="11809" max="11809" width="16.140625" style="28" bestFit="1" customWidth="1"/>
    <col min="11810" max="11810" width="16.140625" style="28" customWidth="1"/>
    <col min="11811" max="12036" width="11.42578125" style="28"/>
    <col min="12037" max="12037" width="30.140625" style="28" bestFit="1" customWidth="1"/>
    <col min="12038" max="12038" width="13.5703125" style="28" bestFit="1" customWidth="1"/>
    <col min="12039" max="12039" width="11.85546875" style="28" customWidth="1"/>
    <col min="12040" max="12040" width="13" style="28" bestFit="1" customWidth="1"/>
    <col min="12041" max="12041" width="13" style="28" customWidth="1"/>
    <col min="12042" max="12043" width="12.5703125" style="28" customWidth="1"/>
    <col min="12044" max="12044" width="14.28515625" style="28" customWidth="1"/>
    <col min="12045" max="12045" width="15.42578125" style="28" customWidth="1"/>
    <col min="12046" max="12046" width="11.42578125" style="28"/>
    <col min="12047" max="12047" width="13.85546875" style="28" customWidth="1"/>
    <col min="12048" max="12048" width="14.140625" style="28" customWidth="1"/>
    <col min="12049" max="12049" width="14.5703125" style="28" customWidth="1"/>
    <col min="12050" max="12050" width="9.5703125" style="28" customWidth="1"/>
    <col min="12051" max="12051" width="10.28515625" style="28" customWidth="1"/>
    <col min="12052" max="12052" width="8.85546875" style="28" customWidth="1"/>
    <col min="12053" max="12053" width="10.42578125" style="28" customWidth="1"/>
    <col min="12054" max="12054" width="11.5703125" style="28" customWidth="1"/>
    <col min="12055" max="12055" width="3.28515625" style="28" customWidth="1"/>
    <col min="12056" max="12056" width="12.7109375" style="28" customWidth="1"/>
    <col min="12057" max="12060" width="11.42578125" style="28"/>
    <col min="12061" max="12061" width="3.28515625" style="28" customWidth="1"/>
    <col min="12062" max="12062" width="11.42578125" style="28"/>
    <col min="12063" max="12063" width="13.42578125" style="28" bestFit="1" customWidth="1"/>
    <col min="12064" max="12064" width="14" style="28" bestFit="1" customWidth="1"/>
    <col min="12065" max="12065" width="16.140625" style="28" bestFit="1" customWidth="1"/>
    <col min="12066" max="12066" width="16.140625" style="28" customWidth="1"/>
    <col min="12067" max="12292" width="11.42578125" style="28"/>
    <col min="12293" max="12293" width="30.140625" style="28" bestFit="1" customWidth="1"/>
    <col min="12294" max="12294" width="13.5703125" style="28" bestFit="1" customWidth="1"/>
    <col min="12295" max="12295" width="11.85546875" style="28" customWidth="1"/>
    <col min="12296" max="12296" width="13" style="28" bestFit="1" customWidth="1"/>
    <col min="12297" max="12297" width="13" style="28" customWidth="1"/>
    <col min="12298" max="12299" width="12.5703125" style="28" customWidth="1"/>
    <col min="12300" max="12300" width="14.28515625" style="28" customWidth="1"/>
    <col min="12301" max="12301" width="15.42578125" style="28" customWidth="1"/>
    <col min="12302" max="12302" width="11.42578125" style="28"/>
    <col min="12303" max="12303" width="13.85546875" style="28" customWidth="1"/>
    <col min="12304" max="12304" width="14.140625" style="28" customWidth="1"/>
    <col min="12305" max="12305" width="14.5703125" style="28" customWidth="1"/>
    <col min="12306" max="12306" width="9.5703125" style="28" customWidth="1"/>
    <col min="12307" max="12307" width="10.28515625" style="28" customWidth="1"/>
    <col min="12308" max="12308" width="8.85546875" style="28" customWidth="1"/>
    <col min="12309" max="12309" width="10.42578125" style="28" customWidth="1"/>
    <col min="12310" max="12310" width="11.5703125" style="28" customWidth="1"/>
    <col min="12311" max="12311" width="3.28515625" style="28" customWidth="1"/>
    <col min="12312" max="12312" width="12.7109375" style="28" customWidth="1"/>
    <col min="12313" max="12316" width="11.42578125" style="28"/>
    <col min="12317" max="12317" width="3.28515625" style="28" customWidth="1"/>
    <col min="12318" max="12318" width="11.42578125" style="28"/>
    <col min="12319" max="12319" width="13.42578125" style="28" bestFit="1" customWidth="1"/>
    <col min="12320" max="12320" width="14" style="28" bestFit="1" customWidth="1"/>
    <col min="12321" max="12321" width="16.140625" style="28" bestFit="1" customWidth="1"/>
    <col min="12322" max="12322" width="16.140625" style="28" customWidth="1"/>
    <col min="12323" max="12548" width="11.42578125" style="28"/>
    <col min="12549" max="12549" width="30.140625" style="28" bestFit="1" customWidth="1"/>
    <col min="12550" max="12550" width="13.5703125" style="28" bestFit="1" customWidth="1"/>
    <col min="12551" max="12551" width="11.85546875" style="28" customWidth="1"/>
    <col min="12552" max="12552" width="13" style="28" bestFit="1" customWidth="1"/>
    <col min="12553" max="12553" width="13" style="28" customWidth="1"/>
    <col min="12554" max="12555" width="12.5703125" style="28" customWidth="1"/>
    <col min="12556" max="12556" width="14.28515625" style="28" customWidth="1"/>
    <col min="12557" max="12557" width="15.42578125" style="28" customWidth="1"/>
    <col min="12558" max="12558" width="11.42578125" style="28"/>
    <col min="12559" max="12559" width="13.85546875" style="28" customWidth="1"/>
    <col min="12560" max="12560" width="14.140625" style="28" customWidth="1"/>
    <col min="12561" max="12561" width="14.5703125" style="28" customWidth="1"/>
    <col min="12562" max="12562" width="9.5703125" style="28" customWidth="1"/>
    <col min="12563" max="12563" width="10.28515625" style="28" customWidth="1"/>
    <col min="12564" max="12564" width="8.85546875" style="28" customWidth="1"/>
    <col min="12565" max="12565" width="10.42578125" style="28" customWidth="1"/>
    <col min="12566" max="12566" width="11.5703125" style="28" customWidth="1"/>
    <col min="12567" max="12567" width="3.28515625" style="28" customWidth="1"/>
    <col min="12568" max="12568" width="12.7109375" style="28" customWidth="1"/>
    <col min="12569" max="12572" width="11.42578125" style="28"/>
    <col min="12573" max="12573" width="3.28515625" style="28" customWidth="1"/>
    <col min="12574" max="12574" width="11.42578125" style="28"/>
    <col min="12575" max="12575" width="13.42578125" style="28" bestFit="1" customWidth="1"/>
    <col min="12576" max="12576" width="14" style="28" bestFit="1" customWidth="1"/>
    <col min="12577" max="12577" width="16.140625" style="28" bestFit="1" customWidth="1"/>
    <col min="12578" max="12578" width="16.140625" style="28" customWidth="1"/>
    <col min="12579" max="12804" width="11.42578125" style="28"/>
    <col min="12805" max="12805" width="30.140625" style="28" bestFit="1" customWidth="1"/>
    <col min="12806" max="12806" width="13.5703125" style="28" bestFit="1" customWidth="1"/>
    <col min="12807" max="12807" width="11.85546875" style="28" customWidth="1"/>
    <col min="12808" max="12808" width="13" style="28" bestFit="1" customWidth="1"/>
    <col min="12809" max="12809" width="13" style="28" customWidth="1"/>
    <col min="12810" max="12811" width="12.5703125" style="28" customWidth="1"/>
    <col min="12812" max="12812" width="14.28515625" style="28" customWidth="1"/>
    <col min="12813" max="12813" width="15.42578125" style="28" customWidth="1"/>
    <col min="12814" max="12814" width="11.42578125" style="28"/>
    <col min="12815" max="12815" width="13.85546875" style="28" customWidth="1"/>
    <col min="12816" max="12816" width="14.140625" style="28" customWidth="1"/>
    <col min="12817" max="12817" width="14.5703125" style="28" customWidth="1"/>
    <col min="12818" max="12818" width="9.5703125" style="28" customWidth="1"/>
    <col min="12819" max="12819" width="10.28515625" style="28" customWidth="1"/>
    <col min="12820" max="12820" width="8.85546875" style="28" customWidth="1"/>
    <col min="12821" max="12821" width="10.42578125" style="28" customWidth="1"/>
    <col min="12822" max="12822" width="11.5703125" style="28" customWidth="1"/>
    <col min="12823" max="12823" width="3.28515625" style="28" customWidth="1"/>
    <col min="12824" max="12824" width="12.7109375" style="28" customWidth="1"/>
    <col min="12825" max="12828" width="11.42578125" style="28"/>
    <col min="12829" max="12829" width="3.28515625" style="28" customWidth="1"/>
    <col min="12830" max="12830" width="11.42578125" style="28"/>
    <col min="12831" max="12831" width="13.42578125" style="28" bestFit="1" customWidth="1"/>
    <col min="12832" max="12832" width="14" style="28" bestFit="1" customWidth="1"/>
    <col min="12833" max="12833" width="16.140625" style="28" bestFit="1" customWidth="1"/>
    <col min="12834" max="12834" width="16.140625" style="28" customWidth="1"/>
    <col min="12835" max="13060" width="11.42578125" style="28"/>
    <col min="13061" max="13061" width="30.140625" style="28" bestFit="1" customWidth="1"/>
    <col min="13062" max="13062" width="13.5703125" style="28" bestFit="1" customWidth="1"/>
    <col min="13063" max="13063" width="11.85546875" style="28" customWidth="1"/>
    <col min="13064" max="13064" width="13" style="28" bestFit="1" customWidth="1"/>
    <col min="13065" max="13065" width="13" style="28" customWidth="1"/>
    <col min="13066" max="13067" width="12.5703125" style="28" customWidth="1"/>
    <col min="13068" max="13068" width="14.28515625" style="28" customWidth="1"/>
    <col min="13069" max="13069" width="15.42578125" style="28" customWidth="1"/>
    <col min="13070" max="13070" width="11.42578125" style="28"/>
    <col min="13071" max="13071" width="13.85546875" style="28" customWidth="1"/>
    <col min="13072" max="13072" width="14.140625" style="28" customWidth="1"/>
    <col min="13073" max="13073" width="14.5703125" style="28" customWidth="1"/>
    <col min="13074" max="13074" width="9.5703125" style="28" customWidth="1"/>
    <col min="13075" max="13075" width="10.28515625" style="28" customWidth="1"/>
    <col min="13076" max="13076" width="8.85546875" style="28" customWidth="1"/>
    <col min="13077" max="13077" width="10.42578125" style="28" customWidth="1"/>
    <col min="13078" max="13078" width="11.5703125" style="28" customWidth="1"/>
    <col min="13079" max="13079" width="3.28515625" style="28" customWidth="1"/>
    <col min="13080" max="13080" width="12.7109375" style="28" customWidth="1"/>
    <col min="13081" max="13084" width="11.42578125" style="28"/>
    <col min="13085" max="13085" width="3.28515625" style="28" customWidth="1"/>
    <col min="13086" max="13086" width="11.42578125" style="28"/>
    <col min="13087" max="13087" width="13.42578125" style="28" bestFit="1" customWidth="1"/>
    <col min="13088" max="13088" width="14" style="28" bestFit="1" customWidth="1"/>
    <col min="13089" max="13089" width="16.140625" style="28" bestFit="1" customWidth="1"/>
    <col min="13090" max="13090" width="16.140625" style="28" customWidth="1"/>
    <col min="13091" max="13316" width="11.42578125" style="28"/>
    <col min="13317" max="13317" width="30.140625" style="28" bestFit="1" customWidth="1"/>
    <col min="13318" max="13318" width="13.5703125" style="28" bestFit="1" customWidth="1"/>
    <col min="13319" max="13319" width="11.85546875" style="28" customWidth="1"/>
    <col min="13320" max="13320" width="13" style="28" bestFit="1" customWidth="1"/>
    <col min="13321" max="13321" width="13" style="28" customWidth="1"/>
    <col min="13322" max="13323" width="12.5703125" style="28" customWidth="1"/>
    <col min="13324" max="13324" width="14.28515625" style="28" customWidth="1"/>
    <col min="13325" max="13325" width="15.42578125" style="28" customWidth="1"/>
    <col min="13326" max="13326" width="11.42578125" style="28"/>
    <col min="13327" max="13327" width="13.85546875" style="28" customWidth="1"/>
    <col min="13328" max="13328" width="14.140625" style="28" customWidth="1"/>
    <col min="13329" max="13329" width="14.5703125" style="28" customWidth="1"/>
    <col min="13330" max="13330" width="9.5703125" style="28" customWidth="1"/>
    <col min="13331" max="13331" width="10.28515625" style="28" customWidth="1"/>
    <col min="13332" max="13332" width="8.85546875" style="28" customWidth="1"/>
    <col min="13333" max="13333" width="10.42578125" style="28" customWidth="1"/>
    <col min="13334" max="13334" width="11.5703125" style="28" customWidth="1"/>
    <col min="13335" max="13335" width="3.28515625" style="28" customWidth="1"/>
    <col min="13336" max="13336" width="12.7109375" style="28" customWidth="1"/>
    <col min="13337" max="13340" width="11.42578125" style="28"/>
    <col min="13341" max="13341" width="3.28515625" style="28" customWidth="1"/>
    <col min="13342" max="13342" width="11.42578125" style="28"/>
    <col min="13343" max="13343" width="13.42578125" style="28" bestFit="1" customWidth="1"/>
    <col min="13344" max="13344" width="14" style="28" bestFit="1" customWidth="1"/>
    <col min="13345" max="13345" width="16.140625" style="28" bestFit="1" customWidth="1"/>
    <col min="13346" max="13346" width="16.140625" style="28" customWidth="1"/>
    <col min="13347" max="13572" width="11.42578125" style="28"/>
    <col min="13573" max="13573" width="30.140625" style="28" bestFit="1" customWidth="1"/>
    <col min="13574" max="13574" width="13.5703125" style="28" bestFit="1" customWidth="1"/>
    <col min="13575" max="13575" width="11.85546875" style="28" customWidth="1"/>
    <col min="13576" max="13576" width="13" style="28" bestFit="1" customWidth="1"/>
    <col min="13577" max="13577" width="13" style="28" customWidth="1"/>
    <col min="13578" max="13579" width="12.5703125" style="28" customWidth="1"/>
    <col min="13580" max="13580" width="14.28515625" style="28" customWidth="1"/>
    <col min="13581" max="13581" width="15.42578125" style="28" customWidth="1"/>
    <col min="13582" max="13582" width="11.42578125" style="28"/>
    <col min="13583" max="13583" width="13.85546875" style="28" customWidth="1"/>
    <col min="13584" max="13584" width="14.140625" style="28" customWidth="1"/>
    <col min="13585" max="13585" width="14.5703125" style="28" customWidth="1"/>
    <col min="13586" max="13586" width="9.5703125" style="28" customWidth="1"/>
    <col min="13587" max="13587" width="10.28515625" style="28" customWidth="1"/>
    <col min="13588" max="13588" width="8.85546875" style="28" customWidth="1"/>
    <col min="13589" max="13589" width="10.42578125" style="28" customWidth="1"/>
    <col min="13590" max="13590" width="11.5703125" style="28" customWidth="1"/>
    <col min="13591" max="13591" width="3.28515625" style="28" customWidth="1"/>
    <col min="13592" max="13592" width="12.7109375" style="28" customWidth="1"/>
    <col min="13593" max="13596" width="11.42578125" style="28"/>
    <col min="13597" max="13597" width="3.28515625" style="28" customWidth="1"/>
    <col min="13598" max="13598" width="11.42578125" style="28"/>
    <col min="13599" max="13599" width="13.42578125" style="28" bestFit="1" customWidth="1"/>
    <col min="13600" max="13600" width="14" style="28" bestFit="1" customWidth="1"/>
    <col min="13601" max="13601" width="16.140625" style="28" bestFit="1" customWidth="1"/>
    <col min="13602" max="13602" width="16.140625" style="28" customWidth="1"/>
    <col min="13603" max="13828" width="11.42578125" style="28"/>
    <col min="13829" max="13829" width="30.140625" style="28" bestFit="1" customWidth="1"/>
    <col min="13830" max="13830" width="13.5703125" style="28" bestFit="1" customWidth="1"/>
    <col min="13831" max="13831" width="11.85546875" style="28" customWidth="1"/>
    <col min="13832" max="13832" width="13" style="28" bestFit="1" customWidth="1"/>
    <col min="13833" max="13833" width="13" style="28" customWidth="1"/>
    <col min="13834" max="13835" width="12.5703125" style="28" customWidth="1"/>
    <col min="13836" max="13836" width="14.28515625" style="28" customWidth="1"/>
    <col min="13837" max="13837" width="15.42578125" style="28" customWidth="1"/>
    <col min="13838" max="13838" width="11.42578125" style="28"/>
    <col min="13839" max="13839" width="13.85546875" style="28" customWidth="1"/>
    <col min="13840" max="13840" width="14.140625" style="28" customWidth="1"/>
    <col min="13841" max="13841" width="14.5703125" style="28" customWidth="1"/>
    <col min="13842" max="13842" width="9.5703125" style="28" customWidth="1"/>
    <col min="13843" max="13843" width="10.28515625" style="28" customWidth="1"/>
    <col min="13844" max="13844" width="8.85546875" style="28" customWidth="1"/>
    <col min="13845" max="13845" width="10.42578125" style="28" customWidth="1"/>
    <col min="13846" max="13846" width="11.5703125" style="28" customWidth="1"/>
    <col min="13847" max="13847" width="3.28515625" style="28" customWidth="1"/>
    <col min="13848" max="13848" width="12.7109375" style="28" customWidth="1"/>
    <col min="13849" max="13852" width="11.42578125" style="28"/>
    <col min="13853" max="13853" width="3.28515625" style="28" customWidth="1"/>
    <col min="13854" max="13854" width="11.42578125" style="28"/>
    <col min="13855" max="13855" width="13.42578125" style="28" bestFit="1" customWidth="1"/>
    <col min="13856" max="13856" width="14" style="28" bestFit="1" customWidth="1"/>
    <col min="13857" max="13857" width="16.140625" style="28" bestFit="1" customWidth="1"/>
    <col min="13858" max="13858" width="16.140625" style="28" customWidth="1"/>
    <col min="13859" max="14084" width="11.42578125" style="28"/>
    <col min="14085" max="14085" width="30.140625" style="28" bestFit="1" customWidth="1"/>
    <col min="14086" max="14086" width="13.5703125" style="28" bestFit="1" customWidth="1"/>
    <col min="14087" max="14087" width="11.85546875" style="28" customWidth="1"/>
    <col min="14088" max="14088" width="13" style="28" bestFit="1" customWidth="1"/>
    <col min="14089" max="14089" width="13" style="28" customWidth="1"/>
    <col min="14090" max="14091" width="12.5703125" style="28" customWidth="1"/>
    <col min="14092" max="14092" width="14.28515625" style="28" customWidth="1"/>
    <col min="14093" max="14093" width="15.42578125" style="28" customWidth="1"/>
    <col min="14094" max="14094" width="11.42578125" style="28"/>
    <col min="14095" max="14095" width="13.85546875" style="28" customWidth="1"/>
    <col min="14096" max="14096" width="14.140625" style="28" customWidth="1"/>
    <col min="14097" max="14097" width="14.5703125" style="28" customWidth="1"/>
    <col min="14098" max="14098" width="9.5703125" style="28" customWidth="1"/>
    <col min="14099" max="14099" width="10.28515625" style="28" customWidth="1"/>
    <col min="14100" max="14100" width="8.85546875" style="28" customWidth="1"/>
    <col min="14101" max="14101" width="10.42578125" style="28" customWidth="1"/>
    <col min="14102" max="14102" width="11.5703125" style="28" customWidth="1"/>
    <col min="14103" max="14103" width="3.28515625" style="28" customWidth="1"/>
    <col min="14104" max="14104" width="12.7109375" style="28" customWidth="1"/>
    <col min="14105" max="14108" width="11.42578125" style="28"/>
    <col min="14109" max="14109" width="3.28515625" style="28" customWidth="1"/>
    <col min="14110" max="14110" width="11.42578125" style="28"/>
    <col min="14111" max="14111" width="13.42578125" style="28" bestFit="1" customWidth="1"/>
    <col min="14112" max="14112" width="14" style="28" bestFit="1" customWidth="1"/>
    <col min="14113" max="14113" width="16.140625" style="28" bestFit="1" customWidth="1"/>
    <col min="14114" max="14114" width="16.140625" style="28" customWidth="1"/>
    <col min="14115" max="14340" width="11.42578125" style="28"/>
    <col min="14341" max="14341" width="30.140625" style="28" bestFit="1" customWidth="1"/>
    <col min="14342" max="14342" width="13.5703125" style="28" bestFit="1" customWidth="1"/>
    <col min="14343" max="14343" width="11.85546875" style="28" customWidth="1"/>
    <col min="14344" max="14344" width="13" style="28" bestFit="1" customWidth="1"/>
    <col min="14345" max="14345" width="13" style="28" customWidth="1"/>
    <col min="14346" max="14347" width="12.5703125" style="28" customWidth="1"/>
    <col min="14348" max="14348" width="14.28515625" style="28" customWidth="1"/>
    <col min="14349" max="14349" width="15.42578125" style="28" customWidth="1"/>
    <col min="14350" max="14350" width="11.42578125" style="28"/>
    <col min="14351" max="14351" width="13.85546875" style="28" customWidth="1"/>
    <col min="14352" max="14352" width="14.140625" style="28" customWidth="1"/>
    <col min="14353" max="14353" width="14.5703125" style="28" customWidth="1"/>
    <col min="14354" max="14354" width="9.5703125" style="28" customWidth="1"/>
    <col min="14355" max="14355" width="10.28515625" style="28" customWidth="1"/>
    <col min="14356" max="14356" width="8.85546875" style="28" customWidth="1"/>
    <col min="14357" max="14357" width="10.42578125" style="28" customWidth="1"/>
    <col min="14358" max="14358" width="11.5703125" style="28" customWidth="1"/>
    <col min="14359" max="14359" width="3.28515625" style="28" customWidth="1"/>
    <col min="14360" max="14360" width="12.7109375" style="28" customWidth="1"/>
    <col min="14361" max="14364" width="11.42578125" style="28"/>
    <col min="14365" max="14365" width="3.28515625" style="28" customWidth="1"/>
    <col min="14366" max="14366" width="11.42578125" style="28"/>
    <col min="14367" max="14367" width="13.42578125" style="28" bestFit="1" customWidth="1"/>
    <col min="14368" max="14368" width="14" style="28" bestFit="1" customWidth="1"/>
    <col min="14369" max="14369" width="16.140625" style="28" bestFit="1" customWidth="1"/>
    <col min="14370" max="14370" width="16.140625" style="28" customWidth="1"/>
    <col min="14371" max="14596" width="11.42578125" style="28"/>
    <col min="14597" max="14597" width="30.140625" style="28" bestFit="1" customWidth="1"/>
    <col min="14598" max="14598" width="13.5703125" style="28" bestFit="1" customWidth="1"/>
    <col min="14599" max="14599" width="11.85546875" style="28" customWidth="1"/>
    <col min="14600" max="14600" width="13" style="28" bestFit="1" customWidth="1"/>
    <col min="14601" max="14601" width="13" style="28" customWidth="1"/>
    <col min="14602" max="14603" width="12.5703125" style="28" customWidth="1"/>
    <col min="14604" max="14604" width="14.28515625" style="28" customWidth="1"/>
    <col min="14605" max="14605" width="15.42578125" style="28" customWidth="1"/>
    <col min="14606" max="14606" width="11.42578125" style="28"/>
    <col min="14607" max="14607" width="13.85546875" style="28" customWidth="1"/>
    <col min="14608" max="14608" width="14.140625" style="28" customWidth="1"/>
    <col min="14609" max="14609" width="14.5703125" style="28" customWidth="1"/>
    <col min="14610" max="14610" width="9.5703125" style="28" customWidth="1"/>
    <col min="14611" max="14611" width="10.28515625" style="28" customWidth="1"/>
    <col min="14612" max="14612" width="8.85546875" style="28" customWidth="1"/>
    <col min="14613" max="14613" width="10.42578125" style="28" customWidth="1"/>
    <col min="14614" max="14614" width="11.5703125" style="28" customWidth="1"/>
    <col min="14615" max="14615" width="3.28515625" style="28" customWidth="1"/>
    <col min="14616" max="14616" width="12.7109375" style="28" customWidth="1"/>
    <col min="14617" max="14620" width="11.42578125" style="28"/>
    <col min="14621" max="14621" width="3.28515625" style="28" customWidth="1"/>
    <col min="14622" max="14622" width="11.42578125" style="28"/>
    <col min="14623" max="14623" width="13.42578125" style="28" bestFit="1" customWidth="1"/>
    <col min="14624" max="14624" width="14" style="28" bestFit="1" customWidth="1"/>
    <col min="14625" max="14625" width="16.140625" style="28" bestFit="1" customWidth="1"/>
    <col min="14626" max="14626" width="16.140625" style="28" customWidth="1"/>
    <col min="14627" max="14852" width="11.42578125" style="28"/>
    <col min="14853" max="14853" width="30.140625" style="28" bestFit="1" customWidth="1"/>
    <col min="14854" max="14854" width="13.5703125" style="28" bestFit="1" customWidth="1"/>
    <col min="14855" max="14855" width="11.85546875" style="28" customWidth="1"/>
    <col min="14856" max="14856" width="13" style="28" bestFit="1" customWidth="1"/>
    <col min="14857" max="14857" width="13" style="28" customWidth="1"/>
    <col min="14858" max="14859" width="12.5703125" style="28" customWidth="1"/>
    <col min="14860" max="14860" width="14.28515625" style="28" customWidth="1"/>
    <col min="14861" max="14861" width="15.42578125" style="28" customWidth="1"/>
    <col min="14862" max="14862" width="11.42578125" style="28"/>
    <col min="14863" max="14863" width="13.85546875" style="28" customWidth="1"/>
    <col min="14864" max="14864" width="14.140625" style="28" customWidth="1"/>
    <col min="14865" max="14865" width="14.5703125" style="28" customWidth="1"/>
    <col min="14866" max="14866" width="9.5703125" style="28" customWidth="1"/>
    <col min="14867" max="14867" width="10.28515625" style="28" customWidth="1"/>
    <col min="14868" max="14868" width="8.85546875" style="28" customWidth="1"/>
    <col min="14869" max="14869" width="10.42578125" style="28" customWidth="1"/>
    <col min="14870" max="14870" width="11.5703125" style="28" customWidth="1"/>
    <col min="14871" max="14871" width="3.28515625" style="28" customWidth="1"/>
    <col min="14872" max="14872" width="12.7109375" style="28" customWidth="1"/>
    <col min="14873" max="14876" width="11.42578125" style="28"/>
    <col min="14877" max="14877" width="3.28515625" style="28" customWidth="1"/>
    <col min="14878" max="14878" width="11.42578125" style="28"/>
    <col min="14879" max="14879" width="13.42578125" style="28" bestFit="1" customWidth="1"/>
    <col min="14880" max="14880" width="14" style="28" bestFit="1" customWidth="1"/>
    <col min="14881" max="14881" width="16.140625" style="28" bestFit="1" customWidth="1"/>
    <col min="14882" max="14882" width="16.140625" style="28" customWidth="1"/>
    <col min="14883" max="15108" width="11.42578125" style="28"/>
    <col min="15109" max="15109" width="30.140625" style="28" bestFit="1" customWidth="1"/>
    <col min="15110" max="15110" width="13.5703125" style="28" bestFit="1" customWidth="1"/>
    <col min="15111" max="15111" width="11.85546875" style="28" customWidth="1"/>
    <col min="15112" max="15112" width="13" style="28" bestFit="1" customWidth="1"/>
    <col min="15113" max="15113" width="13" style="28" customWidth="1"/>
    <col min="15114" max="15115" width="12.5703125" style="28" customWidth="1"/>
    <col min="15116" max="15116" width="14.28515625" style="28" customWidth="1"/>
    <col min="15117" max="15117" width="15.42578125" style="28" customWidth="1"/>
    <col min="15118" max="15118" width="11.42578125" style="28"/>
    <col min="15119" max="15119" width="13.85546875" style="28" customWidth="1"/>
    <col min="15120" max="15120" width="14.140625" style="28" customWidth="1"/>
    <col min="15121" max="15121" width="14.5703125" style="28" customWidth="1"/>
    <col min="15122" max="15122" width="9.5703125" style="28" customWidth="1"/>
    <col min="15123" max="15123" width="10.28515625" style="28" customWidth="1"/>
    <col min="15124" max="15124" width="8.85546875" style="28" customWidth="1"/>
    <col min="15125" max="15125" width="10.42578125" style="28" customWidth="1"/>
    <col min="15126" max="15126" width="11.5703125" style="28" customWidth="1"/>
    <col min="15127" max="15127" width="3.28515625" style="28" customWidth="1"/>
    <col min="15128" max="15128" width="12.7109375" style="28" customWidth="1"/>
    <col min="15129" max="15132" width="11.42578125" style="28"/>
    <col min="15133" max="15133" width="3.28515625" style="28" customWidth="1"/>
    <col min="15134" max="15134" width="11.42578125" style="28"/>
    <col min="15135" max="15135" width="13.42578125" style="28" bestFit="1" customWidth="1"/>
    <col min="15136" max="15136" width="14" style="28" bestFit="1" customWidth="1"/>
    <col min="15137" max="15137" width="16.140625" style="28" bestFit="1" customWidth="1"/>
    <col min="15138" max="15138" width="16.140625" style="28" customWidth="1"/>
    <col min="15139" max="15364" width="11.42578125" style="28"/>
    <col min="15365" max="15365" width="30.140625" style="28" bestFit="1" customWidth="1"/>
    <col min="15366" max="15366" width="13.5703125" style="28" bestFit="1" customWidth="1"/>
    <col min="15367" max="15367" width="11.85546875" style="28" customWidth="1"/>
    <col min="15368" max="15368" width="13" style="28" bestFit="1" customWidth="1"/>
    <col min="15369" max="15369" width="13" style="28" customWidth="1"/>
    <col min="15370" max="15371" width="12.5703125" style="28" customWidth="1"/>
    <col min="15372" max="15372" width="14.28515625" style="28" customWidth="1"/>
    <col min="15373" max="15373" width="15.42578125" style="28" customWidth="1"/>
    <col min="15374" max="15374" width="11.42578125" style="28"/>
    <col min="15375" max="15375" width="13.85546875" style="28" customWidth="1"/>
    <col min="15376" max="15376" width="14.140625" style="28" customWidth="1"/>
    <col min="15377" max="15377" width="14.5703125" style="28" customWidth="1"/>
    <col min="15378" max="15378" width="9.5703125" style="28" customWidth="1"/>
    <col min="15379" max="15379" width="10.28515625" style="28" customWidth="1"/>
    <col min="15380" max="15380" width="8.85546875" style="28" customWidth="1"/>
    <col min="15381" max="15381" width="10.42578125" style="28" customWidth="1"/>
    <col min="15382" max="15382" width="11.5703125" style="28" customWidth="1"/>
    <col min="15383" max="15383" width="3.28515625" style="28" customWidth="1"/>
    <col min="15384" max="15384" width="12.7109375" style="28" customWidth="1"/>
    <col min="15385" max="15388" width="11.42578125" style="28"/>
    <col min="15389" max="15389" width="3.28515625" style="28" customWidth="1"/>
    <col min="15390" max="15390" width="11.42578125" style="28"/>
    <col min="15391" max="15391" width="13.42578125" style="28" bestFit="1" customWidth="1"/>
    <col min="15392" max="15392" width="14" style="28" bestFit="1" customWidth="1"/>
    <col min="15393" max="15393" width="16.140625" style="28" bestFit="1" customWidth="1"/>
    <col min="15394" max="15394" width="16.140625" style="28" customWidth="1"/>
    <col min="15395" max="15620" width="11.42578125" style="28"/>
    <col min="15621" max="15621" width="30.140625" style="28" bestFit="1" customWidth="1"/>
    <col min="15622" max="15622" width="13.5703125" style="28" bestFit="1" customWidth="1"/>
    <col min="15623" max="15623" width="11.85546875" style="28" customWidth="1"/>
    <col min="15624" max="15624" width="13" style="28" bestFit="1" customWidth="1"/>
    <col min="15625" max="15625" width="13" style="28" customWidth="1"/>
    <col min="15626" max="15627" width="12.5703125" style="28" customWidth="1"/>
    <col min="15628" max="15628" width="14.28515625" style="28" customWidth="1"/>
    <col min="15629" max="15629" width="15.42578125" style="28" customWidth="1"/>
    <col min="15630" max="15630" width="11.42578125" style="28"/>
    <col min="15631" max="15631" width="13.85546875" style="28" customWidth="1"/>
    <col min="15632" max="15632" width="14.140625" style="28" customWidth="1"/>
    <col min="15633" max="15633" width="14.5703125" style="28" customWidth="1"/>
    <col min="15634" max="15634" width="9.5703125" style="28" customWidth="1"/>
    <col min="15635" max="15635" width="10.28515625" style="28" customWidth="1"/>
    <col min="15636" max="15636" width="8.85546875" style="28" customWidth="1"/>
    <col min="15637" max="15637" width="10.42578125" style="28" customWidth="1"/>
    <col min="15638" max="15638" width="11.5703125" style="28" customWidth="1"/>
    <col min="15639" max="15639" width="3.28515625" style="28" customWidth="1"/>
    <col min="15640" max="15640" width="12.7109375" style="28" customWidth="1"/>
    <col min="15641" max="15644" width="11.42578125" style="28"/>
    <col min="15645" max="15645" width="3.28515625" style="28" customWidth="1"/>
    <col min="15646" max="15646" width="11.42578125" style="28"/>
    <col min="15647" max="15647" width="13.42578125" style="28" bestFit="1" customWidth="1"/>
    <col min="15648" max="15648" width="14" style="28" bestFit="1" customWidth="1"/>
    <col min="15649" max="15649" width="16.140625" style="28" bestFit="1" customWidth="1"/>
    <col min="15650" max="15650" width="16.140625" style="28" customWidth="1"/>
    <col min="15651" max="15876" width="11.42578125" style="28"/>
    <col min="15877" max="15877" width="30.140625" style="28" bestFit="1" customWidth="1"/>
    <col min="15878" max="15878" width="13.5703125" style="28" bestFit="1" customWidth="1"/>
    <col min="15879" max="15879" width="11.85546875" style="28" customWidth="1"/>
    <col min="15880" max="15880" width="13" style="28" bestFit="1" customWidth="1"/>
    <col min="15881" max="15881" width="13" style="28" customWidth="1"/>
    <col min="15882" max="15883" width="12.5703125" style="28" customWidth="1"/>
    <col min="15884" max="15884" width="14.28515625" style="28" customWidth="1"/>
    <col min="15885" max="15885" width="15.42578125" style="28" customWidth="1"/>
    <col min="15886" max="15886" width="11.42578125" style="28"/>
    <col min="15887" max="15887" width="13.85546875" style="28" customWidth="1"/>
    <col min="15888" max="15888" width="14.140625" style="28" customWidth="1"/>
    <col min="15889" max="15889" width="14.5703125" style="28" customWidth="1"/>
    <col min="15890" max="15890" width="9.5703125" style="28" customWidth="1"/>
    <col min="15891" max="15891" width="10.28515625" style="28" customWidth="1"/>
    <col min="15892" max="15892" width="8.85546875" style="28" customWidth="1"/>
    <col min="15893" max="15893" width="10.42578125" style="28" customWidth="1"/>
    <col min="15894" max="15894" width="11.5703125" style="28" customWidth="1"/>
    <col min="15895" max="15895" width="3.28515625" style="28" customWidth="1"/>
    <col min="15896" max="15896" width="12.7109375" style="28" customWidth="1"/>
    <col min="15897" max="15900" width="11.42578125" style="28"/>
    <col min="15901" max="15901" width="3.28515625" style="28" customWidth="1"/>
    <col min="15902" max="15902" width="11.42578125" style="28"/>
    <col min="15903" max="15903" width="13.42578125" style="28" bestFit="1" customWidth="1"/>
    <col min="15904" max="15904" width="14" style="28" bestFit="1" customWidth="1"/>
    <col min="15905" max="15905" width="16.140625" style="28" bestFit="1" customWidth="1"/>
    <col min="15906" max="15906" width="16.140625" style="28" customWidth="1"/>
    <col min="15907" max="16132" width="11.42578125" style="28"/>
    <col min="16133" max="16133" width="30.140625" style="28" bestFit="1" customWidth="1"/>
    <col min="16134" max="16134" width="13.5703125" style="28" bestFit="1" customWidth="1"/>
    <col min="16135" max="16135" width="11.85546875" style="28" customWidth="1"/>
    <col min="16136" max="16136" width="13" style="28" bestFit="1" customWidth="1"/>
    <col min="16137" max="16137" width="13" style="28" customWidth="1"/>
    <col min="16138" max="16139" width="12.5703125" style="28" customWidth="1"/>
    <col min="16140" max="16140" width="14.28515625" style="28" customWidth="1"/>
    <col min="16141" max="16141" width="15.42578125" style="28" customWidth="1"/>
    <col min="16142" max="16142" width="11.42578125" style="28"/>
    <col min="16143" max="16143" width="13.85546875" style="28" customWidth="1"/>
    <col min="16144" max="16144" width="14.140625" style="28" customWidth="1"/>
    <col min="16145" max="16145" width="14.5703125" style="28" customWidth="1"/>
    <col min="16146" max="16146" width="9.5703125" style="28" customWidth="1"/>
    <col min="16147" max="16147" width="10.28515625" style="28" customWidth="1"/>
    <col min="16148" max="16148" width="8.85546875" style="28" customWidth="1"/>
    <col min="16149" max="16149" width="10.42578125" style="28" customWidth="1"/>
    <col min="16150" max="16150" width="11.5703125" style="28" customWidth="1"/>
    <col min="16151" max="16151" width="3.28515625" style="28" customWidth="1"/>
    <col min="16152" max="16152" width="12.7109375" style="28" customWidth="1"/>
    <col min="16153" max="16156" width="11.42578125" style="28"/>
    <col min="16157" max="16157" width="3.28515625" style="28" customWidth="1"/>
    <col min="16158" max="16158" width="11.42578125" style="28"/>
    <col min="16159" max="16159" width="13.42578125" style="28" bestFit="1" customWidth="1"/>
    <col min="16160" max="16160" width="14" style="28" bestFit="1" customWidth="1"/>
    <col min="16161" max="16161" width="16.140625" style="28" bestFit="1" customWidth="1"/>
    <col min="16162" max="16162" width="16.140625" style="28" customWidth="1"/>
    <col min="16163" max="16384" width="11.42578125" style="28"/>
  </cols>
  <sheetData>
    <row r="1" spans="2:39" s="1" customFormat="1" ht="19.5" customHeight="1" x14ac:dyDescent="0.25">
      <c r="B1" s="234" t="s">
        <v>152</v>
      </c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</row>
    <row r="2" spans="2:39" s="1" customFormat="1" ht="19.5" customHeight="1" x14ac:dyDescent="0.25"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  <c r="AH2" s="234"/>
      <c r="AI2" s="234"/>
      <c r="AJ2" s="234"/>
      <c r="AK2" s="234"/>
      <c r="AL2" s="234"/>
      <c r="AM2" s="234"/>
    </row>
    <row r="3" spans="2:39" s="1" customFormat="1" ht="19.5" x14ac:dyDescent="0.25">
      <c r="B3" s="2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3"/>
      <c r="V3" s="235" t="s">
        <v>153</v>
      </c>
      <c r="W3" s="235"/>
      <c r="X3" s="235"/>
      <c r="Y3" s="235"/>
      <c r="Z3" s="235"/>
      <c r="AA3" s="4"/>
      <c r="AB3" s="3"/>
      <c r="AC3" s="3"/>
      <c r="AD3" s="235" t="s">
        <v>154</v>
      </c>
      <c r="AE3" s="235"/>
      <c r="AF3" s="235"/>
      <c r="AG3" s="235"/>
      <c r="AH3" s="235"/>
      <c r="AI3" s="235"/>
      <c r="AJ3" s="235"/>
      <c r="AK3" s="235"/>
      <c r="AL3" s="235"/>
      <c r="AM3" s="235"/>
    </row>
    <row r="4" spans="2:39" s="6" customFormat="1" ht="57" customHeight="1" x14ac:dyDescent="0.2">
      <c r="B4" s="5" t="s">
        <v>155</v>
      </c>
      <c r="C4" s="5" t="s">
        <v>156</v>
      </c>
      <c r="D4" s="5" t="s">
        <v>157</v>
      </c>
      <c r="E4" s="5" t="s">
        <v>158</v>
      </c>
      <c r="F4" s="5" t="s">
        <v>157</v>
      </c>
      <c r="G4" s="5" t="s">
        <v>159</v>
      </c>
      <c r="H4" s="236" t="s">
        <v>160</v>
      </c>
      <c r="I4" s="5" t="s">
        <v>161</v>
      </c>
      <c r="J4" s="5" t="s">
        <v>161</v>
      </c>
      <c r="K4" s="5" t="s">
        <v>162</v>
      </c>
      <c r="L4" s="5" t="s">
        <v>163</v>
      </c>
      <c r="M4" s="5" t="s">
        <v>164</v>
      </c>
      <c r="N4" s="5" t="s">
        <v>165</v>
      </c>
      <c r="O4" s="5" t="s">
        <v>164</v>
      </c>
      <c r="P4" s="5" t="s">
        <v>166</v>
      </c>
      <c r="Q4" s="5" t="s">
        <v>167</v>
      </c>
      <c r="R4" s="5" t="s">
        <v>168</v>
      </c>
      <c r="S4" s="5" t="s">
        <v>163</v>
      </c>
      <c r="T4" s="5" t="s">
        <v>169</v>
      </c>
      <c r="V4" s="5" t="s">
        <v>170</v>
      </c>
      <c r="W4" s="5" t="s">
        <v>171</v>
      </c>
      <c r="X4" s="5" t="s">
        <v>172</v>
      </c>
      <c r="Y4" s="7" t="s">
        <v>173</v>
      </c>
      <c r="Z4" s="236" t="s">
        <v>163</v>
      </c>
      <c r="AA4" s="7" t="s">
        <v>174</v>
      </c>
      <c r="AC4" s="5" t="s">
        <v>175</v>
      </c>
      <c r="AD4" s="7" t="s">
        <v>176</v>
      </c>
      <c r="AE4" s="7" t="s">
        <v>177</v>
      </c>
      <c r="AF4" s="7" t="s">
        <v>178</v>
      </c>
      <c r="AG4" s="7" t="s">
        <v>179</v>
      </c>
      <c r="AH4" s="7" t="s">
        <v>180</v>
      </c>
      <c r="AI4" s="7" t="s">
        <v>181</v>
      </c>
      <c r="AJ4" s="5" t="s">
        <v>182</v>
      </c>
      <c r="AK4" s="5" t="s">
        <v>183</v>
      </c>
      <c r="AL4" s="5" t="s">
        <v>184</v>
      </c>
      <c r="AM4" s="236" t="s">
        <v>163</v>
      </c>
    </row>
    <row r="5" spans="2:39" s="6" customFormat="1" ht="54.75" x14ac:dyDescent="0.2">
      <c r="B5" s="8"/>
      <c r="C5" s="8"/>
      <c r="D5" s="5" t="s">
        <v>185</v>
      </c>
      <c r="E5" s="5" t="s">
        <v>186</v>
      </c>
      <c r="F5" s="5" t="s">
        <v>187</v>
      </c>
      <c r="G5" s="5" t="s">
        <v>188</v>
      </c>
      <c r="H5" s="237"/>
      <c r="I5" s="5" t="s">
        <v>189</v>
      </c>
      <c r="J5" s="5" t="s">
        <v>190</v>
      </c>
      <c r="K5" s="5" t="s">
        <v>191</v>
      </c>
      <c r="L5" s="5" t="s">
        <v>187</v>
      </c>
      <c r="M5" s="5" t="s">
        <v>192</v>
      </c>
      <c r="N5" s="5" t="s">
        <v>193</v>
      </c>
      <c r="O5" s="5" t="s">
        <v>194</v>
      </c>
      <c r="P5" s="5" t="s">
        <v>195</v>
      </c>
      <c r="Q5" s="5" t="s">
        <v>196</v>
      </c>
      <c r="R5" s="5" t="s">
        <v>197</v>
      </c>
      <c r="S5" s="9" t="s">
        <v>198</v>
      </c>
      <c r="T5" s="9" t="s">
        <v>199</v>
      </c>
      <c r="V5" s="10">
        <v>8.3299999999999999E-2</v>
      </c>
      <c r="W5" s="10">
        <v>8.3299999999999999E-2</v>
      </c>
      <c r="X5" s="10">
        <v>0.12</v>
      </c>
      <c r="Y5" s="10">
        <v>4.1700000000000001E-2</v>
      </c>
      <c r="Z5" s="237"/>
      <c r="AA5" s="7" t="s">
        <v>200</v>
      </c>
      <c r="AC5" s="11" t="s">
        <v>201</v>
      </c>
      <c r="AD5" s="12">
        <v>8.5000000000000006E-2</v>
      </c>
      <c r="AE5" s="13">
        <v>0.04</v>
      </c>
      <c r="AF5" s="13">
        <v>0.12</v>
      </c>
      <c r="AG5" s="13">
        <v>0.04</v>
      </c>
      <c r="AH5" s="13">
        <v>0.01</v>
      </c>
      <c r="AI5" s="13">
        <v>0.04</v>
      </c>
      <c r="AJ5" s="12" t="s">
        <v>202</v>
      </c>
      <c r="AK5" s="13">
        <v>0.03</v>
      </c>
      <c r="AL5" s="13">
        <v>0.02</v>
      </c>
      <c r="AM5" s="237"/>
    </row>
    <row r="6" spans="2:39" s="20" customFormat="1" ht="11.25" x14ac:dyDescent="0.2">
      <c r="B6" s="14" t="s">
        <v>203</v>
      </c>
      <c r="C6" s="15" t="s">
        <v>204</v>
      </c>
      <c r="D6" s="16">
        <v>2000000</v>
      </c>
      <c r="E6" s="15">
        <v>30</v>
      </c>
      <c r="F6" s="16">
        <f>+D6/30*E6</f>
        <v>2000000.0000000002</v>
      </c>
      <c r="G6" s="16"/>
      <c r="H6" s="17"/>
      <c r="I6" s="17">
        <v>0</v>
      </c>
      <c r="J6" s="17"/>
      <c r="K6" s="17"/>
      <c r="L6" s="16">
        <f>SUM(F6:K6)</f>
        <v>2000000.0000000002</v>
      </c>
      <c r="M6" s="16">
        <f>L6*4/100</f>
        <v>80000.000000000015</v>
      </c>
      <c r="N6" s="16">
        <f>L6*4/100</f>
        <v>80000.000000000015</v>
      </c>
      <c r="O6" s="16"/>
      <c r="P6" s="16">
        <f>L6*1/100</f>
        <v>20000.000000000004</v>
      </c>
      <c r="Q6" s="16">
        <v>0</v>
      </c>
      <c r="R6" s="16">
        <v>0</v>
      </c>
      <c r="S6" s="16">
        <f>SUM(M6:R6)</f>
        <v>180000.00000000003</v>
      </c>
      <c r="T6" s="16">
        <f>+L6-S6</f>
        <v>1820000.0000000002</v>
      </c>
      <c r="U6" s="18"/>
      <c r="V6" s="16">
        <f>F6*$V$5</f>
        <v>166600.00000000003</v>
      </c>
      <c r="W6" s="16">
        <f>F6*$W$5</f>
        <v>166600.00000000003</v>
      </c>
      <c r="X6" s="16">
        <f>+D6*1%</f>
        <v>20000</v>
      </c>
      <c r="Y6" s="16">
        <f>D6*$Y$5</f>
        <v>83400</v>
      </c>
      <c r="Z6" s="16">
        <f>SUM(V6:Y6)</f>
        <v>436600.00000000006</v>
      </c>
      <c r="AA6" s="19">
        <f>IF($AA$5="Enero",$Z$6*1,(IF($AA$5="Febrero",$Z$6*2,(IF($AA$5="Marzo",$Z$6*3,(IF($AA$5="Abril",$Z$6*4,(IF($AA$5="Mayo",$Z$6*5,(IF($AA$5="Junio",$Z$6*6,(IF($AA$5="Julio",$Z$6*7,(IF($AA$5="Agosto",$Z$6*8,(IF($AA$5="Septiembre",$Z$6*9,(IF($AA$5="Octubre",$Z$6*10,(IF($AA$5="Noviembre",$Z$6*11,(IF($AA$5="Diciembre",$Z$6*12)))))))))))))))))))))))</f>
        <v>436600.00000000006</v>
      </c>
      <c r="AC6" s="21">
        <v>5.2199999999999998E-3</v>
      </c>
      <c r="AD6" s="16">
        <f>F6*$AD$5</f>
        <v>170000.00000000003</v>
      </c>
      <c r="AE6" s="16">
        <f>F6*$AE$5</f>
        <v>80000.000000000015</v>
      </c>
      <c r="AF6" s="16">
        <f>F6*$AF$5</f>
        <v>240000.00000000003</v>
      </c>
      <c r="AG6" s="16">
        <f>F6*$AG$5</f>
        <v>80000.000000000015</v>
      </c>
      <c r="AH6" s="16">
        <f>F6*$AH$5</f>
        <v>20000.000000000004</v>
      </c>
      <c r="AI6" s="16">
        <f>F6*$AI$5</f>
        <v>80000.000000000015</v>
      </c>
      <c r="AJ6" s="16">
        <f>F6*$AC$6</f>
        <v>10440</v>
      </c>
      <c r="AK6" s="16">
        <f>F6*$AK$5</f>
        <v>60000.000000000007</v>
      </c>
      <c r="AL6" s="16">
        <f>F6*$AL$5</f>
        <v>40000.000000000007</v>
      </c>
      <c r="AM6" s="16">
        <f>SUM(AD6:AL6)</f>
        <v>780440.00000000012</v>
      </c>
    </row>
    <row r="7" spans="2:39" s="20" customFormat="1" ht="11.25" x14ac:dyDescent="0.2">
      <c r="B7" s="14" t="s">
        <v>205</v>
      </c>
      <c r="C7" s="15" t="s">
        <v>206</v>
      </c>
      <c r="D7" s="16">
        <v>908526</v>
      </c>
      <c r="E7" s="15">
        <v>30</v>
      </c>
      <c r="F7" s="16">
        <f t="shared" ref="F7:F9" si="0">+D7/30*E7</f>
        <v>908526</v>
      </c>
      <c r="G7" s="16">
        <v>106454</v>
      </c>
      <c r="H7" s="23"/>
      <c r="I7" s="23">
        <v>0</v>
      </c>
      <c r="J7" s="23"/>
      <c r="K7" s="23">
        <v>0</v>
      </c>
      <c r="L7" s="22">
        <f t="shared" ref="L7:L9" si="1">SUM(F7:K7)</f>
        <v>1014980</v>
      </c>
      <c r="M7" s="16">
        <f t="shared" ref="M7:M9" si="2">L7*4/100</f>
        <v>40599.199999999997</v>
      </c>
      <c r="N7" s="16">
        <f t="shared" ref="N7:N9" si="3">L7*4/100</f>
        <v>40599.199999999997</v>
      </c>
      <c r="O7" s="16"/>
      <c r="P7" s="16"/>
      <c r="Q7" s="16">
        <v>0</v>
      </c>
      <c r="R7" s="16">
        <v>0</v>
      </c>
      <c r="S7" s="16">
        <f t="shared" ref="S7:S9" si="4">SUM(M7:R7)</f>
        <v>81198.399999999994</v>
      </c>
      <c r="T7" s="16">
        <f t="shared" ref="T7:T9" si="5">+L7-S7</f>
        <v>933781.6</v>
      </c>
      <c r="U7" s="18"/>
      <c r="V7" s="16">
        <f t="shared" ref="V7:V9" si="6">F7*$V$5</f>
        <v>75680.215800000005</v>
      </c>
      <c r="W7" s="16">
        <f t="shared" ref="W7:W9" si="7">F7*$W$5</f>
        <v>75680.215800000005</v>
      </c>
      <c r="X7" s="16">
        <f t="shared" ref="X7:X9" si="8">+D7*1%</f>
        <v>9085.26</v>
      </c>
      <c r="Y7" s="16">
        <f t="shared" ref="Y7:Y9" si="9">D7*$Y$5</f>
        <v>37885.534200000002</v>
      </c>
      <c r="Z7" s="16">
        <f>SUM(V7:Y7)</f>
        <v>198331.22580000001</v>
      </c>
      <c r="AA7" s="19">
        <f>IF($AA$5="Enero",$Z$7*1,(IF($AA$5="Febrero",$Z$7*2,(IF($AA$5="Marzo",$Z$7*3,(IF($AA$5="Abril",$Z$7*4,(IF($AA$5="Mayo",$Z$7*5,(IF($AA$5="Junio",$Z$7*6,(IF($AA$5="Julio",$Z$7*7,(IF($AA$5="Agosto",$Z$7*8,(IF($AA$5="Septiembre",$Z$7*9,(IF($AA$5="Octubre",$Z$7*10,(IF($AA$5="Noviembre",$Z$7*11,(IF($AA$5="Diciembre",$Z$7*12)))))))))))))))))))))))</f>
        <v>198331.22580000001</v>
      </c>
      <c r="AC7" s="21">
        <v>5.2199999999999998E-3</v>
      </c>
      <c r="AD7" s="16">
        <f>F7*$AD$5</f>
        <v>77224.710000000006</v>
      </c>
      <c r="AE7" s="16">
        <f>F7*$AE$5</f>
        <v>36341.040000000001</v>
      </c>
      <c r="AF7" s="16">
        <f>F7*$AF$5</f>
        <v>109023.12</v>
      </c>
      <c r="AG7" s="16">
        <f>F7*$AG$5</f>
        <v>36341.040000000001</v>
      </c>
      <c r="AH7" s="16">
        <f>F7*$AH$5</f>
        <v>9085.26</v>
      </c>
      <c r="AI7" s="16">
        <f>F7*$AI$5</f>
        <v>36341.040000000001</v>
      </c>
      <c r="AJ7" s="16">
        <f>F7*$AC$7</f>
        <v>4742.5057200000001</v>
      </c>
      <c r="AK7" s="16">
        <f t="shared" ref="AK7:AK9" si="10">F7*$AK$5</f>
        <v>27255.78</v>
      </c>
      <c r="AL7" s="16">
        <f t="shared" ref="AL7:AL9" si="11">F7*$AL$5</f>
        <v>18170.52</v>
      </c>
      <c r="AM7" s="16">
        <f>SUM(AD7:AL7)</f>
        <v>354525.01572000002</v>
      </c>
    </row>
    <row r="8" spans="2:39" s="20" customFormat="1" ht="11.25" x14ac:dyDescent="0.2">
      <c r="B8" s="14" t="s">
        <v>205</v>
      </c>
      <c r="C8" s="15" t="s">
        <v>207</v>
      </c>
      <c r="D8" s="16">
        <v>908526</v>
      </c>
      <c r="E8" s="15">
        <v>30</v>
      </c>
      <c r="F8" s="16">
        <f t="shared" si="0"/>
        <v>908526</v>
      </c>
      <c r="G8" s="16">
        <v>106454</v>
      </c>
      <c r="H8" s="23"/>
      <c r="I8" s="23">
        <v>0</v>
      </c>
      <c r="J8" s="23"/>
      <c r="K8" s="23">
        <v>0</v>
      </c>
      <c r="L8" s="22">
        <f t="shared" si="1"/>
        <v>1014980</v>
      </c>
      <c r="M8" s="16">
        <f t="shared" si="2"/>
        <v>40599.199999999997</v>
      </c>
      <c r="N8" s="16">
        <f t="shared" si="3"/>
        <v>40599.199999999997</v>
      </c>
      <c r="O8" s="16"/>
      <c r="P8" s="16"/>
      <c r="Q8" s="16">
        <v>0</v>
      </c>
      <c r="R8" s="16">
        <v>0</v>
      </c>
      <c r="S8" s="16">
        <f t="shared" si="4"/>
        <v>81198.399999999994</v>
      </c>
      <c r="T8" s="16">
        <f t="shared" si="5"/>
        <v>933781.6</v>
      </c>
      <c r="U8" s="18"/>
      <c r="V8" s="16">
        <f t="shared" si="6"/>
        <v>75680.215800000005</v>
      </c>
      <c r="W8" s="16">
        <f t="shared" si="7"/>
        <v>75680.215800000005</v>
      </c>
      <c r="X8" s="16">
        <f t="shared" si="8"/>
        <v>9085.26</v>
      </c>
      <c r="Y8" s="16">
        <f t="shared" si="9"/>
        <v>37885.534200000002</v>
      </c>
      <c r="Z8" s="16">
        <f t="shared" ref="Z8" si="12">SUM(V8:Y8)</f>
        <v>198331.22580000001</v>
      </c>
      <c r="AA8" s="19">
        <f>IF($AA$5="Enero",$Z$8*1,(IF($AA$5="Febrero",$Z$8*2,(IF($AA$5="Marzo",$Z$8*3,(IF($AA$5="Abril",$Z$8*4,(IF($AA$5="Mayo",$Z$8*5,(IF($AA$5="Junio",$Z$8*6,(IF($AA$5="Julio",$Z$8*7,(IF($AA$5="Agosto",$Z$8*8,(IF($AA$5="Septiembre",$Z$8*9,(IF($AA$5="Octubre",$Z$8*10,(IF($AA$5="Noviembre",$Z$8*11,(IF($AA$5="Diciembre",$Z$8*12)))))))))))))))))))))))</f>
        <v>198331.22580000001</v>
      </c>
      <c r="AC8" s="21">
        <v>5.2199999999999998E-3</v>
      </c>
      <c r="AD8" s="16">
        <f>F8*$AD$5</f>
        <v>77224.710000000006</v>
      </c>
      <c r="AE8" s="16">
        <f>F8*$AE$5</f>
        <v>36341.040000000001</v>
      </c>
      <c r="AF8" s="16">
        <f>F8*$AF$5</f>
        <v>109023.12</v>
      </c>
      <c r="AG8" s="16">
        <f>F8*$AG$5</f>
        <v>36341.040000000001</v>
      </c>
      <c r="AH8" s="16">
        <f>F8*$AH$5</f>
        <v>9085.26</v>
      </c>
      <c r="AI8" s="16">
        <f>F8*$AI$5</f>
        <v>36341.040000000001</v>
      </c>
      <c r="AJ8" s="16">
        <f>F8*$AC$8</f>
        <v>4742.5057200000001</v>
      </c>
      <c r="AK8" s="16">
        <f t="shared" si="10"/>
        <v>27255.78</v>
      </c>
      <c r="AL8" s="16">
        <f t="shared" si="11"/>
        <v>18170.52</v>
      </c>
      <c r="AM8" s="16">
        <f>SUM(AD8:AL8)</f>
        <v>354525.01572000002</v>
      </c>
    </row>
    <row r="9" spans="2:39" s="20" customFormat="1" ht="11.25" x14ac:dyDescent="0.2">
      <c r="B9" s="14" t="s">
        <v>205</v>
      </c>
      <c r="C9" s="15" t="s">
        <v>208</v>
      </c>
      <c r="D9" s="16">
        <v>908526</v>
      </c>
      <c r="E9" s="15">
        <v>30</v>
      </c>
      <c r="F9" s="16">
        <f t="shared" si="0"/>
        <v>908526</v>
      </c>
      <c r="G9" s="16">
        <v>106454</v>
      </c>
      <c r="H9" s="23"/>
      <c r="I9" s="23">
        <v>0</v>
      </c>
      <c r="J9" s="23"/>
      <c r="K9" s="23">
        <v>0</v>
      </c>
      <c r="L9" s="22">
        <f t="shared" si="1"/>
        <v>1014980</v>
      </c>
      <c r="M9" s="16">
        <f t="shared" si="2"/>
        <v>40599.199999999997</v>
      </c>
      <c r="N9" s="16">
        <f t="shared" si="3"/>
        <v>40599.199999999997</v>
      </c>
      <c r="O9" s="16"/>
      <c r="P9" s="16"/>
      <c r="Q9" s="16">
        <v>0</v>
      </c>
      <c r="R9" s="16">
        <v>0</v>
      </c>
      <c r="S9" s="16">
        <f t="shared" si="4"/>
        <v>81198.399999999994</v>
      </c>
      <c r="T9" s="16">
        <f t="shared" si="5"/>
        <v>933781.6</v>
      </c>
      <c r="U9" s="18"/>
      <c r="V9" s="16">
        <f t="shared" si="6"/>
        <v>75680.215800000005</v>
      </c>
      <c r="W9" s="16">
        <f t="shared" si="7"/>
        <v>75680.215800000005</v>
      </c>
      <c r="X9" s="16">
        <f t="shared" si="8"/>
        <v>9085.26</v>
      </c>
      <c r="Y9" s="16">
        <f t="shared" si="9"/>
        <v>37885.534200000002</v>
      </c>
      <c r="Z9" s="16">
        <f>SUM(V9:Y9)</f>
        <v>198331.22580000001</v>
      </c>
      <c r="AA9" s="19">
        <f>IF($AA$5="Enero",$Z$9*1,(IF($AA$5="Febrero",$Z$9*2,(IF($AA$5="Marzo",$Z$9*3,(IF($AA$5="Abril",$Z$9*4,(IF($AA$5="Mayo",$Z$9*5,(IF($AA$5="Junio",$Z$9*6,(IF($AA$5="Julio",$Z$9*7,(IF($AA$5="Agosto",$Z$9*8,(IF($AA$5="Septiembre",$Z$9*9,(IF($AA$5="Octubre",$Z$9*10,(IF($AA$5="Noviembre",$Z$9*11,(IF($AA$5="Diciembre",$Z$9*12)))))))))))))))))))))))</f>
        <v>198331.22580000001</v>
      </c>
      <c r="AC9" s="21">
        <v>5.2199999999999998E-3</v>
      </c>
      <c r="AD9" s="16">
        <f>F9*$AD$5</f>
        <v>77224.710000000006</v>
      </c>
      <c r="AE9" s="16">
        <f>F9*$AE$5</f>
        <v>36341.040000000001</v>
      </c>
      <c r="AF9" s="16">
        <f>F9*$AF$5</f>
        <v>109023.12</v>
      </c>
      <c r="AG9" s="16">
        <f>F9*$AG$5</f>
        <v>36341.040000000001</v>
      </c>
      <c r="AH9" s="16">
        <f>F9*$AH$5</f>
        <v>9085.26</v>
      </c>
      <c r="AI9" s="16">
        <f>F9*$AI$5</f>
        <v>36341.040000000001</v>
      </c>
      <c r="AJ9" s="16">
        <f>F9*$AC$9</f>
        <v>4742.5057200000001</v>
      </c>
      <c r="AK9" s="16">
        <f t="shared" si="10"/>
        <v>27255.78</v>
      </c>
      <c r="AL9" s="16">
        <f t="shared" si="11"/>
        <v>18170.52</v>
      </c>
      <c r="AM9" s="16">
        <f>SUM(AD9:AL9)</f>
        <v>354525.01572000002</v>
      </c>
    </row>
    <row r="10" spans="2:39" s="20" customFormat="1" ht="11.25" x14ac:dyDescent="0.2">
      <c r="B10" s="14" t="s">
        <v>205</v>
      </c>
      <c r="C10" s="15" t="s">
        <v>209</v>
      </c>
      <c r="D10" s="16"/>
      <c r="E10" s="15">
        <v>30</v>
      </c>
      <c r="F10" s="16">
        <f>+D10/30*E10</f>
        <v>0</v>
      </c>
      <c r="G10" s="16"/>
      <c r="H10" s="23"/>
      <c r="I10" s="23">
        <v>0</v>
      </c>
      <c r="J10" s="23"/>
      <c r="K10" s="23">
        <v>0</v>
      </c>
      <c r="L10" s="22">
        <f t="shared" ref="L10" si="13">SUM(F10:K10)</f>
        <v>0</v>
      </c>
      <c r="M10" s="16">
        <f t="shared" ref="M10" si="14">L10*4/100</f>
        <v>0</v>
      </c>
      <c r="N10" s="16">
        <f t="shared" ref="N10" si="15">L10*4/100</f>
        <v>0</v>
      </c>
      <c r="O10" s="16"/>
      <c r="P10" s="16"/>
      <c r="Q10" s="16">
        <v>0</v>
      </c>
      <c r="R10" s="16">
        <v>0</v>
      </c>
      <c r="S10" s="16">
        <f>SUM(M10:R10)</f>
        <v>0</v>
      </c>
      <c r="T10" s="16">
        <f t="shared" ref="T10" si="16">+L10-S10</f>
        <v>0</v>
      </c>
      <c r="U10" s="18"/>
      <c r="V10" s="16">
        <f t="shared" ref="V10" si="17">F10*$V$5</f>
        <v>0</v>
      </c>
      <c r="W10" s="16">
        <f t="shared" ref="W10" si="18">F10*$W$5</f>
        <v>0</v>
      </c>
      <c r="X10" s="16">
        <f t="shared" ref="X10" si="19">+D10*1%</f>
        <v>0</v>
      </c>
      <c r="Y10" s="16">
        <f t="shared" ref="Y10" si="20">D10*$Y$5</f>
        <v>0</v>
      </c>
      <c r="Z10" s="16">
        <f>SUM(V10:Y10)</f>
        <v>0</v>
      </c>
      <c r="AA10" s="19"/>
      <c r="AC10" s="21">
        <v>5.2199999999999998E-3</v>
      </c>
      <c r="AD10" s="16">
        <f>F10*$AD$5</f>
        <v>0</v>
      </c>
      <c r="AE10" s="16">
        <f>F10*$AE$5</f>
        <v>0</v>
      </c>
      <c r="AF10" s="16">
        <f>F10*$AF$5</f>
        <v>0</v>
      </c>
      <c r="AG10" s="16">
        <f>F10*$AG$5</f>
        <v>0</v>
      </c>
      <c r="AH10" s="16">
        <f>F10*$AH$5</f>
        <v>0</v>
      </c>
      <c r="AI10" s="16">
        <f>F10*$AI$5</f>
        <v>0</v>
      </c>
      <c r="AJ10" s="16">
        <f>F10*$AC$9</f>
        <v>0</v>
      </c>
      <c r="AK10" s="16">
        <f t="shared" ref="AK10" si="21">F10*$AK$5</f>
        <v>0</v>
      </c>
      <c r="AL10" s="16">
        <f t="shared" ref="AL10" si="22">F10*$AL$5</f>
        <v>0</v>
      </c>
      <c r="AM10" s="16">
        <f>SUM(AD10:AL10)</f>
        <v>0</v>
      </c>
    </row>
    <row r="11" spans="2:39" s="20" customFormat="1" x14ac:dyDescent="0.2">
      <c r="B11" s="24"/>
      <c r="C11" s="25" t="s">
        <v>210</v>
      </c>
      <c r="D11" s="26">
        <f>SUM(D6:D10)</f>
        <v>4725578</v>
      </c>
      <c r="E11" s="26">
        <f>SUM(E6:E10)</f>
        <v>150</v>
      </c>
      <c r="F11" s="26">
        <f>SUM(F6:F10)</f>
        <v>4725578</v>
      </c>
      <c r="G11" s="26"/>
      <c r="H11" s="27">
        <f t="shared" ref="H11:T11" si="23">SUM(H6:H10)</f>
        <v>0</v>
      </c>
      <c r="I11" s="27">
        <f t="shared" si="23"/>
        <v>0</v>
      </c>
      <c r="J11" s="26">
        <f t="shared" si="23"/>
        <v>0</v>
      </c>
      <c r="K11" s="27">
        <f t="shared" si="23"/>
        <v>0</v>
      </c>
      <c r="L11" s="26">
        <f t="shared" si="23"/>
        <v>5044940</v>
      </c>
      <c r="M11" s="26">
        <f t="shared" si="23"/>
        <v>201797.60000000003</v>
      </c>
      <c r="N11" s="26">
        <f t="shared" si="23"/>
        <v>201797.60000000003</v>
      </c>
      <c r="O11" s="26">
        <f t="shared" si="23"/>
        <v>0</v>
      </c>
      <c r="P11" s="26">
        <f t="shared" si="23"/>
        <v>20000.000000000004</v>
      </c>
      <c r="Q11" s="26">
        <f t="shared" si="23"/>
        <v>0</v>
      </c>
      <c r="R11" s="26">
        <f t="shared" si="23"/>
        <v>0</v>
      </c>
      <c r="S11" s="26">
        <f t="shared" si="23"/>
        <v>423595.20000000007</v>
      </c>
      <c r="T11" s="26">
        <f t="shared" si="23"/>
        <v>4621344.8</v>
      </c>
      <c r="U11" s="18"/>
      <c r="V11" s="26">
        <f t="shared" ref="V11:AA11" si="24">SUM(V6:V10)</f>
        <v>393640.64740000002</v>
      </c>
      <c r="W11" s="26">
        <f t="shared" si="24"/>
        <v>393640.64740000002</v>
      </c>
      <c r="X11" s="26">
        <f t="shared" si="24"/>
        <v>47255.780000000006</v>
      </c>
      <c r="Y11" s="26">
        <f t="shared" si="24"/>
        <v>197056.60259999998</v>
      </c>
      <c r="Z11" s="26">
        <f t="shared" si="24"/>
        <v>1031593.6774000002</v>
      </c>
      <c r="AA11" s="26">
        <f t="shared" si="24"/>
        <v>1031593.6774000002</v>
      </c>
      <c r="AB11" s="28"/>
      <c r="AC11" s="26"/>
      <c r="AD11" s="26">
        <f t="shared" ref="AD11:AL11" si="25">SUM(AD6:AD10)</f>
        <v>401674.13000000006</v>
      </c>
      <c r="AE11" s="26">
        <f t="shared" si="25"/>
        <v>189023.12000000002</v>
      </c>
      <c r="AF11" s="26">
        <f t="shared" si="25"/>
        <v>567069.36</v>
      </c>
      <c r="AG11" s="26">
        <f t="shared" si="25"/>
        <v>189023.12000000002</v>
      </c>
      <c r="AH11" s="26">
        <f t="shared" si="25"/>
        <v>47255.780000000006</v>
      </c>
      <c r="AI11" s="26">
        <f t="shared" si="25"/>
        <v>189023.12000000002</v>
      </c>
      <c r="AJ11" s="26">
        <f t="shared" si="25"/>
        <v>24667.517160000003</v>
      </c>
      <c r="AK11" s="26">
        <f t="shared" si="25"/>
        <v>141767.34</v>
      </c>
      <c r="AL11" s="26">
        <f t="shared" si="25"/>
        <v>94511.560000000012</v>
      </c>
      <c r="AM11" s="26">
        <f>SUM(AM6:AM10)</f>
        <v>1844015.0471600001</v>
      </c>
    </row>
    <row r="12" spans="2:39" s="20" customFormat="1" x14ac:dyDescent="0.2">
      <c r="B12" s="24"/>
      <c r="C12" s="29"/>
      <c r="D12" s="6"/>
      <c r="E12" s="28"/>
      <c r="F12" s="28"/>
      <c r="G12" s="30"/>
      <c r="H12" s="28"/>
      <c r="I12" s="31"/>
      <c r="J12" s="32"/>
      <c r="K12" s="28"/>
      <c r="L12" s="31"/>
      <c r="M12" s="28"/>
      <c r="N12" s="28"/>
      <c r="O12" s="28"/>
      <c r="P12" s="28"/>
      <c r="Q12" s="33"/>
      <c r="R12" s="28"/>
      <c r="S12" s="28"/>
      <c r="T12" s="28"/>
      <c r="U12" s="18"/>
      <c r="AE12" s="34"/>
      <c r="AF12" s="34"/>
      <c r="AG12" s="34"/>
      <c r="AM12" s="34">
        <f>AM11-AE11-AG11</f>
        <v>1465968.8071599999</v>
      </c>
    </row>
    <row r="13" spans="2:39" s="20" customFormat="1" x14ac:dyDescent="0.2">
      <c r="B13" s="24"/>
      <c r="C13" s="28"/>
      <c r="D13" s="28"/>
      <c r="E13" s="35"/>
      <c r="F13" s="28"/>
      <c r="G13" s="31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1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36" t="s">
        <v>211</v>
      </c>
      <c r="AJ13" s="28"/>
      <c r="AK13" s="28"/>
      <c r="AL13" s="28"/>
      <c r="AM13" s="28"/>
    </row>
    <row r="14" spans="2:39" s="20" customFormat="1" ht="66" customHeight="1" x14ac:dyDescent="0.2">
      <c r="B14" s="37"/>
      <c r="F14" s="28"/>
      <c r="G14" s="28"/>
      <c r="H14" s="28"/>
      <c r="I14" s="28"/>
      <c r="J14" s="28"/>
      <c r="K14" s="28"/>
      <c r="M14" s="231" t="s">
        <v>212</v>
      </c>
      <c r="N14" s="231"/>
      <c r="O14" s="231"/>
      <c r="P14" s="231"/>
      <c r="R14" s="231" t="s">
        <v>213</v>
      </c>
      <c r="S14" s="231"/>
      <c r="T14" s="28"/>
      <c r="U14" s="231" t="s">
        <v>214</v>
      </c>
      <c r="V14" s="231"/>
      <c r="W14" s="231"/>
      <c r="X14" s="38"/>
      <c r="AI14" s="39">
        <v>5.2199999999999998E-3</v>
      </c>
      <c r="AK14" s="28"/>
      <c r="AL14" s="28"/>
    </row>
    <row r="15" spans="2:39" s="20" customFormat="1" ht="63.75" x14ac:dyDescent="0.2">
      <c r="B15" s="37"/>
      <c r="F15" s="28"/>
      <c r="G15" s="28"/>
      <c r="H15" s="28"/>
      <c r="I15" s="28"/>
      <c r="J15" s="28"/>
      <c r="K15" s="28"/>
      <c r="M15" s="40" t="s">
        <v>215</v>
      </c>
      <c r="N15" s="41" t="s">
        <v>216</v>
      </c>
      <c r="O15" s="41" t="s">
        <v>217</v>
      </c>
      <c r="P15" s="41" t="s">
        <v>218</v>
      </c>
      <c r="Q15" s="28"/>
      <c r="R15" s="42" t="s">
        <v>215</v>
      </c>
      <c r="S15" s="41" t="s">
        <v>219</v>
      </c>
      <c r="T15" s="28"/>
      <c r="U15" s="232" t="s">
        <v>215</v>
      </c>
      <c r="V15" s="232"/>
      <c r="W15" s="41" t="s">
        <v>220</v>
      </c>
      <c r="AA15" s="43" t="s">
        <v>200</v>
      </c>
      <c r="AD15" s="233"/>
      <c r="AE15" s="233"/>
      <c r="AF15" s="233"/>
      <c r="AG15" s="233"/>
      <c r="AH15" s="233"/>
      <c r="AI15" s="44">
        <v>1.044E-2</v>
      </c>
      <c r="AK15" s="28"/>
      <c r="AL15" s="28"/>
    </row>
    <row r="16" spans="2:39" s="20" customFormat="1" ht="90" x14ac:dyDescent="0.2">
      <c r="B16" s="24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45" t="s">
        <v>221</v>
      </c>
      <c r="N16" s="46">
        <v>8.3333000000000004E-2</v>
      </c>
      <c r="O16" s="45" t="s">
        <v>222</v>
      </c>
      <c r="P16" s="45" t="s">
        <v>223</v>
      </c>
      <c r="R16" s="47" t="s">
        <v>224</v>
      </c>
      <c r="S16" s="46" t="s">
        <v>225</v>
      </c>
      <c r="U16" s="230" t="s">
        <v>184</v>
      </c>
      <c r="V16" s="230"/>
      <c r="W16" s="48">
        <v>0.02</v>
      </c>
      <c r="X16" s="28"/>
      <c r="Y16" s="28"/>
      <c r="Z16" s="28"/>
      <c r="AA16" s="49" t="s">
        <v>226</v>
      </c>
      <c r="AB16" s="28"/>
      <c r="AC16" s="28"/>
      <c r="AD16" s="28"/>
      <c r="AE16" s="28"/>
      <c r="AF16" s="28"/>
      <c r="AG16" s="28"/>
      <c r="AH16" s="28"/>
      <c r="AI16" s="44">
        <v>2.436E-2</v>
      </c>
      <c r="AJ16" s="28"/>
      <c r="AK16" s="28"/>
      <c r="AL16" s="28"/>
      <c r="AM16" s="28"/>
    </row>
    <row r="17" spans="2:39" s="20" customFormat="1" ht="123.75" x14ac:dyDescent="0.2">
      <c r="B17" s="24"/>
      <c r="C17" s="28"/>
      <c r="D17" s="28"/>
      <c r="E17" s="28"/>
      <c r="L17" s="28"/>
      <c r="M17" s="45" t="s">
        <v>227</v>
      </c>
      <c r="N17" s="46">
        <v>0.12</v>
      </c>
      <c r="O17" s="45" t="s">
        <v>228</v>
      </c>
      <c r="P17" s="45" t="s">
        <v>229</v>
      </c>
      <c r="R17" s="47" t="s">
        <v>230</v>
      </c>
      <c r="S17" s="46" t="s">
        <v>231</v>
      </c>
      <c r="U17" s="230" t="s">
        <v>183</v>
      </c>
      <c r="V17" s="230"/>
      <c r="W17" s="48">
        <v>0.03</v>
      </c>
      <c r="X17" s="28"/>
      <c r="Y17" s="28"/>
      <c r="Z17" s="28"/>
      <c r="AA17" s="49" t="s">
        <v>232</v>
      </c>
      <c r="AB17" s="28"/>
      <c r="AC17" s="28"/>
      <c r="AD17" s="28"/>
      <c r="AE17" s="28"/>
      <c r="AF17" s="28"/>
      <c r="AG17" s="28"/>
      <c r="AH17" s="28"/>
      <c r="AI17" s="44">
        <v>4.3499999999999997E-2</v>
      </c>
      <c r="AJ17" s="28"/>
      <c r="AK17" s="28"/>
      <c r="AL17" s="28"/>
      <c r="AM17" s="28"/>
    </row>
    <row r="18" spans="2:39" s="20" customFormat="1" ht="157.5" x14ac:dyDescent="0.2">
      <c r="B18" s="24"/>
      <c r="C18" s="28"/>
      <c r="D18" s="28"/>
      <c r="E18" s="28"/>
      <c r="L18" s="28"/>
      <c r="M18" s="45" t="s">
        <v>233</v>
      </c>
      <c r="N18" s="46">
        <v>8.3333000000000004E-2</v>
      </c>
      <c r="O18" s="45" t="s">
        <v>234</v>
      </c>
      <c r="P18" s="45" t="s">
        <v>235</v>
      </c>
      <c r="R18" s="47" t="s">
        <v>236</v>
      </c>
      <c r="S18" s="46" t="s">
        <v>237</v>
      </c>
      <c r="U18" s="230" t="s">
        <v>238</v>
      </c>
      <c r="V18" s="230"/>
      <c r="W18" s="48">
        <v>0.04</v>
      </c>
      <c r="X18" s="28"/>
      <c r="Y18" s="28"/>
      <c r="Z18" s="28"/>
      <c r="AA18" s="49" t="s">
        <v>239</v>
      </c>
      <c r="AB18" s="28"/>
      <c r="AC18" s="28"/>
      <c r="AD18" s="28"/>
      <c r="AE18" s="28"/>
      <c r="AF18" s="28"/>
      <c r="AG18" s="28"/>
      <c r="AH18" s="28"/>
      <c r="AI18" s="44">
        <v>6.9599999999999995E-2</v>
      </c>
      <c r="AJ18" s="28"/>
      <c r="AK18" s="28"/>
      <c r="AL18" s="28"/>
      <c r="AM18" s="28"/>
    </row>
    <row r="19" spans="2:39" s="20" customFormat="1" ht="67.5" x14ac:dyDescent="0.2">
      <c r="B19" s="24"/>
      <c r="C19" s="28"/>
      <c r="D19" s="28"/>
      <c r="E19" s="28"/>
      <c r="L19" s="28"/>
      <c r="M19" s="45" t="s">
        <v>240</v>
      </c>
      <c r="N19" s="46"/>
      <c r="O19" s="45" t="s">
        <v>241</v>
      </c>
      <c r="P19" s="45" t="s">
        <v>242</v>
      </c>
      <c r="X19" s="28"/>
      <c r="Y19" s="28"/>
      <c r="Z19" s="28"/>
      <c r="AA19" s="49" t="s">
        <v>243</v>
      </c>
      <c r="AB19" s="28"/>
      <c r="AC19" s="28"/>
      <c r="AD19" s="28"/>
      <c r="AE19" s="28"/>
      <c r="AF19" s="28"/>
      <c r="AG19" s="28"/>
      <c r="AH19" s="28"/>
      <c r="AI19" s="49"/>
      <c r="AJ19" s="28"/>
      <c r="AK19" s="28"/>
      <c r="AL19" s="28"/>
      <c r="AM19" s="28"/>
    </row>
    <row r="20" spans="2:39" s="20" customFormat="1" ht="67.5" x14ac:dyDescent="0.2">
      <c r="B20" s="24"/>
      <c r="C20" s="28"/>
      <c r="D20" s="28"/>
      <c r="E20" s="28"/>
      <c r="L20" s="28"/>
      <c r="M20" s="45" t="s">
        <v>244</v>
      </c>
      <c r="N20" s="46">
        <v>4.1700000000000001E-2</v>
      </c>
      <c r="O20" s="45" t="s">
        <v>245</v>
      </c>
      <c r="P20" s="45" t="s">
        <v>246</v>
      </c>
      <c r="X20" s="28"/>
      <c r="Y20" s="28"/>
      <c r="Z20" s="28"/>
      <c r="AA20" s="49" t="s">
        <v>247</v>
      </c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</row>
    <row r="21" spans="2:39" s="20" customFormat="1" x14ac:dyDescent="0.2">
      <c r="B21" s="24"/>
      <c r="C21" s="28"/>
      <c r="D21" s="28"/>
      <c r="E21" s="28"/>
      <c r="L21" s="28"/>
      <c r="Q21" s="28"/>
      <c r="R21" s="28"/>
      <c r="S21" s="28"/>
      <c r="T21" s="28"/>
      <c r="U21" s="18"/>
      <c r="V21" s="28"/>
      <c r="W21" s="28"/>
      <c r="X21" s="28"/>
      <c r="Y21" s="28"/>
      <c r="Z21" s="28"/>
      <c r="AA21" s="49" t="s">
        <v>248</v>
      </c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</row>
    <row r="22" spans="2:39" s="20" customFormat="1" x14ac:dyDescent="0.2">
      <c r="B22" s="24"/>
      <c r="C22" s="28"/>
      <c r="D22" s="28"/>
      <c r="E22" s="28"/>
      <c r="L22" s="28"/>
      <c r="M22" s="28"/>
      <c r="N22" s="28"/>
      <c r="O22" s="28"/>
      <c r="P22" s="28"/>
      <c r="Q22" s="28"/>
      <c r="R22" s="28"/>
      <c r="S22" s="28"/>
      <c r="T22" s="28"/>
      <c r="U22" s="18"/>
      <c r="V22" s="28"/>
      <c r="W22" s="28"/>
      <c r="X22" s="28"/>
      <c r="Y22" s="28"/>
      <c r="Z22" s="28"/>
      <c r="AA22" s="49" t="s">
        <v>249</v>
      </c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</row>
    <row r="23" spans="2:39" s="20" customFormat="1" x14ac:dyDescent="0.2">
      <c r="B23" s="24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18"/>
      <c r="V23" s="28"/>
      <c r="W23" s="28"/>
      <c r="X23" s="28"/>
      <c r="Y23" s="28"/>
      <c r="Z23" s="28"/>
      <c r="AA23" s="49" t="s">
        <v>250</v>
      </c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</row>
    <row r="24" spans="2:39" s="20" customFormat="1" x14ac:dyDescent="0.2">
      <c r="B24" s="37"/>
      <c r="F24" s="28"/>
      <c r="G24" s="28"/>
      <c r="H24" s="28"/>
      <c r="I24" s="28"/>
      <c r="J24" s="28"/>
      <c r="K24" s="28"/>
      <c r="U24" s="18"/>
      <c r="AA24" s="49" t="s">
        <v>251</v>
      </c>
      <c r="AL24" s="28"/>
      <c r="AM24" s="28"/>
    </row>
    <row r="25" spans="2:39" s="20" customFormat="1" x14ac:dyDescent="0.2">
      <c r="B25" s="37"/>
      <c r="F25" s="28"/>
      <c r="G25" s="28"/>
      <c r="H25" s="28"/>
      <c r="I25" s="28"/>
      <c r="J25" s="28"/>
      <c r="K25" s="28"/>
      <c r="U25" s="18"/>
      <c r="AA25" s="49" t="s">
        <v>252</v>
      </c>
      <c r="AL25" s="28"/>
      <c r="AM25" s="28"/>
    </row>
    <row r="26" spans="2:39" s="20" customFormat="1" x14ac:dyDescent="0.2">
      <c r="B26" s="37"/>
      <c r="F26" s="28"/>
      <c r="G26" s="28"/>
      <c r="H26" s="28"/>
      <c r="I26" s="28"/>
      <c r="J26" s="28"/>
      <c r="K26" s="28"/>
      <c r="U26" s="18"/>
      <c r="AA26" s="49" t="s">
        <v>253</v>
      </c>
      <c r="AL26" s="28"/>
      <c r="AM26" s="28"/>
    </row>
    <row r="27" spans="2:39" x14ac:dyDescent="0.2">
      <c r="B27" s="37"/>
      <c r="C27" s="20"/>
      <c r="D27" s="20"/>
      <c r="E27" s="20"/>
      <c r="L27" s="20"/>
      <c r="M27" s="20"/>
      <c r="N27" s="20"/>
      <c r="O27" s="20"/>
      <c r="P27" s="20"/>
      <c r="Q27" s="20"/>
      <c r="R27" s="20"/>
      <c r="S27" s="20"/>
      <c r="T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</row>
    <row r="28" spans="2:39" ht="24.95" customHeight="1" x14ac:dyDescent="0.2">
      <c r="B28" s="37"/>
      <c r="C28" s="20"/>
      <c r="D28" s="20"/>
      <c r="E28" s="20"/>
      <c r="L28" s="20"/>
      <c r="M28" s="20"/>
      <c r="N28" s="20"/>
      <c r="O28" s="20"/>
      <c r="P28" s="20"/>
      <c r="Q28" s="20"/>
      <c r="R28" s="20"/>
      <c r="S28" s="20"/>
      <c r="T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</row>
    <row r="29" spans="2:39" ht="24" customHeight="1" x14ac:dyDescent="0.2">
      <c r="B29" s="37"/>
      <c r="C29" s="20"/>
      <c r="D29" s="20"/>
      <c r="E29" s="20"/>
      <c r="L29" s="20"/>
      <c r="M29" s="20"/>
      <c r="N29" s="20"/>
      <c r="O29" s="20"/>
      <c r="P29" s="20"/>
      <c r="Q29" s="20"/>
      <c r="R29" s="20"/>
      <c r="S29" s="20"/>
      <c r="T29" s="43"/>
      <c r="U29" s="49"/>
      <c r="V29" s="43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</row>
    <row r="30" spans="2:39" s="20" customFormat="1" ht="15" customHeight="1" x14ac:dyDescent="0.2">
      <c r="B30" s="24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49"/>
      <c r="U30" s="50" t="s">
        <v>214</v>
      </c>
      <c r="V30" s="49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</row>
    <row r="31" spans="2:39" s="20" customFormat="1" ht="33.75" customHeight="1" x14ac:dyDescent="0.2">
      <c r="B31" s="24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49"/>
      <c r="U31" s="51" t="s">
        <v>215</v>
      </c>
      <c r="V31" s="49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</row>
    <row r="32" spans="2:39" ht="12.75" customHeight="1" x14ac:dyDescent="0.2">
      <c r="T32" s="49"/>
      <c r="U32" s="36" t="s">
        <v>184</v>
      </c>
      <c r="V32" s="49"/>
    </row>
    <row r="33" spans="2:39" ht="12.75" customHeight="1" x14ac:dyDescent="0.2">
      <c r="T33" s="49"/>
      <c r="U33" s="36" t="s">
        <v>183</v>
      </c>
      <c r="V33" s="49"/>
    </row>
    <row r="34" spans="2:39" ht="12.75" customHeight="1" x14ac:dyDescent="0.2">
      <c r="T34" s="49"/>
      <c r="U34" s="36" t="s">
        <v>238</v>
      </c>
      <c r="V34" s="49"/>
    </row>
    <row r="35" spans="2:39" x14ac:dyDescent="0.2">
      <c r="T35" s="49"/>
      <c r="U35" s="43"/>
      <c r="V35" s="49"/>
    </row>
    <row r="36" spans="2:39" x14ac:dyDescent="0.2">
      <c r="T36" s="49"/>
      <c r="U36" s="43"/>
      <c r="V36" s="49"/>
    </row>
    <row r="37" spans="2:39" x14ac:dyDescent="0.2">
      <c r="T37" s="49"/>
      <c r="U37" s="49"/>
      <c r="V37" s="49"/>
    </row>
    <row r="40" spans="2:39" s="20" customFormat="1" x14ac:dyDescent="0.2">
      <c r="B40" s="24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</row>
    <row r="41" spans="2:39" s="20" customFormat="1" x14ac:dyDescent="0.2">
      <c r="B41" s="24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</row>
    <row r="42" spans="2:39" s="20" customFormat="1" x14ac:dyDescent="0.2">
      <c r="B42" s="24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</row>
    <row r="43" spans="2:39" s="20" customFormat="1" x14ac:dyDescent="0.2">
      <c r="B43" s="24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</row>
    <row r="44" spans="2:39" s="20" customFormat="1" x14ac:dyDescent="0.2">
      <c r="B44" s="24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</row>
    <row r="45" spans="2:39" s="20" customFormat="1" x14ac:dyDescent="0.2">
      <c r="B45" s="24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</row>
    <row r="53" ht="12.75" customHeight="1" x14ac:dyDescent="0.2"/>
  </sheetData>
  <mergeCells count="15">
    <mergeCell ref="AD15:AH15"/>
    <mergeCell ref="B1:AM2"/>
    <mergeCell ref="C3:T3"/>
    <mergeCell ref="V3:Z3"/>
    <mergeCell ref="AD3:AM3"/>
    <mergeCell ref="H4:H5"/>
    <mergeCell ref="Z4:Z5"/>
    <mergeCell ref="AM4:AM5"/>
    <mergeCell ref="U16:V16"/>
    <mergeCell ref="U17:V17"/>
    <mergeCell ref="U18:V18"/>
    <mergeCell ref="M14:P14"/>
    <mergeCell ref="R14:S14"/>
    <mergeCell ref="U14:W14"/>
    <mergeCell ref="U15:V15"/>
  </mergeCells>
  <dataValidations count="2">
    <dataValidation type="list" allowBlank="1" showInputMessage="1" showErrorMessage="1" promptTitle="Provisiones " sqref="AA5" xr:uid="{C8D6595E-2F56-46C8-A744-63332735429F}">
      <formula1>$AA$15:$AA$26</formula1>
    </dataValidation>
    <dataValidation type="list" allowBlank="1" showInputMessage="1" showErrorMessage="1" promptTitle="Riesgo ARL" sqref="AC6:AC10" xr:uid="{AE6E963E-C6E1-419D-8CF5-81714730689C}">
      <formula1>$AI$14:$AI$18</formula1>
    </dataValidation>
  </dataValidations>
  <printOptions horizontalCentered="1" verticalCentered="1"/>
  <pageMargins left="0.25" right="0.25" top="0.75" bottom="0.75" header="0.3" footer="0.3"/>
  <pageSetup scale="58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1B565-3E28-4D9E-B9C5-2ACE45D24CCC}">
  <sheetPr>
    <pageSetUpPr fitToPage="1"/>
  </sheetPr>
  <dimension ref="B1:AM53"/>
  <sheetViews>
    <sheetView topLeftCell="H1" zoomScaleNormal="100" zoomScaleSheetLayoutView="100" workbookViewId="0">
      <selection activeCell="L17" sqref="L17"/>
    </sheetView>
  </sheetViews>
  <sheetFormatPr baseColWidth="10" defaultColWidth="11.42578125" defaultRowHeight="12.75" x14ac:dyDescent="0.2"/>
  <cols>
    <col min="1" max="1" width="11.42578125" style="28"/>
    <col min="2" max="2" width="16.5703125" style="24" bestFit="1" customWidth="1"/>
    <col min="3" max="3" width="20" style="28" bestFit="1" customWidth="1"/>
    <col min="4" max="4" width="12.42578125" style="28" customWidth="1"/>
    <col min="5" max="5" width="10.85546875" style="28" bestFit="1" customWidth="1"/>
    <col min="6" max="6" width="14.140625" style="28" customWidth="1"/>
    <col min="7" max="7" width="13.7109375" style="28" bestFit="1" customWidth="1"/>
    <col min="8" max="8" width="10" style="28" bestFit="1" customWidth="1"/>
    <col min="9" max="9" width="10.7109375" style="28" bestFit="1" customWidth="1"/>
    <col min="10" max="10" width="13.28515625" style="28" bestFit="1" customWidth="1"/>
    <col min="11" max="11" width="13.85546875" style="28" customWidth="1"/>
    <col min="12" max="12" width="15.140625" style="28" customWidth="1"/>
    <col min="13" max="13" width="12.140625" style="28" customWidth="1"/>
    <col min="14" max="14" width="11.7109375" style="28" bestFit="1" customWidth="1"/>
    <col min="15" max="15" width="12" style="28" customWidth="1"/>
    <col min="16" max="16" width="10.7109375" style="28" bestFit="1" customWidth="1"/>
    <col min="17" max="17" width="5.42578125" style="28" bestFit="1" customWidth="1"/>
    <col min="18" max="18" width="11.7109375" style="28" bestFit="1" customWidth="1"/>
    <col min="19" max="19" width="16" style="28" customWidth="1"/>
    <col min="20" max="20" width="11.7109375" style="28" customWidth="1"/>
    <col min="21" max="21" width="3.28515625" style="28" customWidth="1"/>
    <col min="22" max="22" width="13.28515625" style="28" bestFit="1" customWidth="1"/>
    <col min="23" max="23" width="15.7109375" style="28" customWidth="1"/>
    <col min="24" max="24" width="9.7109375" style="28" bestFit="1" customWidth="1"/>
    <col min="25" max="25" width="13.7109375" style="28" customWidth="1"/>
    <col min="26" max="26" width="12.140625" style="28" customWidth="1"/>
    <col min="27" max="27" width="14.7109375" style="28" bestFit="1" customWidth="1"/>
    <col min="28" max="28" width="3.28515625" style="28" customWidth="1"/>
    <col min="29" max="29" width="21.5703125" style="28" bestFit="1" customWidth="1"/>
    <col min="30" max="30" width="11.85546875" style="28" bestFit="1" customWidth="1"/>
    <col min="31" max="31" width="13.42578125" style="28" bestFit="1" customWidth="1"/>
    <col min="32" max="33" width="11.85546875" style="28" customWidth="1"/>
    <col min="34" max="34" width="23" style="28" customWidth="1"/>
    <col min="35" max="35" width="20" style="28" customWidth="1"/>
    <col min="36" max="36" width="15.140625" style="28" bestFit="1" customWidth="1"/>
    <col min="37" max="37" width="11.85546875" style="28" customWidth="1"/>
    <col min="38" max="38" width="12.42578125" style="28" customWidth="1"/>
    <col min="39" max="39" width="12.28515625" style="28" customWidth="1"/>
    <col min="40" max="260" width="11.42578125" style="28"/>
    <col min="261" max="261" width="30.140625" style="28" bestFit="1" customWidth="1"/>
    <col min="262" max="262" width="13.5703125" style="28" bestFit="1" customWidth="1"/>
    <col min="263" max="263" width="11.85546875" style="28" customWidth="1"/>
    <col min="264" max="264" width="13" style="28" bestFit="1" customWidth="1"/>
    <col min="265" max="265" width="13" style="28" customWidth="1"/>
    <col min="266" max="267" width="12.5703125" style="28" customWidth="1"/>
    <col min="268" max="268" width="14.28515625" style="28" customWidth="1"/>
    <col min="269" max="269" width="15.42578125" style="28" customWidth="1"/>
    <col min="270" max="270" width="11.42578125" style="28"/>
    <col min="271" max="271" width="13.85546875" style="28" customWidth="1"/>
    <col min="272" max="272" width="14.140625" style="28" customWidth="1"/>
    <col min="273" max="273" width="14.5703125" style="28" customWidth="1"/>
    <col min="274" max="274" width="9.5703125" style="28" customWidth="1"/>
    <col min="275" max="275" width="10.28515625" style="28" customWidth="1"/>
    <col min="276" max="276" width="8.85546875" style="28" customWidth="1"/>
    <col min="277" max="277" width="10.42578125" style="28" customWidth="1"/>
    <col min="278" max="278" width="11.5703125" style="28" customWidth="1"/>
    <col min="279" max="279" width="3.28515625" style="28" customWidth="1"/>
    <col min="280" max="280" width="12.7109375" style="28" customWidth="1"/>
    <col min="281" max="284" width="11.42578125" style="28"/>
    <col min="285" max="285" width="3.28515625" style="28" customWidth="1"/>
    <col min="286" max="286" width="11.42578125" style="28"/>
    <col min="287" max="287" width="13.42578125" style="28" bestFit="1" customWidth="1"/>
    <col min="288" max="288" width="14" style="28" bestFit="1" customWidth="1"/>
    <col min="289" max="289" width="16.140625" style="28" bestFit="1" customWidth="1"/>
    <col min="290" max="290" width="16.140625" style="28" customWidth="1"/>
    <col min="291" max="516" width="11.42578125" style="28"/>
    <col min="517" max="517" width="30.140625" style="28" bestFit="1" customWidth="1"/>
    <col min="518" max="518" width="13.5703125" style="28" bestFit="1" customWidth="1"/>
    <col min="519" max="519" width="11.85546875" style="28" customWidth="1"/>
    <col min="520" max="520" width="13" style="28" bestFit="1" customWidth="1"/>
    <col min="521" max="521" width="13" style="28" customWidth="1"/>
    <col min="522" max="523" width="12.5703125" style="28" customWidth="1"/>
    <col min="524" max="524" width="14.28515625" style="28" customWidth="1"/>
    <col min="525" max="525" width="15.42578125" style="28" customWidth="1"/>
    <col min="526" max="526" width="11.42578125" style="28"/>
    <col min="527" max="527" width="13.85546875" style="28" customWidth="1"/>
    <col min="528" max="528" width="14.140625" style="28" customWidth="1"/>
    <col min="529" max="529" width="14.5703125" style="28" customWidth="1"/>
    <col min="530" max="530" width="9.5703125" style="28" customWidth="1"/>
    <col min="531" max="531" width="10.28515625" style="28" customWidth="1"/>
    <col min="532" max="532" width="8.85546875" style="28" customWidth="1"/>
    <col min="533" max="533" width="10.42578125" style="28" customWidth="1"/>
    <col min="534" max="534" width="11.5703125" style="28" customWidth="1"/>
    <col min="535" max="535" width="3.28515625" style="28" customWidth="1"/>
    <col min="536" max="536" width="12.7109375" style="28" customWidth="1"/>
    <col min="537" max="540" width="11.42578125" style="28"/>
    <col min="541" max="541" width="3.28515625" style="28" customWidth="1"/>
    <col min="542" max="542" width="11.42578125" style="28"/>
    <col min="543" max="543" width="13.42578125" style="28" bestFit="1" customWidth="1"/>
    <col min="544" max="544" width="14" style="28" bestFit="1" customWidth="1"/>
    <col min="545" max="545" width="16.140625" style="28" bestFit="1" customWidth="1"/>
    <col min="546" max="546" width="16.140625" style="28" customWidth="1"/>
    <col min="547" max="772" width="11.42578125" style="28"/>
    <col min="773" max="773" width="30.140625" style="28" bestFit="1" customWidth="1"/>
    <col min="774" max="774" width="13.5703125" style="28" bestFit="1" customWidth="1"/>
    <col min="775" max="775" width="11.85546875" style="28" customWidth="1"/>
    <col min="776" max="776" width="13" style="28" bestFit="1" customWidth="1"/>
    <col min="777" max="777" width="13" style="28" customWidth="1"/>
    <col min="778" max="779" width="12.5703125" style="28" customWidth="1"/>
    <col min="780" max="780" width="14.28515625" style="28" customWidth="1"/>
    <col min="781" max="781" width="15.42578125" style="28" customWidth="1"/>
    <col min="782" max="782" width="11.42578125" style="28"/>
    <col min="783" max="783" width="13.85546875" style="28" customWidth="1"/>
    <col min="784" max="784" width="14.140625" style="28" customWidth="1"/>
    <col min="785" max="785" width="14.5703125" style="28" customWidth="1"/>
    <col min="786" max="786" width="9.5703125" style="28" customWidth="1"/>
    <col min="787" max="787" width="10.28515625" style="28" customWidth="1"/>
    <col min="788" max="788" width="8.85546875" style="28" customWidth="1"/>
    <col min="789" max="789" width="10.42578125" style="28" customWidth="1"/>
    <col min="790" max="790" width="11.5703125" style="28" customWidth="1"/>
    <col min="791" max="791" width="3.28515625" style="28" customWidth="1"/>
    <col min="792" max="792" width="12.7109375" style="28" customWidth="1"/>
    <col min="793" max="796" width="11.42578125" style="28"/>
    <col min="797" max="797" width="3.28515625" style="28" customWidth="1"/>
    <col min="798" max="798" width="11.42578125" style="28"/>
    <col min="799" max="799" width="13.42578125" style="28" bestFit="1" customWidth="1"/>
    <col min="800" max="800" width="14" style="28" bestFit="1" customWidth="1"/>
    <col min="801" max="801" width="16.140625" style="28" bestFit="1" customWidth="1"/>
    <col min="802" max="802" width="16.140625" style="28" customWidth="1"/>
    <col min="803" max="1028" width="11.42578125" style="28"/>
    <col min="1029" max="1029" width="30.140625" style="28" bestFit="1" customWidth="1"/>
    <col min="1030" max="1030" width="13.5703125" style="28" bestFit="1" customWidth="1"/>
    <col min="1031" max="1031" width="11.85546875" style="28" customWidth="1"/>
    <col min="1032" max="1032" width="13" style="28" bestFit="1" customWidth="1"/>
    <col min="1033" max="1033" width="13" style="28" customWidth="1"/>
    <col min="1034" max="1035" width="12.5703125" style="28" customWidth="1"/>
    <col min="1036" max="1036" width="14.28515625" style="28" customWidth="1"/>
    <col min="1037" max="1037" width="15.42578125" style="28" customWidth="1"/>
    <col min="1038" max="1038" width="11.42578125" style="28"/>
    <col min="1039" max="1039" width="13.85546875" style="28" customWidth="1"/>
    <col min="1040" max="1040" width="14.140625" style="28" customWidth="1"/>
    <col min="1041" max="1041" width="14.5703125" style="28" customWidth="1"/>
    <col min="1042" max="1042" width="9.5703125" style="28" customWidth="1"/>
    <col min="1043" max="1043" width="10.28515625" style="28" customWidth="1"/>
    <col min="1044" max="1044" width="8.85546875" style="28" customWidth="1"/>
    <col min="1045" max="1045" width="10.42578125" style="28" customWidth="1"/>
    <col min="1046" max="1046" width="11.5703125" style="28" customWidth="1"/>
    <col min="1047" max="1047" width="3.28515625" style="28" customWidth="1"/>
    <col min="1048" max="1048" width="12.7109375" style="28" customWidth="1"/>
    <col min="1049" max="1052" width="11.42578125" style="28"/>
    <col min="1053" max="1053" width="3.28515625" style="28" customWidth="1"/>
    <col min="1054" max="1054" width="11.42578125" style="28"/>
    <col min="1055" max="1055" width="13.42578125" style="28" bestFit="1" customWidth="1"/>
    <col min="1056" max="1056" width="14" style="28" bestFit="1" customWidth="1"/>
    <col min="1057" max="1057" width="16.140625" style="28" bestFit="1" customWidth="1"/>
    <col min="1058" max="1058" width="16.140625" style="28" customWidth="1"/>
    <col min="1059" max="1284" width="11.42578125" style="28"/>
    <col min="1285" max="1285" width="30.140625" style="28" bestFit="1" customWidth="1"/>
    <col min="1286" max="1286" width="13.5703125" style="28" bestFit="1" customWidth="1"/>
    <col min="1287" max="1287" width="11.85546875" style="28" customWidth="1"/>
    <col min="1288" max="1288" width="13" style="28" bestFit="1" customWidth="1"/>
    <col min="1289" max="1289" width="13" style="28" customWidth="1"/>
    <col min="1290" max="1291" width="12.5703125" style="28" customWidth="1"/>
    <col min="1292" max="1292" width="14.28515625" style="28" customWidth="1"/>
    <col min="1293" max="1293" width="15.42578125" style="28" customWidth="1"/>
    <col min="1294" max="1294" width="11.42578125" style="28"/>
    <col min="1295" max="1295" width="13.85546875" style="28" customWidth="1"/>
    <col min="1296" max="1296" width="14.140625" style="28" customWidth="1"/>
    <col min="1297" max="1297" width="14.5703125" style="28" customWidth="1"/>
    <col min="1298" max="1298" width="9.5703125" style="28" customWidth="1"/>
    <col min="1299" max="1299" width="10.28515625" style="28" customWidth="1"/>
    <col min="1300" max="1300" width="8.85546875" style="28" customWidth="1"/>
    <col min="1301" max="1301" width="10.42578125" style="28" customWidth="1"/>
    <col min="1302" max="1302" width="11.5703125" style="28" customWidth="1"/>
    <col min="1303" max="1303" width="3.28515625" style="28" customWidth="1"/>
    <col min="1304" max="1304" width="12.7109375" style="28" customWidth="1"/>
    <col min="1305" max="1308" width="11.42578125" style="28"/>
    <col min="1309" max="1309" width="3.28515625" style="28" customWidth="1"/>
    <col min="1310" max="1310" width="11.42578125" style="28"/>
    <col min="1311" max="1311" width="13.42578125" style="28" bestFit="1" customWidth="1"/>
    <col min="1312" max="1312" width="14" style="28" bestFit="1" customWidth="1"/>
    <col min="1313" max="1313" width="16.140625" style="28" bestFit="1" customWidth="1"/>
    <col min="1314" max="1314" width="16.140625" style="28" customWidth="1"/>
    <col min="1315" max="1540" width="11.42578125" style="28"/>
    <col min="1541" max="1541" width="30.140625" style="28" bestFit="1" customWidth="1"/>
    <col min="1542" max="1542" width="13.5703125" style="28" bestFit="1" customWidth="1"/>
    <col min="1543" max="1543" width="11.85546875" style="28" customWidth="1"/>
    <col min="1544" max="1544" width="13" style="28" bestFit="1" customWidth="1"/>
    <col min="1545" max="1545" width="13" style="28" customWidth="1"/>
    <col min="1546" max="1547" width="12.5703125" style="28" customWidth="1"/>
    <col min="1548" max="1548" width="14.28515625" style="28" customWidth="1"/>
    <col min="1549" max="1549" width="15.42578125" style="28" customWidth="1"/>
    <col min="1550" max="1550" width="11.42578125" style="28"/>
    <col min="1551" max="1551" width="13.85546875" style="28" customWidth="1"/>
    <col min="1552" max="1552" width="14.140625" style="28" customWidth="1"/>
    <col min="1553" max="1553" width="14.5703125" style="28" customWidth="1"/>
    <col min="1554" max="1554" width="9.5703125" style="28" customWidth="1"/>
    <col min="1555" max="1555" width="10.28515625" style="28" customWidth="1"/>
    <col min="1556" max="1556" width="8.85546875" style="28" customWidth="1"/>
    <col min="1557" max="1557" width="10.42578125" style="28" customWidth="1"/>
    <col min="1558" max="1558" width="11.5703125" style="28" customWidth="1"/>
    <col min="1559" max="1559" width="3.28515625" style="28" customWidth="1"/>
    <col min="1560" max="1560" width="12.7109375" style="28" customWidth="1"/>
    <col min="1561" max="1564" width="11.42578125" style="28"/>
    <col min="1565" max="1565" width="3.28515625" style="28" customWidth="1"/>
    <col min="1566" max="1566" width="11.42578125" style="28"/>
    <col min="1567" max="1567" width="13.42578125" style="28" bestFit="1" customWidth="1"/>
    <col min="1568" max="1568" width="14" style="28" bestFit="1" customWidth="1"/>
    <col min="1569" max="1569" width="16.140625" style="28" bestFit="1" customWidth="1"/>
    <col min="1570" max="1570" width="16.140625" style="28" customWidth="1"/>
    <col min="1571" max="1796" width="11.42578125" style="28"/>
    <col min="1797" max="1797" width="30.140625" style="28" bestFit="1" customWidth="1"/>
    <col min="1798" max="1798" width="13.5703125" style="28" bestFit="1" customWidth="1"/>
    <col min="1799" max="1799" width="11.85546875" style="28" customWidth="1"/>
    <col min="1800" max="1800" width="13" style="28" bestFit="1" customWidth="1"/>
    <col min="1801" max="1801" width="13" style="28" customWidth="1"/>
    <col min="1802" max="1803" width="12.5703125" style="28" customWidth="1"/>
    <col min="1804" max="1804" width="14.28515625" style="28" customWidth="1"/>
    <col min="1805" max="1805" width="15.42578125" style="28" customWidth="1"/>
    <col min="1806" max="1806" width="11.42578125" style="28"/>
    <col min="1807" max="1807" width="13.85546875" style="28" customWidth="1"/>
    <col min="1808" max="1808" width="14.140625" style="28" customWidth="1"/>
    <col min="1809" max="1809" width="14.5703125" style="28" customWidth="1"/>
    <col min="1810" max="1810" width="9.5703125" style="28" customWidth="1"/>
    <col min="1811" max="1811" width="10.28515625" style="28" customWidth="1"/>
    <col min="1812" max="1812" width="8.85546875" style="28" customWidth="1"/>
    <col min="1813" max="1813" width="10.42578125" style="28" customWidth="1"/>
    <col min="1814" max="1814" width="11.5703125" style="28" customWidth="1"/>
    <col min="1815" max="1815" width="3.28515625" style="28" customWidth="1"/>
    <col min="1816" max="1816" width="12.7109375" style="28" customWidth="1"/>
    <col min="1817" max="1820" width="11.42578125" style="28"/>
    <col min="1821" max="1821" width="3.28515625" style="28" customWidth="1"/>
    <col min="1822" max="1822" width="11.42578125" style="28"/>
    <col min="1823" max="1823" width="13.42578125" style="28" bestFit="1" customWidth="1"/>
    <col min="1824" max="1824" width="14" style="28" bestFit="1" customWidth="1"/>
    <col min="1825" max="1825" width="16.140625" style="28" bestFit="1" customWidth="1"/>
    <col min="1826" max="1826" width="16.140625" style="28" customWidth="1"/>
    <col min="1827" max="2052" width="11.42578125" style="28"/>
    <col min="2053" max="2053" width="30.140625" style="28" bestFit="1" customWidth="1"/>
    <col min="2054" max="2054" width="13.5703125" style="28" bestFit="1" customWidth="1"/>
    <col min="2055" max="2055" width="11.85546875" style="28" customWidth="1"/>
    <col min="2056" max="2056" width="13" style="28" bestFit="1" customWidth="1"/>
    <col min="2057" max="2057" width="13" style="28" customWidth="1"/>
    <col min="2058" max="2059" width="12.5703125" style="28" customWidth="1"/>
    <col min="2060" max="2060" width="14.28515625" style="28" customWidth="1"/>
    <col min="2061" max="2061" width="15.42578125" style="28" customWidth="1"/>
    <col min="2062" max="2062" width="11.42578125" style="28"/>
    <col min="2063" max="2063" width="13.85546875" style="28" customWidth="1"/>
    <col min="2064" max="2064" width="14.140625" style="28" customWidth="1"/>
    <col min="2065" max="2065" width="14.5703125" style="28" customWidth="1"/>
    <col min="2066" max="2066" width="9.5703125" style="28" customWidth="1"/>
    <col min="2067" max="2067" width="10.28515625" style="28" customWidth="1"/>
    <col min="2068" max="2068" width="8.85546875" style="28" customWidth="1"/>
    <col min="2069" max="2069" width="10.42578125" style="28" customWidth="1"/>
    <col min="2070" max="2070" width="11.5703125" style="28" customWidth="1"/>
    <col min="2071" max="2071" width="3.28515625" style="28" customWidth="1"/>
    <col min="2072" max="2072" width="12.7109375" style="28" customWidth="1"/>
    <col min="2073" max="2076" width="11.42578125" style="28"/>
    <col min="2077" max="2077" width="3.28515625" style="28" customWidth="1"/>
    <col min="2078" max="2078" width="11.42578125" style="28"/>
    <col min="2079" max="2079" width="13.42578125" style="28" bestFit="1" customWidth="1"/>
    <col min="2080" max="2080" width="14" style="28" bestFit="1" customWidth="1"/>
    <col min="2081" max="2081" width="16.140625" style="28" bestFit="1" customWidth="1"/>
    <col min="2082" max="2082" width="16.140625" style="28" customWidth="1"/>
    <col min="2083" max="2308" width="11.42578125" style="28"/>
    <col min="2309" max="2309" width="30.140625" style="28" bestFit="1" customWidth="1"/>
    <col min="2310" max="2310" width="13.5703125" style="28" bestFit="1" customWidth="1"/>
    <col min="2311" max="2311" width="11.85546875" style="28" customWidth="1"/>
    <col min="2312" max="2312" width="13" style="28" bestFit="1" customWidth="1"/>
    <col min="2313" max="2313" width="13" style="28" customWidth="1"/>
    <col min="2314" max="2315" width="12.5703125" style="28" customWidth="1"/>
    <col min="2316" max="2316" width="14.28515625" style="28" customWidth="1"/>
    <col min="2317" max="2317" width="15.42578125" style="28" customWidth="1"/>
    <col min="2318" max="2318" width="11.42578125" style="28"/>
    <col min="2319" max="2319" width="13.85546875" style="28" customWidth="1"/>
    <col min="2320" max="2320" width="14.140625" style="28" customWidth="1"/>
    <col min="2321" max="2321" width="14.5703125" style="28" customWidth="1"/>
    <col min="2322" max="2322" width="9.5703125" style="28" customWidth="1"/>
    <col min="2323" max="2323" width="10.28515625" style="28" customWidth="1"/>
    <col min="2324" max="2324" width="8.85546875" style="28" customWidth="1"/>
    <col min="2325" max="2325" width="10.42578125" style="28" customWidth="1"/>
    <col min="2326" max="2326" width="11.5703125" style="28" customWidth="1"/>
    <col min="2327" max="2327" width="3.28515625" style="28" customWidth="1"/>
    <col min="2328" max="2328" width="12.7109375" style="28" customWidth="1"/>
    <col min="2329" max="2332" width="11.42578125" style="28"/>
    <col min="2333" max="2333" width="3.28515625" style="28" customWidth="1"/>
    <col min="2334" max="2334" width="11.42578125" style="28"/>
    <col min="2335" max="2335" width="13.42578125" style="28" bestFit="1" customWidth="1"/>
    <col min="2336" max="2336" width="14" style="28" bestFit="1" customWidth="1"/>
    <col min="2337" max="2337" width="16.140625" style="28" bestFit="1" customWidth="1"/>
    <col min="2338" max="2338" width="16.140625" style="28" customWidth="1"/>
    <col min="2339" max="2564" width="11.42578125" style="28"/>
    <col min="2565" max="2565" width="30.140625" style="28" bestFit="1" customWidth="1"/>
    <col min="2566" max="2566" width="13.5703125" style="28" bestFit="1" customWidth="1"/>
    <col min="2567" max="2567" width="11.85546875" style="28" customWidth="1"/>
    <col min="2568" max="2568" width="13" style="28" bestFit="1" customWidth="1"/>
    <col min="2569" max="2569" width="13" style="28" customWidth="1"/>
    <col min="2570" max="2571" width="12.5703125" style="28" customWidth="1"/>
    <col min="2572" max="2572" width="14.28515625" style="28" customWidth="1"/>
    <col min="2573" max="2573" width="15.42578125" style="28" customWidth="1"/>
    <col min="2574" max="2574" width="11.42578125" style="28"/>
    <col min="2575" max="2575" width="13.85546875" style="28" customWidth="1"/>
    <col min="2576" max="2576" width="14.140625" style="28" customWidth="1"/>
    <col min="2577" max="2577" width="14.5703125" style="28" customWidth="1"/>
    <col min="2578" max="2578" width="9.5703125" style="28" customWidth="1"/>
    <col min="2579" max="2579" width="10.28515625" style="28" customWidth="1"/>
    <col min="2580" max="2580" width="8.85546875" style="28" customWidth="1"/>
    <col min="2581" max="2581" width="10.42578125" style="28" customWidth="1"/>
    <col min="2582" max="2582" width="11.5703125" style="28" customWidth="1"/>
    <col min="2583" max="2583" width="3.28515625" style="28" customWidth="1"/>
    <col min="2584" max="2584" width="12.7109375" style="28" customWidth="1"/>
    <col min="2585" max="2588" width="11.42578125" style="28"/>
    <col min="2589" max="2589" width="3.28515625" style="28" customWidth="1"/>
    <col min="2590" max="2590" width="11.42578125" style="28"/>
    <col min="2591" max="2591" width="13.42578125" style="28" bestFit="1" customWidth="1"/>
    <col min="2592" max="2592" width="14" style="28" bestFit="1" customWidth="1"/>
    <col min="2593" max="2593" width="16.140625" style="28" bestFit="1" customWidth="1"/>
    <col min="2594" max="2594" width="16.140625" style="28" customWidth="1"/>
    <col min="2595" max="2820" width="11.42578125" style="28"/>
    <col min="2821" max="2821" width="30.140625" style="28" bestFit="1" customWidth="1"/>
    <col min="2822" max="2822" width="13.5703125" style="28" bestFit="1" customWidth="1"/>
    <col min="2823" max="2823" width="11.85546875" style="28" customWidth="1"/>
    <col min="2824" max="2824" width="13" style="28" bestFit="1" customWidth="1"/>
    <col min="2825" max="2825" width="13" style="28" customWidth="1"/>
    <col min="2826" max="2827" width="12.5703125" style="28" customWidth="1"/>
    <col min="2828" max="2828" width="14.28515625" style="28" customWidth="1"/>
    <col min="2829" max="2829" width="15.42578125" style="28" customWidth="1"/>
    <col min="2830" max="2830" width="11.42578125" style="28"/>
    <col min="2831" max="2831" width="13.85546875" style="28" customWidth="1"/>
    <col min="2832" max="2832" width="14.140625" style="28" customWidth="1"/>
    <col min="2833" max="2833" width="14.5703125" style="28" customWidth="1"/>
    <col min="2834" max="2834" width="9.5703125" style="28" customWidth="1"/>
    <col min="2835" max="2835" width="10.28515625" style="28" customWidth="1"/>
    <col min="2836" max="2836" width="8.85546875" style="28" customWidth="1"/>
    <col min="2837" max="2837" width="10.42578125" style="28" customWidth="1"/>
    <col min="2838" max="2838" width="11.5703125" style="28" customWidth="1"/>
    <col min="2839" max="2839" width="3.28515625" style="28" customWidth="1"/>
    <col min="2840" max="2840" width="12.7109375" style="28" customWidth="1"/>
    <col min="2841" max="2844" width="11.42578125" style="28"/>
    <col min="2845" max="2845" width="3.28515625" style="28" customWidth="1"/>
    <col min="2846" max="2846" width="11.42578125" style="28"/>
    <col min="2847" max="2847" width="13.42578125" style="28" bestFit="1" customWidth="1"/>
    <col min="2848" max="2848" width="14" style="28" bestFit="1" customWidth="1"/>
    <col min="2849" max="2849" width="16.140625" style="28" bestFit="1" customWidth="1"/>
    <col min="2850" max="2850" width="16.140625" style="28" customWidth="1"/>
    <col min="2851" max="3076" width="11.42578125" style="28"/>
    <col min="3077" max="3077" width="30.140625" style="28" bestFit="1" customWidth="1"/>
    <col min="3078" max="3078" width="13.5703125" style="28" bestFit="1" customWidth="1"/>
    <col min="3079" max="3079" width="11.85546875" style="28" customWidth="1"/>
    <col min="3080" max="3080" width="13" style="28" bestFit="1" customWidth="1"/>
    <col min="3081" max="3081" width="13" style="28" customWidth="1"/>
    <col min="3082" max="3083" width="12.5703125" style="28" customWidth="1"/>
    <col min="3084" max="3084" width="14.28515625" style="28" customWidth="1"/>
    <col min="3085" max="3085" width="15.42578125" style="28" customWidth="1"/>
    <col min="3086" max="3086" width="11.42578125" style="28"/>
    <col min="3087" max="3087" width="13.85546875" style="28" customWidth="1"/>
    <col min="3088" max="3088" width="14.140625" style="28" customWidth="1"/>
    <col min="3089" max="3089" width="14.5703125" style="28" customWidth="1"/>
    <col min="3090" max="3090" width="9.5703125" style="28" customWidth="1"/>
    <col min="3091" max="3091" width="10.28515625" style="28" customWidth="1"/>
    <col min="3092" max="3092" width="8.85546875" style="28" customWidth="1"/>
    <col min="3093" max="3093" width="10.42578125" style="28" customWidth="1"/>
    <col min="3094" max="3094" width="11.5703125" style="28" customWidth="1"/>
    <col min="3095" max="3095" width="3.28515625" style="28" customWidth="1"/>
    <col min="3096" max="3096" width="12.7109375" style="28" customWidth="1"/>
    <col min="3097" max="3100" width="11.42578125" style="28"/>
    <col min="3101" max="3101" width="3.28515625" style="28" customWidth="1"/>
    <col min="3102" max="3102" width="11.42578125" style="28"/>
    <col min="3103" max="3103" width="13.42578125" style="28" bestFit="1" customWidth="1"/>
    <col min="3104" max="3104" width="14" style="28" bestFit="1" customWidth="1"/>
    <col min="3105" max="3105" width="16.140625" style="28" bestFit="1" customWidth="1"/>
    <col min="3106" max="3106" width="16.140625" style="28" customWidth="1"/>
    <col min="3107" max="3332" width="11.42578125" style="28"/>
    <col min="3333" max="3333" width="30.140625" style="28" bestFit="1" customWidth="1"/>
    <col min="3334" max="3334" width="13.5703125" style="28" bestFit="1" customWidth="1"/>
    <col min="3335" max="3335" width="11.85546875" style="28" customWidth="1"/>
    <col min="3336" max="3336" width="13" style="28" bestFit="1" customWidth="1"/>
    <col min="3337" max="3337" width="13" style="28" customWidth="1"/>
    <col min="3338" max="3339" width="12.5703125" style="28" customWidth="1"/>
    <col min="3340" max="3340" width="14.28515625" style="28" customWidth="1"/>
    <col min="3341" max="3341" width="15.42578125" style="28" customWidth="1"/>
    <col min="3342" max="3342" width="11.42578125" style="28"/>
    <col min="3343" max="3343" width="13.85546875" style="28" customWidth="1"/>
    <col min="3344" max="3344" width="14.140625" style="28" customWidth="1"/>
    <col min="3345" max="3345" width="14.5703125" style="28" customWidth="1"/>
    <col min="3346" max="3346" width="9.5703125" style="28" customWidth="1"/>
    <col min="3347" max="3347" width="10.28515625" style="28" customWidth="1"/>
    <col min="3348" max="3348" width="8.85546875" style="28" customWidth="1"/>
    <col min="3349" max="3349" width="10.42578125" style="28" customWidth="1"/>
    <col min="3350" max="3350" width="11.5703125" style="28" customWidth="1"/>
    <col min="3351" max="3351" width="3.28515625" style="28" customWidth="1"/>
    <col min="3352" max="3352" width="12.7109375" style="28" customWidth="1"/>
    <col min="3353" max="3356" width="11.42578125" style="28"/>
    <col min="3357" max="3357" width="3.28515625" style="28" customWidth="1"/>
    <col min="3358" max="3358" width="11.42578125" style="28"/>
    <col min="3359" max="3359" width="13.42578125" style="28" bestFit="1" customWidth="1"/>
    <col min="3360" max="3360" width="14" style="28" bestFit="1" customWidth="1"/>
    <col min="3361" max="3361" width="16.140625" style="28" bestFit="1" customWidth="1"/>
    <col min="3362" max="3362" width="16.140625" style="28" customWidth="1"/>
    <col min="3363" max="3588" width="11.42578125" style="28"/>
    <col min="3589" max="3589" width="30.140625" style="28" bestFit="1" customWidth="1"/>
    <col min="3590" max="3590" width="13.5703125" style="28" bestFit="1" customWidth="1"/>
    <col min="3591" max="3591" width="11.85546875" style="28" customWidth="1"/>
    <col min="3592" max="3592" width="13" style="28" bestFit="1" customWidth="1"/>
    <col min="3593" max="3593" width="13" style="28" customWidth="1"/>
    <col min="3594" max="3595" width="12.5703125" style="28" customWidth="1"/>
    <col min="3596" max="3596" width="14.28515625" style="28" customWidth="1"/>
    <col min="3597" max="3597" width="15.42578125" style="28" customWidth="1"/>
    <col min="3598" max="3598" width="11.42578125" style="28"/>
    <col min="3599" max="3599" width="13.85546875" style="28" customWidth="1"/>
    <col min="3600" max="3600" width="14.140625" style="28" customWidth="1"/>
    <col min="3601" max="3601" width="14.5703125" style="28" customWidth="1"/>
    <col min="3602" max="3602" width="9.5703125" style="28" customWidth="1"/>
    <col min="3603" max="3603" width="10.28515625" style="28" customWidth="1"/>
    <col min="3604" max="3604" width="8.85546875" style="28" customWidth="1"/>
    <col min="3605" max="3605" width="10.42578125" style="28" customWidth="1"/>
    <col min="3606" max="3606" width="11.5703125" style="28" customWidth="1"/>
    <col min="3607" max="3607" width="3.28515625" style="28" customWidth="1"/>
    <col min="3608" max="3608" width="12.7109375" style="28" customWidth="1"/>
    <col min="3609" max="3612" width="11.42578125" style="28"/>
    <col min="3613" max="3613" width="3.28515625" style="28" customWidth="1"/>
    <col min="3614" max="3614" width="11.42578125" style="28"/>
    <col min="3615" max="3615" width="13.42578125" style="28" bestFit="1" customWidth="1"/>
    <col min="3616" max="3616" width="14" style="28" bestFit="1" customWidth="1"/>
    <col min="3617" max="3617" width="16.140625" style="28" bestFit="1" customWidth="1"/>
    <col min="3618" max="3618" width="16.140625" style="28" customWidth="1"/>
    <col min="3619" max="3844" width="11.42578125" style="28"/>
    <col min="3845" max="3845" width="30.140625" style="28" bestFit="1" customWidth="1"/>
    <col min="3846" max="3846" width="13.5703125" style="28" bestFit="1" customWidth="1"/>
    <col min="3847" max="3847" width="11.85546875" style="28" customWidth="1"/>
    <col min="3848" max="3848" width="13" style="28" bestFit="1" customWidth="1"/>
    <col min="3849" max="3849" width="13" style="28" customWidth="1"/>
    <col min="3850" max="3851" width="12.5703125" style="28" customWidth="1"/>
    <col min="3852" max="3852" width="14.28515625" style="28" customWidth="1"/>
    <col min="3853" max="3853" width="15.42578125" style="28" customWidth="1"/>
    <col min="3854" max="3854" width="11.42578125" style="28"/>
    <col min="3855" max="3855" width="13.85546875" style="28" customWidth="1"/>
    <col min="3856" max="3856" width="14.140625" style="28" customWidth="1"/>
    <col min="3857" max="3857" width="14.5703125" style="28" customWidth="1"/>
    <col min="3858" max="3858" width="9.5703125" style="28" customWidth="1"/>
    <col min="3859" max="3859" width="10.28515625" style="28" customWidth="1"/>
    <col min="3860" max="3860" width="8.85546875" style="28" customWidth="1"/>
    <col min="3861" max="3861" width="10.42578125" style="28" customWidth="1"/>
    <col min="3862" max="3862" width="11.5703125" style="28" customWidth="1"/>
    <col min="3863" max="3863" width="3.28515625" style="28" customWidth="1"/>
    <col min="3864" max="3864" width="12.7109375" style="28" customWidth="1"/>
    <col min="3865" max="3868" width="11.42578125" style="28"/>
    <col min="3869" max="3869" width="3.28515625" style="28" customWidth="1"/>
    <col min="3870" max="3870" width="11.42578125" style="28"/>
    <col min="3871" max="3871" width="13.42578125" style="28" bestFit="1" customWidth="1"/>
    <col min="3872" max="3872" width="14" style="28" bestFit="1" customWidth="1"/>
    <col min="3873" max="3873" width="16.140625" style="28" bestFit="1" customWidth="1"/>
    <col min="3874" max="3874" width="16.140625" style="28" customWidth="1"/>
    <col min="3875" max="4100" width="11.42578125" style="28"/>
    <col min="4101" max="4101" width="30.140625" style="28" bestFit="1" customWidth="1"/>
    <col min="4102" max="4102" width="13.5703125" style="28" bestFit="1" customWidth="1"/>
    <col min="4103" max="4103" width="11.85546875" style="28" customWidth="1"/>
    <col min="4104" max="4104" width="13" style="28" bestFit="1" customWidth="1"/>
    <col min="4105" max="4105" width="13" style="28" customWidth="1"/>
    <col min="4106" max="4107" width="12.5703125" style="28" customWidth="1"/>
    <col min="4108" max="4108" width="14.28515625" style="28" customWidth="1"/>
    <col min="4109" max="4109" width="15.42578125" style="28" customWidth="1"/>
    <col min="4110" max="4110" width="11.42578125" style="28"/>
    <col min="4111" max="4111" width="13.85546875" style="28" customWidth="1"/>
    <col min="4112" max="4112" width="14.140625" style="28" customWidth="1"/>
    <col min="4113" max="4113" width="14.5703125" style="28" customWidth="1"/>
    <col min="4114" max="4114" width="9.5703125" style="28" customWidth="1"/>
    <col min="4115" max="4115" width="10.28515625" style="28" customWidth="1"/>
    <col min="4116" max="4116" width="8.85546875" style="28" customWidth="1"/>
    <col min="4117" max="4117" width="10.42578125" style="28" customWidth="1"/>
    <col min="4118" max="4118" width="11.5703125" style="28" customWidth="1"/>
    <col min="4119" max="4119" width="3.28515625" style="28" customWidth="1"/>
    <col min="4120" max="4120" width="12.7109375" style="28" customWidth="1"/>
    <col min="4121" max="4124" width="11.42578125" style="28"/>
    <col min="4125" max="4125" width="3.28515625" style="28" customWidth="1"/>
    <col min="4126" max="4126" width="11.42578125" style="28"/>
    <col min="4127" max="4127" width="13.42578125" style="28" bestFit="1" customWidth="1"/>
    <col min="4128" max="4128" width="14" style="28" bestFit="1" customWidth="1"/>
    <col min="4129" max="4129" width="16.140625" style="28" bestFit="1" customWidth="1"/>
    <col min="4130" max="4130" width="16.140625" style="28" customWidth="1"/>
    <col min="4131" max="4356" width="11.42578125" style="28"/>
    <col min="4357" max="4357" width="30.140625" style="28" bestFit="1" customWidth="1"/>
    <col min="4358" max="4358" width="13.5703125" style="28" bestFit="1" customWidth="1"/>
    <col min="4359" max="4359" width="11.85546875" style="28" customWidth="1"/>
    <col min="4360" max="4360" width="13" style="28" bestFit="1" customWidth="1"/>
    <col min="4361" max="4361" width="13" style="28" customWidth="1"/>
    <col min="4362" max="4363" width="12.5703125" style="28" customWidth="1"/>
    <col min="4364" max="4364" width="14.28515625" style="28" customWidth="1"/>
    <col min="4365" max="4365" width="15.42578125" style="28" customWidth="1"/>
    <col min="4366" max="4366" width="11.42578125" style="28"/>
    <col min="4367" max="4367" width="13.85546875" style="28" customWidth="1"/>
    <col min="4368" max="4368" width="14.140625" style="28" customWidth="1"/>
    <col min="4369" max="4369" width="14.5703125" style="28" customWidth="1"/>
    <col min="4370" max="4370" width="9.5703125" style="28" customWidth="1"/>
    <col min="4371" max="4371" width="10.28515625" style="28" customWidth="1"/>
    <col min="4372" max="4372" width="8.85546875" style="28" customWidth="1"/>
    <col min="4373" max="4373" width="10.42578125" style="28" customWidth="1"/>
    <col min="4374" max="4374" width="11.5703125" style="28" customWidth="1"/>
    <col min="4375" max="4375" width="3.28515625" style="28" customWidth="1"/>
    <col min="4376" max="4376" width="12.7109375" style="28" customWidth="1"/>
    <col min="4377" max="4380" width="11.42578125" style="28"/>
    <col min="4381" max="4381" width="3.28515625" style="28" customWidth="1"/>
    <col min="4382" max="4382" width="11.42578125" style="28"/>
    <col min="4383" max="4383" width="13.42578125" style="28" bestFit="1" customWidth="1"/>
    <col min="4384" max="4384" width="14" style="28" bestFit="1" customWidth="1"/>
    <col min="4385" max="4385" width="16.140625" style="28" bestFit="1" customWidth="1"/>
    <col min="4386" max="4386" width="16.140625" style="28" customWidth="1"/>
    <col min="4387" max="4612" width="11.42578125" style="28"/>
    <col min="4613" max="4613" width="30.140625" style="28" bestFit="1" customWidth="1"/>
    <col min="4614" max="4614" width="13.5703125" style="28" bestFit="1" customWidth="1"/>
    <col min="4615" max="4615" width="11.85546875" style="28" customWidth="1"/>
    <col min="4616" max="4616" width="13" style="28" bestFit="1" customWidth="1"/>
    <col min="4617" max="4617" width="13" style="28" customWidth="1"/>
    <col min="4618" max="4619" width="12.5703125" style="28" customWidth="1"/>
    <col min="4620" max="4620" width="14.28515625" style="28" customWidth="1"/>
    <col min="4621" max="4621" width="15.42578125" style="28" customWidth="1"/>
    <col min="4622" max="4622" width="11.42578125" style="28"/>
    <col min="4623" max="4623" width="13.85546875" style="28" customWidth="1"/>
    <col min="4624" max="4624" width="14.140625" style="28" customWidth="1"/>
    <col min="4625" max="4625" width="14.5703125" style="28" customWidth="1"/>
    <col min="4626" max="4626" width="9.5703125" style="28" customWidth="1"/>
    <col min="4627" max="4627" width="10.28515625" style="28" customWidth="1"/>
    <col min="4628" max="4628" width="8.85546875" style="28" customWidth="1"/>
    <col min="4629" max="4629" width="10.42578125" style="28" customWidth="1"/>
    <col min="4630" max="4630" width="11.5703125" style="28" customWidth="1"/>
    <col min="4631" max="4631" width="3.28515625" style="28" customWidth="1"/>
    <col min="4632" max="4632" width="12.7109375" style="28" customWidth="1"/>
    <col min="4633" max="4636" width="11.42578125" style="28"/>
    <col min="4637" max="4637" width="3.28515625" style="28" customWidth="1"/>
    <col min="4638" max="4638" width="11.42578125" style="28"/>
    <col min="4639" max="4639" width="13.42578125" style="28" bestFit="1" customWidth="1"/>
    <col min="4640" max="4640" width="14" style="28" bestFit="1" customWidth="1"/>
    <col min="4641" max="4641" width="16.140625" style="28" bestFit="1" customWidth="1"/>
    <col min="4642" max="4642" width="16.140625" style="28" customWidth="1"/>
    <col min="4643" max="4868" width="11.42578125" style="28"/>
    <col min="4869" max="4869" width="30.140625" style="28" bestFit="1" customWidth="1"/>
    <col min="4870" max="4870" width="13.5703125" style="28" bestFit="1" customWidth="1"/>
    <col min="4871" max="4871" width="11.85546875" style="28" customWidth="1"/>
    <col min="4872" max="4872" width="13" style="28" bestFit="1" customWidth="1"/>
    <col min="4873" max="4873" width="13" style="28" customWidth="1"/>
    <col min="4874" max="4875" width="12.5703125" style="28" customWidth="1"/>
    <col min="4876" max="4876" width="14.28515625" style="28" customWidth="1"/>
    <col min="4877" max="4877" width="15.42578125" style="28" customWidth="1"/>
    <col min="4878" max="4878" width="11.42578125" style="28"/>
    <col min="4879" max="4879" width="13.85546875" style="28" customWidth="1"/>
    <col min="4880" max="4880" width="14.140625" style="28" customWidth="1"/>
    <col min="4881" max="4881" width="14.5703125" style="28" customWidth="1"/>
    <col min="4882" max="4882" width="9.5703125" style="28" customWidth="1"/>
    <col min="4883" max="4883" width="10.28515625" style="28" customWidth="1"/>
    <col min="4884" max="4884" width="8.85546875" style="28" customWidth="1"/>
    <col min="4885" max="4885" width="10.42578125" style="28" customWidth="1"/>
    <col min="4886" max="4886" width="11.5703125" style="28" customWidth="1"/>
    <col min="4887" max="4887" width="3.28515625" style="28" customWidth="1"/>
    <col min="4888" max="4888" width="12.7109375" style="28" customWidth="1"/>
    <col min="4889" max="4892" width="11.42578125" style="28"/>
    <col min="4893" max="4893" width="3.28515625" style="28" customWidth="1"/>
    <col min="4894" max="4894" width="11.42578125" style="28"/>
    <col min="4895" max="4895" width="13.42578125" style="28" bestFit="1" customWidth="1"/>
    <col min="4896" max="4896" width="14" style="28" bestFit="1" customWidth="1"/>
    <col min="4897" max="4897" width="16.140625" style="28" bestFit="1" customWidth="1"/>
    <col min="4898" max="4898" width="16.140625" style="28" customWidth="1"/>
    <col min="4899" max="5124" width="11.42578125" style="28"/>
    <col min="5125" max="5125" width="30.140625" style="28" bestFit="1" customWidth="1"/>
    <col min="5126" max="5126" width="13.5703125" style="28" bestFit="1" customWidth="1"/>
    <col min="5127" max="5127" width="11.85546875" style="28" customWidth="1"/>
    <col min="5128" max="5128" width="13" style="28" bestFit="1" customWidth="1"/>
    <col min="5129" max="5129" width="13" style="28" customWidth="1"/>
    <col min="5130" max="5131" width="12.5703125" style="28" customWidth="1"/>
    <col min="5132" max="5132" width="14.28515625" style="28" customWidth="1"/>
    <col min="5133" max="5133" width="15.42578125" style="28" customWidth="1"/>
    <col min="5134" max="5134" width="11.42578125" style="28"/>
    <col min="5135" max="5135" width="13.85546875" style="28" customWidth="1"/>
    <col min="5136" max="5136" width="14.140625" style="28" customWidth="1"/>
    <col min="5137" max="5137" width="14.5703125" style="28" customWidth="1"/>
    <col min="5138" max="5138" width="9.5703125" style="28" customWidth="1"/>
    <col min="5139" max="5139" width="10.28515625" style="28" customWidth="1"/>
    <col min="5140" max="5140" width="8.85546875" style="28" customWidth="1"/>
    <col min="5141" max="5141" width="10.42578125" style="28" customWidth="1"/>
    <col min="5142" max="5142" width="11.5703125" style="28" customWidth="1"/>
    <col min="5143" max="5143" width="3.28515625" style="28" customWidth="1"/>
    <col min="5144" max="5144" width="12.7109375" style="28" customWidth="1"/>
    <col min="5145" max="5148" width="11.42578125" style="28"/>
    <col min="5149" max="5149" width="3.28515625" style="28" customWidth="1"/>
    <col min="5150" max="5150" width="11.42578125" style="28"/>
    <col min="5151" max="5151" width="13.42578125" style="28" bestFit="1" customWidth="1"/>
    <col min="5152" max="5152" width="14" style="28" bestFit="1" customWidth="1"/>
    <col min="5153" max="5153" width="16.140625" style="28" bestFit="1" customWidth="1"/>
    <col min="5154" max="5154" width="16.140625" style="28" customWidth="1"/>
    <col min="5155" max="5380" width="11.42578125" style="28"/>
    <col min="5381" max="5381" width="30.140625" style="28" bestFit="1" customWidth="1"/>
    <col min="5382" max="5382" width="13.5703125" style="28" bestFit="1" customWidth="1"/>
    <col min="5383" max="5383" width="11.85546875" style="28" customWidth="1"/>
    <col min="5384" max="5384" width="13" style="28" bestFit="1" customWidth="1"/>
    <col min="5385" max="5385" width="13" style="28" customWidth="1"/>
    <col min="5386" max="5387" width="12.5703125" style="28" customWidth="1"/>
    <col min="5388" max="5388" width="14.28515625" style="28" customWidth="1"/>
    <col min="5389" max="5389" width="15.42578125" style="28" customWidth="1"/>
    <col min="5390" max="5390" width="11.42578125" style="28"/>
    <col min="5391" max="5391" width="13.85546875" style="28" customWidth="1"/>
    <col min="5392" max="5392" width="14.140625" style="28" customWidth="1"/>
    <col min="5393" max="5393" width="14.5703125" style="28" customWidth="1"/>
    <col min="5394" max="5394" width="9.5703125" style="28" customWidth="1"/>
    <col min="5395" max="5395" width="10.28515625" style="28" customWidth="1"/>
    <col min="5396" max="5396" width="8.85546875" style="28" customWidth="1"/>
    <col min="5397" max="5397" width="10.42578125" style="28" customWidth="1"/>
    <col min="5398" max="5398" width="11.5703125" style="28" customWidth="1"/>
    <col min="5399" max="5399" width="3.28515625" style="28" customWidth="1"/>
    <col min="5400" max="5400" width="12.7109375" style="28" customWidth="1"/>
    <col min="5401" max="5404" width="11.42578125" style="28"/>
    <col min="5405" max="5405" width="3.28515625" style="28" customWidth="1"/>
    <col min="5406" max="5406" width="11.42578125" style="28"/>
    <col min="5407" max="5407" width="13.42578125" style="28" bestFit="1" customWidth="1"/>
    <col min="5408" max="5408" width="14" style="28" bestFit="1" customWidth="1"/>
    <col min="5409" max="5409" width="16.140625" style="28" bestFit="1" customWidth="1"/>
    <col min="5410" max="5410" width="16.140625" style="28" customWidth="1"/>
    <col min="5411" max="5636" width="11.42578125" style="28"/>
    <col min="5637" max="5637" width="30.140625" style="28" bestFit="1" customWidth="1"/>
    <col min="5638" max="5638" width="13.5703125" style="28" bestFit="1" customWidth="1"/>
    <col min="5639" max="5639" width="11.85546875" style="28" customWidth="1"/>
    <col min="5640" max="5640" width="13" style="28" bestFit="1" customWidth="1"/>
    <col min="5641" max="5641" width="13" style="28" customWidth="1"/>
    <col min="5642" max="5643" width="12.5703125" style="28" customWidth="1"/>
    <col min="5644" max="5644" width="14.28515625" style="28" customWidth="1"/>
    <col min="5645" max="5645" width="15.42578125" style="28" customWidth="1"/>
    <col min="5646" max="5646" width="11.42578125" style="28"/>
    <col min="5647" max="5647" width="13.85546875" style="28" customWidth="1"/>
    <col min="5648" max="5648" width="14.140625" style="28" customWidth="1"/>
    <col min="5649" max="5649" width="14.5703125" style="28" customWidth="1"/>
    <col min="5650" max="5650" width="9.5703125" style="28" customWidth="1"/>
    <col min="5651" max="5651" width="10.28515625" style="28" customWidth="1"/>
    <col min="5652" max="5652" width="8.85546875" style="28" customWidth="1"/>
    <col min="5653" max="5653" width="10.42578125" style="28" customWidth="1"/>
    <col min="5654" max="5654" width="11.5703125" style="28" customWidth="1"/>
    <col min="5655" max="5655" width="3.28515625" style="28" customWidth="1"/>
    <col min="5656" max="5656" width="12.7109375" style="28" customWidth="1"/>
    <col min="5657" max="5660" width="11.42578125" style="28"/>
    <col min="5661" max="5661" width="3.28515625" style="28" customWidth="1"/>
    <col min="5662" max="5662" width="11.42578125" style="28"/>
    <col min="5663" max="5663" width="13.42578125" style="28" bestFit="1" customWidth="1"/>
    <col min="5664" max="5664" width="14" style="28" bestFit="1" customWidth="1"/>
    <col min="5665" max="5665" width="16.140625" style="28" bestFit="1" customWidth="1"/>
    <col min="5666" max="5666" width="16.140625" style="28" customWidth="1"/>
    <col min="5667" max="5892" width="11.42578125" style="28"/>
    <col min="5893" max="5893" width="30.140625" style="28" bestFit="1" customWidth="1"/>
    <col min="5894" max="5894" width="13.5703125" style="28" bestFit="1" customWidth="1"/>
    <col min="5895" max="5895" width="11.85546875" style="28" customWidth="1"/>
    <col min="5896" max="5896" width="13" style="28" bestFit="1" customWidth="1"/>
    <col min="5897" max="5897" width="13" style="28" customWidth="1"/>
    <col min="5898" max="5899" width="12.5703125" style="28" customWidth="1"/>
    <col min="5900" max="5900" width="14.28515625" style="28" customWidth="1"/>
    <col min="5901" max="5901" width="15.42578125" style="28" customWidth="1"/>
    <col min="5902" max="5902" width="11.42578125" style="28"/>
    <col min="5903" max="5903" width="13.85546875" style="28" customWidth="1"/>
    <col min="5904" max="5904" width="14.140625" style="28" customWidth="1"/>
    <col min="5905" max="5905" width="14.5703125" style="28" customWidth="1"/>
    <col min="5906" max="5906" width="9.5703125" style="28" customWidth="1"/>
    <col min="5907" max="5907" width="10.28515625" style="28" customWidth="1"/>
    <col min="5908" max="5908" width="8.85546875" style="28" customWidth="1"/>
    <col min="5909" max="5909" width="10.42578125" style="28" customWidth="1"/>
    <col min="5910" max="5910" width="11.5703125" style="28" customWidth="1"/>
    <col min="5911" max="5911" width="3.28515625" style="28" customWidth="1"/>
    <col min="5912" max="5912" width="12.7109375" style="28" customWidth="1"/>
    <col min="5913" max="5916" width="11.42578125" style="28"/>
    <col min="5917" max="5917" width="3.28515625" style="28" customWidth="1"/>
    <col min="5918" max="5918" width="11.42578125" style="28"/>
    <col min="5919" max="5919" width="13.42578125" style="28" bestFit="1" customWidth="1"/>
    <col min="5920" max="5920" width="14" style="28" bestFit="1" customWidth="1"/>
    <col min="5921" max="5921" width="16.140625" style="28" bestFit="1" customWidth="1"/>
    <col min="5922" max="5922" width="16.140625" style="28" customWidth="1"/>
    <col min="5923" max="6148" width="11.42578125" style="28"/>
    <col min="6149" max="6149" width="30.140625" style="28" bestFit="1" customWidth="1"/>
    <col min="6150" max="6150" width="13.5703125" style="28" bestFit="1" customWidth="1"/>
    <col min="6151" max="6151" width="11.85546875" style="28" customWidth="1"/>
    <col min="6152" max="6152" width="13" style="28" bestFit="1" customWidth="1"/>
    <col min="6153" max="6153" width="13" style="28" customWidth="1"/>
    <col min="6154" max="6155" width="12.5703125" style="28" customWidth="1"/>
    <col min="6156" max="6156" width="14.28515625" style="28" customWidth="1"/>
    <col min="6157" max="6157" width="15.42578125" style="28" customWidth="1"/>
    <col min="6158" max="6158" width="11.42578125" style="28"/>
    <col min="6159" max="6159" width="13.85546875" style="28" customWidth="1"/>
    <col min="6160" max="6160" width="14.140625" style="28" customWidth="1"/>
    <col min="6161" max="6161" width="14.5703125" style="28" customWidth="1"/>
    <col min="6162" max="6162" width="9.5703125" style="28" customWidth="1"/>
    <col min="6163" max="6163" width="10.28515625" style="28" customWidth="1"/>
    <col min="6164" max="6164" width="8.85546875" style="28" customWidth="1"/>
    <col min="6165" max="6165" width="10.42578125" style="28" customWidth="1"/>
    <col min="6166" max="6166" width="11.5703125" style="28" customWidth="1"/>
    <col min="6167" max="6167" width="3.28515625" style="28" customWidth="1"/>
    <col min="6168" max="6168" width="12.7109375" style="28" customWidth="1"/>
    <col min="6169" max="6172" width="11.42578125" style="28"/>
    <col min="6173" max="6173" width="3.28515625" style="28" customWidth="1"/>
    <col min="6174" max="6174" width="11.42578125" style="28"/>
    <col min="6175" max="6175" width="13.42578125" style="28" bestFit="1" customWidth="1"/>
    <col min="6176" max="6176" width="14" style="28" bestFit="1" customWidth="1"/>
    <col min="6177" max="6177" width="16.140625" style="28" bestFit="1" customWidth="1"/>
    <col min="6178" max="6178" width="16.140625" style="28" customWidth="1"/>
    <col min="6179" max="6404" width="11.42578125" style="28"/>
    <col min="6405" max="6405" width="30.140625" style="28" bestFit="1" customWidth="1"/>
    <col min="6406" max="6406" width="13.5703125" style="28" bestFit="1" customWidth="1"/>
    <col min="6407" max="6407" width="11.85546875" style="28" customWidth="1"/>
    <col min="6408" max="6408" width="13" style="28" bestFit="1" customWidth="1"/>
    <col min="6409" max="6409" width="13" style="28" customWidth="1"/>
    <col min="6410" max="6411" width="12.5703125" style="28" customWidth="1"/>
    <col min="6412" max="6412" width="14.28515625" style="28" customWidth="1"/>
    <col min="6413" max="6413" width="15.42578125" style="28" customWidth="1"/>
    <col min="6414" max="6414" width="11.42578125" style="28"/>
    <col min="6415" max="6415" width="13.85546875" style="28" customWidth="1"/>
    <col min="6416" max="6416" width="14.140625" style="28" customWidth="1"/>
    <col min="6417" max="6417" width="14.5703125" style="28" customWidth="1"/>
    <col min="6418" max="6418" width="9.5703125" style="28" customWidth="1"/>
    <col min="6419" max="6419" width="10.28515625" style="28" customWidth="1"/>
    <col min="6420" max="6420" width="8.85546875" style="28" customWidth="1"/>
    <col min="6421" max="6421" width="10.42578125" style="28" customWidth="1"/>
    <col min="6422" max="6422" width="11.5703125" style="28" customWidth="1"/>
    <col min="6423" max="6423" width="3.28515625" style="28" customWidth="1"/>
    <col min="6424" max="6424" width="12.7109375" style="28" customWidth="1"/>
    <col min="6425" max="6428" width="11.42578125" style="28"/>
    <col min="6429" max="6429" width="3.28515625" style="28" customWidth="1"/>
    <col min="6430" max="6430" width="11.42578125" style="28"/>
    <col min="6431" max="6431" width="13.42578125" style="28" bestFit="1" customWidth="1"/>
    <col min="6432" max="6432" width="14" style="28" bestFit="1" customWidth="1"/>
    <col min="6433" max="6433" width="16.140625" style="28" bestFit="1" customWidth="1"/>
    <col min="6434" max="6434" width="16.140625" style="28" customWidth="1"/>
    <col min="6435" max="6660" width="11.42578125" style="28"/>
    <col min="6661" max="6661" width="30.140625" style="28" bestFit="1" customWidth="1"/>
    <col min="6662" max="6662" width="13.5703125" style="28" bestFit="1" customWidth="1"/>
    <col min="6663" max="6663" width="11.85546875" style="28" customWidth="1"/>
    <col min="6664" max="6664" width="13" style="28" bestFit="1" customWidth="1"/>
    <col min="6665" max="6665" width="13" style="28" customWidth="1"/>
    <col min="6666" max="6667" width="12.5703125" style="28" customWidth="1"/>
    <col min="6668" max="6668" width="14.28515625" style="28" customWidth="1"/>
    <col min="6669" max="6669" width="15.42578125" style="28" customWidth="1"/>
    <col min="6670" max="6670" width="11.42578125" style="28"/>
    <col min="6671" max="6671" width="13.85546875" style="28" customWidth="1"/>
    <col min="6672" max="6672" width="14.140625" style="28" customWidth="1"/>
    <col min="6673" max="6673" width="14.5703125" style="28" customWidth="1"/>
    <col min="6674" max="6674" width="9.5703125" style="28" customWidth="1"/>
    <col min="6675" max="6675" width="10.28515625" style="28" customWidth="1"/>
    <col min="6676" max="6676" width="8.85546875" style="28" customWidth="1"/>
    <col min="6677" max="6677" width="10.42578125" style="28" customWidth="1"/>
    <col min="6678" max="6678" width="11.5703125" style="28" customWidth="1"/>
    <col min="6679" max="6679" width="3.28515625" style="28" customWidth="1"/>
    <col min="6680" max="6680" width="12.7109375" style="28" customWidth="1"/>
    <col min="6681" max="6684" width="11.42578125" style="28"/>
    <col min="6685" max="6685" width="3.28515625" style="28" customWidth="1"/>
    <col min="6686" max="6686" width="11.42578125" style="28"/>
    <col min="6687" max="6687" width="13.42578125" style="28" bestFit="1" customWidth="1"/>
    <col min="6688" max="6688" width="14" style="28" bestFit="1" customWidth="1"/>
    <col min="6689" max="6689" width="16.140625" style="28" bestFit="1" customWidth="1"/>
    <col min="6690" max="6690" width="16.140625" style="28" customWidth="1"/>
    <col min="6691" max="6916" width="11.42578125" style="28"/>
    <col min="6917" max="6917" width="30.140625" style="28" bestFit="1" customWidth="1"/>
    <col min="6918" max="6918" width="13.5703125" style="28" bestFit="1" customWidth="1"/>
    <col min="6919" max="6919" width="11.85546875" style="28" customWidth="1"/>
    <col min="6920" max="6920" width="13" style="28" bestFit="1" customWidth="1"/>
    <col min="6921" max="6921" width="13" style="28" customWidth="1"/>
    <col min="6922" max="6923" width="12.5703125" style="28" customWidth="1"/>
    <col min="6924" max="6924" width="14.28515625" style="28" customWidth="1"/>
    <col min="6925" max="6925" width="15.42578125" style="28" customWidth="1"/>
    <col min="6926" max="6926" width="11.42578125" style="28"/>
    <col min="6927" max="6927" width="13.85546875" style="28" customWidth="1"/>
    <col min="6928" max="6928" width="14.140625" style="28" customWidth="1"/>
    <col min="6929" max="6929" width="14.5703125" style="28" customWidth="1"/>
    <col min="6930" max="6930" width="9.5703125" style="28" customWidth="1"/>
    <col min="6931" max="6931" width="10.28515625" style="28" customWidth="1"/>
    <col min="6932" max="6932" width="8.85546875" style="28" customWidth="1"/>
    <col min="6933" max="6933" width="10.42578125" style="28" customWidth="1"/>
    <col min="6934" max="6934" width="11.5703125" style="28" customWidth="1"/>
    <col min="6935" max="6935" width="3.28515625" style="28" customWidth="1"/>
    <col min="6936" max="6936" width="12.7109375" style="28" customWidth="1"/>
    <col min="6937" max="6940" width="11.42578125" style="28"/>
    <col min="6941" max="6941" width="3.28515625" style="28" customWidth="1"/>
    <col min="6942" max="6942" width="11.42578125" style="28"/>
    <col min="6943" max="6943" width="13.42578125" style="28" bestFit="1" customWidth="1"/>
    <col min="6944" max="6944" width="14" style="28" bestFit="1" customWidth="1"/>
    <col min="6945" max="6945" width="16.140625" style="28" bestFit="1" customWidth="1"/>
    <col min="6946" max="6946" width="16.140625" style="28" customWidth="1"/>
    <col min="6947" max="7172" width="11.42578125" style="28"/>
    <col min="7173" max="7173" width="30.140625" style="28" bestFit="1" customWidth="1"/>
    <col min="7174" max="7174" width="13.5703125" style="28" bestFit="1" customWidth="1"/>
    <col min="7175" max="7175" width="11.85546875" style="28" customWidth="1"/>
    <col min="7176" max="7176" width="13" style="28" bestFit="1" customWidth="1"/>
    <col min="7177" max="7177" width="13" style="28" customWidth="1"/>
    <col min="7178" max="7179" width="12.5703125" style="28" customWidth="1"/>
    <col min="7180" max="7180" width="14.28515625" style="28" customWidth="1"/>
    <col min="7181" max="7181" width="15.42578125" style="28" customWidth="1"/>
    <col min="7182" max="7182" width="11.42578125" style="28"/>
    <col min="7183" max="7183" width="13.85546875" style="28" customWidth="1"/>
    <col min="7184" max="7184" width="14.140625" style="28" customWidth="1"/>
    <col min="7185" max="7185" width="14.5703125" style="28" customWidth="1"/>
    <col min="7186" max="7186" width="9.5703125" style="28" customWidth="1"/>
    <col min="7187" max="7187" width="10.28515625" style="28" customWidth="1"/>
    <col min="7188" max="7188" width="8.85546875" style="28" customWidth="1"/>
    <col min="7189" max="7189" width="10.42578125" style="28" customWidth="1"/>
    <col min="7190" max="7190" width="11.5703125" style="28" customWidth="1"/>
    <col min="7191" max="7191" width="3.28515625" style="28" customWidth="1"/>
    <col min="7192" max="7192" width="12.7109375" style="28" customWidth="1"/>
    <col min="7193" max="7196" width="11.42578125" style="28"/>
    <col min="7197" max="7197" width="3.28515625" style="28" customWidth="1"/>
    <col min="7198" max="7198" width="11.42578125" style="28"/>
    <col min="7199" max="7199" width="13.42578125" style="28" bestFit="1" customWidth="1"/>
    <col min="7200" max="7200" width="14" style="28" bestFit="1" customWidth="1"/>
    <col min="7201" max="7201" width="16.140625" style="28" bestFit="1" customWidth="1"/>
    <col min="7202" max="7202" width="16.140625" style="28" customWidth="1"/>
    <col min="7203" max="7428" width="11.42578125" style="28"/>
    <col min="7429" max="7429" width="30.140625" style="28" bestFit="1" customWidth="1"/>
    <col min="7430" max="7430" width="13.5703125" style="28" bestFit="1" customWidth="1"/>
    <col min="7431" max="7431" width="11.85546875" style="28" customWidth="1"/>
    <col min="7432" max="7432" width="13" style="28" bestFit="1" customWidth="1"/>
    <col min="7433" max="7433" width="13" style="28" customWidth="1"/>
    <col min="7434" max="7435" width="12.5703125" style="28" customWidth="1"/>
    <col min="7436" max="7436" width="14.28515625" style="28" customWidth="1"/>
    <col min="7437" max="7437" width="15.42578125" style="28" customWidth="1"/>
    <col min="7438" max="7438" width="11.42578125" style="28"/>
    <col min="7439" max="7439" width="13.85546875" style="28" customWidth="1"/>
    <col min="7440" max="7440" width="14.140625" style="28" customWidth="1"/>
    <col min="7441" max="7441" width="14.5703125" style="28" customWidth="1"/>
    <col min="7442" max="7442" width="9.5703125" style="28" customWidth="1"/>
    <col min="7443" max="7443" width="10.28515625" style="28" customWidth="1"/>
    <col min="7444" max="7444" width="8.85546875" style="28" customWidth="1"/>
    <col min="7445" max="7445" width="10.42578125" style="28" customWidth="1"/>
    <col min="7446" max="7446" width="11.5703125" style="28" customWidth="1"/>
    <col min="7447" max="7447" width="3.28515625" style="28" customWidth="1"/>
    <col min="7448" max="7448" width="12.7109375" style="28" customWidth="1"/>
    <col min="7449" max="7452" width="11.42578125" style="28"/>
    <col min="7453" max="7453" width="3.28515625" style="28" customWidth="1"/>
    <col min="7454" max="7454" width="11.42578125" style="28"/>
    <col min="7455" max="7455" width="13.42578125" style="28" bestFit="1" customWidth="1"/>
    <col min="7456" max="7456" width="14" style="28" bestFit="1" customWidth="1"/>
    <col min="7457" max="7457" width="16.140625" style="28" bestFit="1" customWidth="1"/>
    <col min="7458" max="7458" width="16.140625" style="28" customWidth="1"/>
    <col min="7459" max="7684" width="11.42578125" style="28"/>
    <col min="7685" max="7685" width="30.140625" style="28" bestFit="1" customWidth="1"/>
    <col min="7686" max="7686" width="13.5703125" style="28" bestFit="1" customWidth="1"/>
    <col min="7687" max="7687" width="11.85546875" style="28" customWidth="1"/>
    <col min="7688" max="7688" width="13" style="28" bestFit="1" customWidth="1"/>
    <col min="7689" max="7689" width="13" style="28" customWidth="1"/>
    <col min="7690" max="7691" width="12.5703125" style="28" customWidth="1"/>
    <col min="7692" max="7692" width="14.28515625" style="28" customWidth="1"/>
    <col min="7693" max="7693" width="15.42578125" style="28" customWidth="1"/>
    <col min="7694" max="7694" width="11.42578125" style="28"/>
    <col min="7695" max="7695" width="13.85546875" style="28" customWidth="1"/>
    <col min="7696" max="7696" width="14.140625" style="28" customWidth="1"/>
    <col min="7697" max="7697" width="14.5703125" style="28" customWidth="1"/>
    <col min="7698" max="7698" width="9.5703125" style="28" customWidth="1"/>
    <col min="7699" max="7699" width="10.28515625" style="28" customWidth="1"/>
    <col min="7700" max="7700" width="8.85546875" style="28" customWidth="1"/>
    <col min="7701" max="7701" width="10.42578125" style="28" customWidth="1"/>
    <col min="7702" max="7702" width="11.5703125" style="28" customWidth="1"/>
    <col min="7703" max="7703" width="3.28515625" style="28" customWidth="1"/>
    <col min="7704" max="7704" width="12.7109375" style="28" customWidth="1"/>
    <col min="7705" max="7708" width="11.42578125" style="28"/>
    <col min="7709" max="7709" width="3.28515625" style="28" customWidth="1"/>
    <col min="7710" max="7710" width="11.42578125" style="28"/>
    <col min="7711" max="7711" width="13.42578125" style="28" bestFit="1" customWidth="1"/>
    <col min="7712" max="7712" width="14" style="28" bestFit="1" customWidth="1"/>
    <col min="7713" max="7713" width="16.140625" style="28" bestFit="1" customWidth="1"/>
    <col min="7714" max="7714" width="16.140625" style="28" customWidth="1"/>
    <col min="7715" max="7940" width="11.42578125" style="28"/>
    <col min="7941" max="7941" width="30.140625" style="28" bestFit="1" customWidth="1"/>
    <col min="7942" max="7942" width="13.5703125" style="28" bestFit="1" customWidth="1"/>
    <col min="7943" max="7943" width="11.85546875" style="28" customWidth="1"/>
    <col min="7944" max="7944" width="13" style="28" bestFit="1" customWidth="1"/>
    <col min="7945" max="7945" width="13" style="28" customWidth="1"/>
    <col min="7946" max="7947" width="12.5703125" style="28" customWidth="1"/>
    <col min="7948" max="7948" width="14.28515625" style="28" customWidth="1"/>
    <col min="7949" max="7949" width="15.42578125" style="28" customWidth="1"/>
    <col min="7950" max="7950" width="11.42578125" style="28"/>
    <col min="7951" max="7951" width="13.85546875" style="28" customWidth="1"/>
    <col min="7952" max="7952" width="14.140625" style="28" customWidth="1"/>
    <col min="7953" max="7953" width="14.5703125" style="28" customWidth="1"/>
    <col min="7954" max="7954" width="9.5703125" style="28" customWidth="1"/>
    <col min="7955" max="7955" width="10.28515625" style="28" customWidth="1"/>
    <col min="7956" max="7956" width="8.85546875" style="28" customWidth="1"/>
    <col min="7957" max="7957" width="10.42578125" style="28" customWidth="1"/>
    <col min="7958" max="7958" width="11.5703125" style="28" customWidth="1"/>
    <col min="7959" max="7959" width="3.28515625" style="28" customWidth="1"/>
    <col min="7960" max="7960" width="12.7109375" style="28" customWidth="1"/>
    <col min="7961" max="7964" width="11.42578125" style="28"/>
    <col min="7965" max="7965" width="3.28515625" style="28" customWidth="1"/>
    <col min="7966" max="7966" width="11.42578125" style="28"/>
    <col min="7967" max="7967" width="13.42578125" style="28" bestFit="1" customWidth="1"/>
    <col min="7968" max="7968" width="14" style="28" bestFit="1" customWidth="1"/>
    <col min="7969" max="7969" width="16.140625" style="28" bestFit="1" customWidth="1"/>
    <col min="7970" max="7970" width="16.140625" style="28" customWidth="1"/>
    <col min="7971" max="8196" width="11.42578125" style="28"/>
    <col min="8197" max="8197" width="30.140625" style="28" bestFit="1" customWidth="1"/>
    <col min="8198" max="8198" width="13.5703125" style="28" bestFit="1" customWidth="1"/>
    <col min="8199" max="8199" width="11.85546875" style="28" customWidth="1"/>
    <col min="8200" max="8200" width="13" style="28" bestFit="1" customWidth="1"/>
    <col min="8201" max="8201" width="13" style="28" customWidth="1"/>
    <col min="8202" max="8203" width="12.5703125" style="28" customWidth="1"/>
    <col min="8204" max="8204" width="14.28515625" style="28" customWidth="1"/>
    <col min="8205" max="8205" width="15.42578125" style="28" customWidth="1"/>
    <col min="8206" max="8206" width="11.42578125" style="28"/>
    <col min="8207" max="8207" width="13.85546875" style="28" customWidth="1"/>
    <col min="8208" max="8208" width="14.140625" style="28" customWidth="1"/>
    <col min="8209" max="8209" width="14.5703125" style="28" customWidth="1"/>
    <col min="8210" max="8210" width="9.5703125" style="28" customWidth="1"/>
    <col min="8211" max="8211" width="10.28515625" style="28" customWidth="1"/>
    <col min="8212" max="8212" width="8.85546875" style="28" customWidth="1"/>
    <col min="8213" max="8213" width="10.42578125" style="28" customWidth="1"/>
    <col min="8214" max="8214" width="11.5703125" style="28" customWidth="1"/>
    <col min="8215" max="8215" width="3.28515625" style="28" customWidth="1"/>
    <col min="8216" max="8216" width="12.7109375" style="28" customWidth="1"/>
    <col min="8217" max="8220" width="11.42578125" style="28"/>
    <col min="8221" max="8221" width="3.28515625" style="28" customWidth="1"/>
    <col min="8222" max="8222" width="11.42578125" style="28"/>
    <col min="8223" max="8223" width="13.42578125" style="28" bestFit="1" customWidth="1"/>
    <col min="8224" max="8224" width="14" style="28" bestFit="1" customWidth="1"/>
    <col min="8225" max="8225" width="16.140625" style="28" bestFit="1" customWidth="1"/>
    <col min="8226" max="8226" width="16.140625" style="28" customWidth="1"/>
    <col min="8227" max="8452" width="11.42578125" style="28"/>
    <col min="8453" max="8453" width="30.140625" style="28" bestFit="1" customWidth="1"/>
    <col min="8454" max="8454" width="13.5703125" style="28" bestFit="1" customWidth="1"/>
    <col min="8455" max="8455" width="11.85546875" style="28" customWidth="1"/>
    <col min="8456" max="8456" width="13" style="28" bestFit="1" customWidth="1"/>
    <col min="8457" max="8457" width="13" style="28" customWidth="1"/>
    <col min="8458" max="8459" width="12.5703125" style="28" customWidth="1"/>
    <col min="8460" max="8460" width="14.28515625" style="28" customWidth="1"/>
    <col min="8461" max="8461" width="15.42578125" style="28" customWidth="1"/>
    <col min="8462" max="8462" width="11.42578125" style="28"/>
    <col min="8463" max="8463" width="13.85546875" style="28" customWidth="1"/>
    <col min="8464" max="8464" width="14.140625" style="28" customWidth="1"/>
    <col min="8465" max="8465" width="14.5703125" style="28" customWidth="1"/>
    <col min="8466" max="8466" width="9.5703125" style="28" customWidth="1"/>
    <col min="8467" max="8467" width="10.28515625" style="28" customWidth="1"/>
    <col min="8468" max="8468" width="8.85546875" style="28" customWidth="1"/>
    <col min="8469" max="8469" width="10.42578125" style="28" customWidth="1"/>
    <col min="8470" max="8470" width="11.5703125" style="28" customWidth="1"/>
    <col min="8471" max="8471" width="3.28515625" style="28" customWidth="1"/>
    <col min="8472" max="8472" width="12.7109375" style="28" customWidth="1"/>
    <col min="8473" max="8476" width="11.42578125" style="28"/>
    <col min="8477" max="8477" width="3.28515625" style="28" customWidth="1"/>
    <col min="8478" max="8478" width="11.42578125" style="28"/>
    <col min="8479" max="8479" width="13.42578125" style="28" bestFit="1" customWidth="1"/>
    <col min="8480" max="8480" width="14" style="28" bestFit="1" customWidth="1"/>
    <col min="8481" max="8481" width="16.140625" style="28" bestFit="1" customWidth="1"/>
    <col min="8482" max="8482" width="16.140625" style="28" customWidth="1"/>
    <col min="8483" max="8708" width="11.42578125" style="28"/>
    <col min="8709" max="8709" width="30.140625" style="28" bestFit="1" customWidth="1"/>
    <col min="8710" max="8710" width="13.5703125" style="28" bestFit="1" customWidth="1"/>
    <col min="8711" max="8711" width="11.85546875" style="28" customWidth="1"/>
    <col min="8712" max="8712" width="13" style="28" bestFit="1" customWidth="1"/>
    <col min="8713" max="8713" width="13" style="28" customWidth="1"/>
    <col min="8714" max="8715" width="12.5703125" style="28" customWidth="1"/>
    <col min="8716" max="8716" width="14.28515625" style="28" customWidth="1"/>
    <col min="8717" max="8717" width="15.42578125" style="28" customWidth="1"/>
    <col min="8718" max="8718" width="11.42578125" style="28"/>
    <col min="8719" max="8719" width="13.85546875" style="28" customWidth="1"/>
    <col min="8720" max="8720" width="14.140625" style="28" customWidth="1"/>
    <col min="8721" max="8721" width="14.5703125" style="28" customWidth="1"/>
    <col min="8722" max="8722" width="9.5703125" style="28" customWidth="1"/>
    <col min="8723" max="8723" width="10.28515625" style="28" customWidth="1"/>
    <col min="8724" max="8724" width="8.85546875" style="28" customWidth="1"/>
    <col min="8725" max="8725" width="10.42578125" style="28" customWidth="1"/>
    <col min="8726" max="8726" width="11.5703125" style="28" customWidth="1"/>
    <col min="8727" max="8727" width="3.28515625" style="28" customWidth="1"/>
    <col min="8728" max="8728" width="12.7109375" style="28" customWidth="1"/>
    <col min="8729" max="8732" width="11.42578125" style="28"/>
    <col min="8733" max="8733" width="3.28515625" style="28" customWidth="1"/>
    <col min="8734" max="8734" width="11.42578125" style="28"/>
    <col min="8735" max="8735" width="13.42578125" style="28" bestFit="1" customWidth="1"/>
    <col min="8736" max="8736" width="14" style="28" bestFit="1" customWidth="1"/>
    <col min="8737" max="8737" width="16.140625" style="28" bestFit="1" customWidth="1"/>
    <col min="8738" max="8738" width="16.140625" style="28" customWidth="1"/>
    <col min="8739" max="8964" width="11.42578125" style="28"/>
    <col min="8965" max="8965" width="30.140625" style="28" bestFit="1" customWidth="1"/>
    <col min="8966" max="8966" width="13.5703125" style="28" bestFit="1" customWidth="1"/>
    <col min="8967" max="8967" width="11.85546875" style="28" customWidth="1"/>
    <col min="8968" max="8968" width="13" style="28" bestFit="1" customWidth="1"/>
    <col min="8969" max="8969" width="13" style="28" customWidth="1"/>
    <col min="8970" max="8971" width="12.5703125" style="28" customWidth="1"/>
    <col min="8972" max="8972" width="14.28515625" style="28" customWidth="1"/>
    <col min="8973" max="8973" width="15.42578125" style="28" customWidth="1"/>
    <col min="8974" max="8974" width="11.42578125" style="28"/>
    <col min="8975" max="8975" width="13.85546875" style="28" customWidth="1"/>
    <col min="8976" max="8976" width="14.140625" style="28" customWidth="1"/>
    <col min="8977" max="8977" width="14.5703125" style="28" customWidth="1"/>
    <col min="8978" max="8978" width="9.5703125" style="28" customWidth="1"/>
    <col min="8979" max="8979" width="10.28515625" style="28" customWidth="1"/>
    <col min="8980" max="8980" width="8.85546875" style="28" customWidth="1"/>
    <col min="8981" max="8981" width="10.42578125" style="28" customWidth="1"/>
    <col min="8982" max="8982" width="11.5703125" style="28" customWidth="1"/>
    <col min="8983" max="8983" width="3.28515625" style="28" customWidth="1"/>
    <col min="8984" max="8984" width="12.7109375" style="28" customWidth="1"/>
    <col min="8985" max="8988" width="11.42578125" style="28"/>
    <col min="8989" max="8989" width="3.28515625" style="28" customWidth="1"/>
    <col min="8990" max="8990" width="11.42578125" style="28"/>
    <col min="8991" max="8991" width="13.42578125" style="28" bestFit="1" customWidth="1"/>
    <col min="8992" max="8992" width="14" style="28" bestFit="1" customWidth="1"/>
    <col min="8993" max="8993" width="16.140625" style="28" bestFit="1" customWidth="1"/>
    <col min="8994" max="8994" width="16.140625" style="28" customWidth="1"/>
    <col min="8995" max="9220" width="11.42578125" style="28"/>
    <col min="9221" max="9221" width="30.140625" style="28" bestFit="1" customWidth="1"/>
    <col min="9222" max="9222" width="13.5703125" style="28" bestFit="1" customWidth="1"/>
    <col min="9223" max="9223" width="11.85546875" style="28" customWidth="1"/>
    <col min="9224" max="9224" width="13" style="28" bestFit="1" customWidth="1"/>
    <col min="9225" max="9225" width="13" style="28" customWidth="1"/>
    <col min="9226" max="9227" width="12.5703125" style="28" customWidth="1"/>
    <col min="9228" max="9228" width="14.28515625" style="28" customWidth="1"/>
    <col min="9229" max="9229" width="15.42578125" style="28" customWidth="1"/>
    <col min="9230" max="9230" width="11.42578125" style="28"/>
    <col min="9231" max="9231" width="13.85546875" style="28" customWidth="1"/>
    <col min="9232" max="9232" width="14.140625" style="28" customWidth="1"/>
    <col min="9233" max="9233" width="14.5703125" style="28" customWidth="1"/>
    <col min="9234" max="9234" width="9.5703125" style="28" customWidth="1"/>
    <col min="9235" max="9235" width="10.28515625" style="28" customWidth="1"/>
    <col min="9236" max="9236" width="8.85546875" style="28" customWidth="1"/>
    <col min="9237" max="9237" width="10.42578125" style="28" customWidth="1"/>
    <col min="9238" max="9238" width="11.5703125" style="28" customWidth="1"/>
    <col min="9239" max="9239" width="3.28515625" style="28" customWidth="1"/>
    <col min="9240" max="9240" width="12.7109375" style="28" customWidth="1"/>
    <col min="9241" max="9244" width="11.42578125" style="28"/>
    <col min="9245" max="9245" width="3.28515625" style="28" customWidth="1"/>
    <col min="9246" max="9246" width="11.42578125" style="28"/>
    <col min="9247" max="9247" width="13.42578125" style="28" bestFit="1" customWidth="1"/>
    <col min="9248" max="9248" width="14" style="28" bestFit="1" customWidth="1"/>
    <col min="9249" max="9249" width="16.140625" style="28" bestFit="1" customWidth="1"/>
    <col min="9250" max="9250" width="16.140625" style="28" customWidth="1"/>
    <col min="9251" max="9476" width="11.42578125" style="28"/>
    <col min="9477" max="9477" width="30.140625" style="28" bestFit="1" customWidth="1"/>
    <col min="9478" max="9478" width="13.5703125" style="28" bestFit="1" customWidth="1"/>
    <col min="9479" max="9479" width="11.85546875" style="28" customWidth="1"/>
    <col min="9480" max="9480" width="13" style="28" bestFit="1" customWidth="1"/>
    <col min="9481" max="9481" width="13" style="28" customWidth="1"/>
    <col min="9482" max="9483" width="12.5703125" style="28" customWidth="1"/>
    <col min="9484" max="9484" width="14.28515625" style="28" customWidth="1"/>
    <col min="9485" max="9485" width="15.42578125" style="28" customWidth="1"/>
    <col min="9486" max="9486" width="11.42578125" style="28"/>
    <col min="9487" max="9487" width="13.85546875" style="28" customWidth="1"/>
    <col min="9488" max="9488" width="14.140625" style="28" customWidth="1"/>
    <col min="9489" max="9489" width="14.5703125" style="28" customWidth="1"/>
    <col min="9490" max="9490" width="9.5703125" style="28" customWidth="1"/>
    <col min="9491" max="9491" width="10.28515625" style="28" customWidth="1"/>
    <col min="9492" max="9492" width="8.85546875" style="28" customWidth="1"/>
    <col min="9493" max="9493" width="10.42578125" style="28" customWidth="1"/>
    <col min="9494" max="9494" width="11.5703125" style="28" customWidth="1"/>
    <col min="9495" max="9495" width="3.28515625" style="28" customWidth="1"/>
    <col min="9496" max="9496" width="12.7109375" style="28" customWidth="1"/>
    <col min="9497" max="9500" width="11.42578125" style="28"/>
    <col min="9501" max="9501" width="3.28515625" style="28" customWidth="1"/>
    <col min="9502" max="9502" width="11.42578125" style="28"/>
    <col min="9503" max="9503" width="13.42578125" style="28" bestFit="1" customWidth="1"/>
    <col min="9504" max="9504" width="14" style="28" bestFit="1" customWidth="1"/>
    <col min="9505" max="9505" width="16.140625" style="28" bestFit="1" customWidth="1"/>
    <col min="9506" max="9506" width="16.140625" style="28" customWidth="1"/>
    <col min="9507" max="9732" width="11.42578125" style="28"/>
    <col min="9733" max="9733" width="30.140625" style="28" bestFit="1" customWidth="1"/>
    <col min="9734" max="9734" width="13.5703125" style="28" bestFit="1" customWidth="1"/>
    <col min="9735" max="9735" width="11.85546875" style="28" customWidth="1"/>
    <col min="9736" max="9736" width="13" style="28" bestFit="1" customWidth="1"/>
    <col min="9737" max="9737" width="13" style="28" customWidth="1"/>
    <col min="9738" max="9739" width="12.5703125" style="28" customWidth="1"/>
    <col min="9740" max="9740" width="14.28515625" style="28" customWidth="1"/>
    <col min="9741" max="9741" width="15.42578125" style="28" customWidth="1"/>
    <col min="9742" max="9742" width="11.42578125" style="28"/>
    <col min="9743" max="9743" width="13.85546875" style="28" customWidth="1"/>
    <col min="9744" max="9744" width="14.140625" style="28" customWidth="1"/>
    <col min="9745" max="9745" width="14.5703125" style="28" customWidth="1"/>
    <col min="9746" max="9746" width="9.5703125" style="28" customWidth="1"/>
    <col min="9747" max="9747" width="10.28515625" style="28" customWidth="1"/>
    <col min="9748" max="9748" width="8.85546875" style="28" customWidth="1"/>
    <col min="9749" max="9749" width="10.42578125" style="28" customWidth="1"/>
    <col min="9750" max="9750" width="11.5703125" style="28" customWidth="1"/>
    <col min="9751" max="9751" width="3.28515625" style="28" customWidth="1"/>
    <col min="9752" max="9752" width="12.7109375" style="28" customWidth="1"/>
    <col min="9753" max="9756" width="11.42578125" style="28"/>
    <col min="9757" max="9757" width="3.28515625" style="28" customWidth="1"/>
    <col min="9758" max="9758" width="11.42578125" style="28"/>
    <col min="9759" max="9759" width="13.42578125" style="28" bestFit="1" customWidth="1"/>
    <col min="9760" max="9760" width="14" style="28" bestFit="1" customWidth="1"/>
    <col min="9761" max="9761" width="16.140625" style="28" bestFit="1" customWidth="1"/>
    <col min="9762" max="9762" width="16.140625" style="28" customWidth="1"/>
    <col min="9763" max="9988" width="11.42578125" style="28"/>
    <col min="9989" max="9989" width="30.140625" style="28" bestFit="1" customWidth="1"/>
    <col min="9990" max="9990" width="13.5703125" style="28" bestFit="1" customWidth="1"/>
    <col min="9991" max="9991" width="11.85546875" style="28" customWidth="1"/>
    <col min="9992" max="9992" width="13" style="28" bestFit="1" customWidth="1"/>
    <col min="9993" max="9993" width="13" style="28" customWidth="1"/>
    <col min="9994" max="9995" width="12.5703125" style="28" customWidth="1"/>
    <col min="9996" max="9996" width="14.28515625" style="28" customWidth="1"/>
    <col min="9997" max="9997" width="15.42578125" style="28" customWidth="1"/>
    <col min="9998" max="9998" width="11.42578125" style="28"/>
    <col min="9999" max="9999" width="13.85546875" style="28" customWidth="1"/>
    <col min="10000" max="10000" width="14.140625" style="28" customWidth="1"/>
    <col min="10001" max="10001" width="14.5703125" style="28" customWidth="1"/>
    <col min="10002" max="10002" width="9.5703125" style="28" customWidth="1"/>
    <col min="10003" max="10003" width="10.28515625" style="28" customWidth="1"/>
    <col min="10004" max="10004" width="8.85546875" style="28" customWidth="1"/>
    <col min="10005" max="10005" width="10.42578125" style="28" customWidth="1"/>
    <col min="10006" max="10006" width="11.5703125" style="28" customWidth="1"/>
    <col min="10007" max="10007" width="3.28515625" style="28" customWidth="1"/>
    <col min="10008" max="10008" width="12.7109375" style="28" customWidth="1"/>
    <col min="10009" max="10012" width="11.42578125" style="28"/>
    <col min="10013" max="10013" width="3.28515625" style="28" customWidth="1"/>
    <col min="10014" max="10014" width="11.42578125" style="28"/>
    <col min="10015" max="10015" width="13.42578125" style="28" bestFit="1" customWidth="1"/>
    <col min="10016" max="10016" width="14" style="28" bestFit="1" customWidth="1"/>
    <col min="10017" max="10017" width="16.140625" style="28" bestFit="1" customWidth="1"/>
    <col min="10018" max="10018" width="16.140625" style="28" customWidth="1"/>
    <col min="10019" max="10244" width="11.42578125" style="28"/>
    <col min="10245" max="10245" width="30.140625" style="28" bestFit="1" customWidth="1"/>
    <col min="10246" max="10246" width="13.5703125" style="28" bestFit="1" customWidth="1"/>
    <col min="10247" max="10247" width="11.85546875" style="28" customWidth="1"/>
    <col min="10248" max="10248" width="13" style="28" bestFit="1" customWidth="1"/>
    <col min="10249" max="10249" width="13" style="28" customWidth="1"/>
    <col min="10250" max="10251" width="12.5703125" style="28" customWidth="1"/>
    <col min="10252" max="10252" width="14.28515625" style="28" customWidth="1"/>
    <col min="10253" max="10253" width="15.42578125" style="28" customWidth="1"/>
    <col min="10254" max="10254" width="11.42578125" style="28"/>
    <col min="10255" max="10255" width="13.85546875" style="28" customWidth="1"/>
    <col min="10256" max="10256" width="14.140625" style="28" customWidth="1"/>
    <col min="10257" max="10257" width="14.5703125" style="28" customWidth="1"/>
    <col min="10258" max="10258" width="9.5703125" style="28" customWidth="1"/>
    <col min="10259" max="10259" width="10.28515625" style="28" customWidth="1"/>
    <col min="10260" max="10260" width="8.85546875" style="28" customWidth="1"/>
    <col min="10261" max="10261" width="10.42578125" style="28" customWidth="1"/>
    <col min="10262" max="10262" width="11.5703125" style="28" customWidth="1"/>
    <col min="10263" max="10263" width="3.28515625" style="28" customWidth="1"/>
    <col min="10264" max="10264" width="12.7109375" style="28" customWidth="1"/>
    <col min="10265" max="10268" width="11.42578125" style="28"/>
    <col min="10269" max="10269" width="3.28515625" style="28" customWidth="1"/>
    <col min="10270" max="10270" width="11.42578125" style="28"/>
    <col min="10271" max="10271" width="13.42578125" style="28" bestFit="1" customWidth="1"/>
    <col min="10272" max="10272" width="14" style="28" bestFit="1" customWidth="1"/>
    <col min="10273" max="10273" width="16.140625" style="28" bestFit="1" customWidth="1"/>
    <col min="10274" max="10274" width="16.140625" style="28" customWidth="1"/>
    <col min="10275" max="10500" width="11.42578125" style="28"/>
    <col min="10501" max="10501" width="30.140625" style="28" bestFit="1" customWidth="1"/>
    <col min="10502" max="10502" width="13.5703125" style="28" bestFit="1" customWidth="1"/>
    <col min="10503" max="10503" width="11.85546875" style="28" customWidth="1"/>
    <col min="10504" max="10504" width="13" style="28" bestFit="1" customWidth="1"/>
    <col min="10505" max="10505" width="13" style="28" customWidth="1"/>
    <col min="10506" max="10507" width="12.5703125" style="28" customWidth="1"/>
    <col min="10508" max="10508" width="14.28515625" style="28" customWidth="1"/>
    <col min="10509" max="10509" width="15.42578125" style="28" customWidth="1"/>
    <col min="10510" max="10510" width="11.42578125" style="28"/>
    <col min="10511" max="10511" width="13.85546875" style="28" customWidth="1"/>
    <col min="10512" max="10512" width="14.140625" style="28" customWidth="1"/>
    <col min="10513" max="10513" width="14.5703125" style="28" customWidth="1"/>
    <col min="10514" max="10514" width="9.5703125" style="28" customWidth="1"/>
    <col min="10515" max="10515" width="10.28515625" style="28" customWidth="1"/>
    <col min="10516" max="10516" width="8.85546875" style="28" customWidth="1"/>
    <col min="10517" max="10517" width="10.42578125" style="28" customWidth="1"/>
    <col min="10518" max="10518" width="11.5703125" style="28" customWidth="1"/>
    <col min="10519" max="10519" width="3.28515625" style="28" customWidth="1"/>
    <col min="10520" max="10520" width="12.7109375" style="28" customWidth="1"/>
    <col min="10521" max="10524" width="11.42578125" style="28"/>
    <col min="10525" max="10525" width="3.28515625" style="28" customWidth="1"/>
    <col min="10526" max="10526" width="11.42578125" style="28"/>
    <col min="10527" max="10527" width="13.42578125" style="28" bestFit="1" customWidth="1"/>
    <col min="10528" max="10528" width="14" style="28" bestFit="1" customWidth="1"/>
    <col min="10529" max="10529" width="16.140625" style="28" bestFit="1" customWidth="1"/>
    <col min="10530" max="10530" width="16.140625" style="28" customWidth="1"/>
    <col min="10531" max="10756" width="11.42578125" style="28"/>
    <col min="10757" max="10757" width="30.140625" style="28" bestFit="1" customWidth="1"/>
    <col min="10758" max="10758" width="13.5703125" style="28" bestFit="1" customWidth="1"/>
    <col min="10759" max="10759" width="11.85546875" style="28" customWidth="1"/>
    <col min="10760" max="10760" width="13" style="28" bestFit="1" customWidth="1"/>
    <col min="10761" max="10761" width="13" style="28" customWidth="1"/>
    <col min="10762" max="10763" width="12.5703125" style="28" customWidth="1"/>
    <col min="10764" max="10764" width="14.28515625" style="28" customWidth="1"/>
    <col min="10765" max="10765" width="15.42578125" style="28" customWidth="1"/>
    <col min="10766" max="10766" width="11.42578125" style="28"/>
    <col min="10767" max="10767" width="13.85546875" style="28" customWidth="1"/>
    <col min="10768" max="10768" width="14.140625" style="28" customWidth="1"/>
    <col min="10769" max="10769" width="14.5703125" style="28" customWidth="1"/>
    <col min="10770" max="10770" width="9.5703125" style="28" customWidth="1"/>
    <col min="10771" max="10771" width="10.28515625" style="28" customWidth="1"/>
    <col min="10772" max="10772" width="8.85546875" style="28" customWidth="1"/>
    <col min="10773" max="10773" width="10.42578125" style="28" customWidth="1"/>
    <col min="10774" max="10774" width="11.5703125" style="28" customWidth="1"/>
    <col min="10775" max="10775" width="3.28515625" style="28" customWidth="1"/>
    <col min="10776" max="10776" width="12.7109375" style="28" customWidth="1"/>
    <col min="10777" max="10780" width="11.42578125" style="28"/>
    <col min="10781" max="10781" width="3.28515625" style="28" customWidth="1"/>
    <col min="10782" max="10782" width="11.42578125" style="28"/>
    <col min="10783" max="10783" width="13.42578125" style="28" bestFit="1" customWidth="1"/>
    <col min="10784" max="10784" width="14" style="28" bestFit="1" customWidth="1"/>
    <col min="10785" max="10785" width="16.140625" style="28" bestFit="1" customWidth="1"/>
    <col min="10786" max="10786" width="16.140625" style="28" customWidth="1"/>
    <col min="10787" max="11012" width="11.42578125" style="28"/>
    <col min="11013" max="11013" width="30.140625" style="28" bestFit="1" customWidth="1"/>
    <col min="11014" max="11014" width="13.5703125" style="28" bestFit="1" customWidth="1"/>
    <col min="11015" max="11015" width="11.85546875" style="28" customWidth="1"/>
    <col min="11016" max="11016" width="13" style="28" bestFit="1" customWidth="1"/>
    <col min="11017" max="11017" width="13" style="28" customWidth="1"/>
    <col min="11018" max="11019" width="12.5703125" style="28" customWidth="1"/>
    <col min="11020" max="11020" width="14.28515625" style="28" customWidth="1"/>
    <col min="11021" max="11021" width="15.42578125" style="28" customWidth="1"/>
    <col min="11022" max="11022" width="11.42578125" style="28"/>
    <col min="11023" max="11023" width="13.85546875" style="28" customWidth="1"/>
    <col min="11024" max="11024" width="14.140625" style="28" customWidth="1"/>
    <col min="11025" max="11025" width="14.5703125" style="28" customWidth="1"/>
    <col min="11026" max="11026" width="9.5703125" style="28" customWidth="1"/>
    <col min="11027" max="11027" width="10.28515625" style="28" customWidth="1"/>
    <col min="11028" max="11028" width="8.85546875" style="28" customWidth="1"/>
    <col min="11029" max="11029" width="10.42578125" style="28" customWidth="1"/>
    <col min="11030" max="11030" width="11.5703125" style="28" customWidth="1"/>
    <col min="11031" max="11031" width="3.28515625" style="28" customWidth="1"/>
    <col min="11032" max="11032" width="12.7109375" style="28" customWidth="1"/>
    <col min="11033" max="11036" width="11.42578125" style="28"/>
    <col min="11037" max="11037" width="3.28515625" style="28" customWidth="1"/>
    <col min="11038" max="11038" width="11.42578125" style="28"/>
    <col min="11039" max="11039" width="13.42578125" style="28" bestFit="1" customWidth="1"/>
    <col min="11040" max="11040" width="14" style="28" bestFit="1" customWidth="1"/>
    <col min="11041" max="11041" width="16.140625" style="28" bestFit="1" customWidth="1"/>
    <col min="11042" max="11042" width="16.140625" style="28" customWidth="1"/>
    <col min="11043" max="11268" width="11.42578125" style="28"/>
    <col min="11269" max="11269" width="30.140625" style="28" bestFit="1" customWidth="1"/>
    <col min="11270" max="11270" width="13.5703125" style="28" bestFit="1" customWidth="1"/>
    <col min="11271" max="11271" width="11.85546875" style="28" customWidth="1"/>
    <col min="11272" max="11272" width="13" style="28" bestFit="1" customWidth="1"/>
    <col min="11273" max="11273" width="13" style="28" customWidth="1"/>
    <col min="11274" max="11275" width="12.5703125" style="28" customWidth="1"/>
    <col min="11276" max="11276" width="14.28515625" style="28" customWidth="1"/>
    <col min="11277" max="11277" width="15.42578125" style="28" customWidth="1"/>
    <col min="11278" max="11278" width="11.42578125" style="28"/>
    <col min="11279" max="11279" width="13.85546875" style="28" customWidth="1"/>
    <col min="11280" max="11280" width="14.140625" style="28" customWidth="1"/>
    <col min="11281" max="11281" width="14.5703125" style="28" customWidth="1"/>
    <col min="11282" max="11282" width="9.5703125" style="28" customWidth="1"/>
    <col min="11283" max="11283" width="10.28515625" style="28" customWidth="1"/>
    <col min="11284" max="11284" width="8.85546875" style="28" customWidth="1"/>
    <col min="11285" max="11285" width="10.42578125" style="28" customWidth="1"/>
    <col min="11286" max="11286" width="11.5703125" style="28" customWidth="1"/>
    <col min="11287" max="11287" width="3.28515625" style="28" customWidth="1"/>
    <col min="11288" max="11288" width="12.7109375" style="28" customWidth="1"/>
    <col min="11289" max="11292" width="11.42578125" style="28"/>
    <col min="11293" max="11293" width="3.28515625" style="28" customWidth="1"/>
    <col min="11294" max="11294" width="11.42578125" style="28"/>
    <col min="11295" max="11295" width="13.42578125" style="28" bestFit="1" customWidth="1"/>
    <col min="11296" max="11296" width="14" style="28" bestFit="1" customWidth="1"/>
    <col min="11297" max="11297" width="16.140625" style="28" bestFit="1" customWidth="1"/>
    <col min="11298" max="11298" width="16.140625" style="28" customWidth="1"/>
    <col min="11299" max="11524" width="11.42578125" style="28"/>
    <col min="11525" max="11525" width="30.140625" style="28" bestFit="1" customWidth="1"/>
    <col min="11526" max="11526" width="13.5703125" style="28" bestFit="1" customWidth="1"/>
    <col min="11527" max="11527" width="11.85546875" style="28" customWidth="1"/>
    <col min="11528" max="11528" width="13" style="28" bestFit="1" customWidth="1"/>
    <col min="11529" max="11529" width="13" style="28" customWidth="1"/>
    <col min="11530" max="11531" width="12.5703125" style="28" customWidth="1"/>
    <col min="11532" max="11532" width="14.28515625" style="28" customWidth="1"/>
    <col min="11533" max="11533" width="15.42578125" style="28" customWidth="1"/>
    <col min="11534" max="11534" width="11.42578125" style="28"/>
    <col min="11535" max="11535" width="13.85546875" style="28" customWidth="1"/>
    <col min="11536" max="11536" width="14.140625" style="28" customWidth="1"/>
    <col min="11537" max="11537" width="14.5703125" style="28" customWidth="1"/>
    <col min="11538" max="11538" width="9.5703125" style="28" customWidth="1"/>
    <col min="11539" max="11539" width="10.28515625" style="28" customWidth="1"/>
    <col min="11540" max="11540" width="8.85546875" style="28" customWidth="1"/>
    <col min="11541" max="11541" width="10.42578125" style="28" customWidth="1"/>
    <col min="11542" max="11542" width="11.5703125" style="28" customWidth="1"/>
    <col min="11543" max="11543" width="3.28515625" style="28" customWidth="1"/>
    <col min="11544" max="11544" width="12.7109375" style="28" customWidth="1"/>
    <col min="11545" max="11548" width="11.42578125" style="28"/>
    <col min="11549" max="11549" width="3.28515625" style="28" customWidth="1"/>
    <col min="11550" max="11550" width="11.42578125" style="28"/>
    <col min="11551" max="11551" width="13.42578125" style="28" bestFit="1" customWidth="1"/>
    <col min="11552" max="11552" width="14" style="28" bestFit="1" customWidth="1"/>
    <col min="11553" max="11553" width="16.140625" style="28" bestFit="1" customWidth="1"/>
    <col min="11554" max="11554" width="16.140625" style="28" customWidth="1"/>
    <col min="11555" max="11780" width="11.42578125" style="28"/>
    <col min="11781" max="11781" width="30.140625" style="28" bestFit="1" customWidth="1"/>
    <col min="11782" max="11782" width="13.5703125" style="28" bestFit="1" customWidth="1"/>
    <col min="11783" max="11783" width="11.85546875" style="28" customWidth="1"/>
    <col min="11784" max="11784" width="13" style="28" bestFit="1" customWidth="1"/>
    <col min="11785" max="11785" width="13" style="28" customWidth="1"/>
    <col min="11786" max="11787" width="12.5703125" style="28" customWidth="1"/>
    <col min="11788" max="11788" width="14.28515625" style="28" customWidth="1"/>
    <col min="11789" max="11789" width="15.42578125" style="28" customWidth="1"/>
    <col min="11790" max="11790" width="11.42578125" style="28"/>
    <col min="11791" max="11791" width="13.85546875" style="28" customWidth="1"/>
    <col min="11792" max="11792" width="14.140625" style="28" customWidth="1"/>
    <col min="11793" max="11793" width="14.5703125" style="28" customWidth="1"/>
    <col min="11794" max="11794" width="9.5703125" style="28" customWidth="1"/>
    <col min="11795" max="11795" width="10.28515625" style="28" customWidth="1"/>
    <col min="11796" max="11796" width="8.85546875" style="28" customWidth="1"/>
    <col min="11797" max="11797" width="10.42578125" style="28" customWidth="1"/>
    <col min="11798" max="11798" width="11.5703125" style="28" customWidth="1"/>
    <col min="11799" max="11799" width="3.28515625" style="28" customWidth="1"/>
    <col min="11800" max="11800" width="12.7109375" style="28" customWidth="1"/>
    <col min="11801" max="11804" width="11.42578125" style="28"/>
    <col min="11805" max="11805" width="3.28515625" style="28" customWidth="1"/>
    <col min="11806" max="11806" width="11.42578125" style="28"/>
    <col min="11807" max="11807" width="13.42578125" style="28" bestFit="1" customWidth="1"/>
    <col min="11808" max="11808" width="14" style="28" bestFit="1" customWidth="1"/>
    <col min="11809" max="11809" width="16.140625" style="28" bestFit="1" customWidth="1"/>
    <col min="11810" max="11810" width="16.140625" style="28" customWidth="1"/>
    <col min="11811" max="12036" width="11.42578125" style="28"/>
    <col min="12037" max="12037" width="30.140625" style="28" bestFit="1" customWidth="1"/>
    <col min="12038" max="12038" width="13.5703125" style="28" bestFit="1" customWidth="1"/>
    <col min="12039" max="12039" width="11.85546875" style="28" customWidth="1"/>
    <col min="12040" max="12040" width="13" style="28" bestFit="1" customWidth="1"/>
    <col min="12041" max="12041" width="13" style="28" customWidth="1"/>
    <col min="12042" max="12043" width="12.5703125" style="28" customWidth="1"/>
    <col min="12044" max="12044" width="14.28515625" style="28" customWidth="1"/>
    <col min="12045" max="12045" width="15.42578125" style="28" customWidth="1"/>
    <col min="12046" max="12046" width="11.42578125" style="28"/>
    <col min="12047" max="12047" width="13.85546875" style="28" customWidth="1"/>
    <col min="12048" max="12048" width="14.140625" style="28" customWidth="1"/>
    <col min="12049" max="12049" width="14.5703125" style="28" customWidth="1"/>
    <col min="12050" max="12050" width="9.5703125" style="28" customWidth="1"/>
    <col min="12051" max="12051" width="10.28515625" style="28" customWidth="1"/>
    <col min="12052" max="12052" width="8.85546875" style="28" customWidth="1"/>
    <col min="12053" max="12053" width="10.42578125" style="28" customWidth="1"/>
    <col min="12054" max="12054" width="11.5703125" style="28" customWidth="1"/>
    <col min="12055" max="12055" width="3.28515625" style="28" customWidth="1"/>
    <col min="12056" max="12056" width="12.7109375" style="28" customWidth="1"/>
    <col min="12057" max="12060" width="11.42578125" style="28"/>
    <col min="12061" max="12061" width="3.28515625" style="28" customWidth="1"/>
    <col min="12062" max="12062" width="11.42578125" style="28"/>
    <col min="12063" max="12063" width="13.42578125" style="28" bestFit="1" customWidth="1"/>
    <col min="12064" max="12064" width="14" style="28" bestFit="1" customWidth="1"/>
    <col min="12065" max="12065" width="16.140625" style="28" bestFit="1" customWidth="1"/>
    <col min="12066" max="12066" width="16.140625" style="28" customWidth="1"/>
    <col min="12067" max="12292" width="11.42578125" style="28"/>
    <col min="12293" max="12293" width="30.140625" style="28" bestFit="1" customWidth="1"/>
    <col min="12294" max="12294" width="13.5703125" style="28" bestFit="1" customWidth="1"/>
    <col min="12295" max="12295" width="11.85546875" style="28" customWidth="1"/>
    <col min="12296" max="12296" width="13" style="28" bestFit="1" customWidth="1"/>
    <col min="12297" max="12297" width="13" style="28" customWidth="1"/>
    <col min="12298" max="12299" width="12.5703125" style="28" customWidth="1"/>
    <col min="12300" max="12300" width="14.28515625" style="28" customWidth="1"/>
    <col min="12301" max="12301" width="15.42578125" style="28" customWidth="1"/>
    <col min="12302" max="12302" width="11.42578125" style="28"/>
    <col min="12303" max="12303" width="13.85546875" style="28" customWidth="1"/>
    <col min="12304" max="12304" width="14.140625" style="28" customWidth="1"/>
    <col min="12305" max="12305" width="14.5703125" style="28" customWidth="1"/>
    <col min="12306" max="12306" width="9.5703125" style="28" customWidth="1"/>
    <col min="12307" max="12307" width="10.28515625" style="28" customWidth="1"/>
    <col min="12308" max="12308" width="8.85546875" style="28" customWidth="1"/>
    <col min="12309" max="12309" width="10.42578125" style="28" customWidth="1"/>
    <col min="12310" max="12310" width="11.5703125" style="28" customWidth="1"/>
    <col min="12311" max="12311" width="3.28515625" style="28" customWidth="1"/>
    <col min="12312" max="12312" width="12.7109375" style="28" customWidth="1"/>
    <col min="12313" max="12316" width="11.42578125" style="28"/>
    <col min="12317" max="12317" width="3.28515625" style="28" customWidth="1"/>
    <col min="12318" max="12318" width="11.42578125" style="28"/>
    <col min="12319" max="12319" width="13.42578125" style="28" bestFit="1" customWidth="1"/>
    <col min="12320" max="12320" width="14" style="28" bestFit="1" customWidth="1"/>
    <col min="12321" max="12321" width="16.140625" style="28" bestFit="1" customWidth="1"/>
    <col min="12322" max="12322" width="16.140625" style="28" customWidth="1"/>
    <col min="12323" max="12548" width="11.42578125" style="28"/>
    <col min="12549" max="12549" width="30.140625" style="28" bestFit="1" customWidth="1"/>
    <col min="12550" max="12550" width="13.5703125" style="28" bestFit="1" customWidth="1"/>
    <col min="12551" max="12551" width="11.85546875" style="28" customWidth="1"/>
    <col min="12552" max="12552" width="13" style="28" bestFit="1" customWidth="1"/>
    <col min="12553" max="12553" width="13" style="28" customWidth="1"/>
    <col min="12554" max="12555" width="12.5703125" style="28" customWidth="1"/>
    <col min="12556" max="12556" width="14.28515625" style="28" customWidth="1"/>
    <col min="12557" max="12557" width="15.42578125" style="28" customWidth="1"/>
    <col min="12558" max="12558" width="11.42578125" style="28"/>
    <col min="12559" max="12559" width="13.85546875" style="28" customWidth="1"/>
    <col min="12560" max="12560" width="14.140625" style="28" customWidth="1"/>
    <col min="12561" max="12561" width="14.5703125" style="28" customWidth="1"/>
    <col min="12562" max="12562" width="9.5703125" style="28" customWidth="1"/>
    <col min="12563" max="12563" width="10.28515625" style="28" customWidth="1"/>
    <col min="12564" max="12564" width="8.85546875" style="28" customWidth="1"/>
    <col min="12565" max="12565" width="10.42578125" style="28" customWidth="1"/>
    <col min="12566" max="12566" width="11.5703125" style="28" customWidth="1"/>
    <col min="12567" max="12567" width="3.28515625" style="28" customWidth="1"/>
    <col min="12568" max="12568" width="12.7109375" style="28" customWidth="1"/>
    <col min="12569" max="12572" width="11.42578125" style="28"/>
    <col min="12573" max="12573" width="3.28515625" style="28" customWidth="1"/>
    <col min="12574" max="12574" width="11.42578125" style="28"/>
    <col min="12575" max="12575" width="13.42578125" style="28" bestFit="1" customWidth="1"/>
    <col min="12576" max="12576" width="14" style="28" bestFit="1" customWidth="1"/>
    <col min="12577" max="12577" width="16.140625" style="28" bestFit="1" customWidth="1"/>
    <col min="12578" max="12578" width="16.140625" style="28" customWidth="1"/>
    <col min="12579" max="12804" width="11.42578125" style="28"/>
    <col min="12805" max="12805" width="30.140625" style="28" bestFit="1" customWidth="1"/>
    <col min="12806" max="12806" width="13.5703125" style="28" bestFit="1" customWidth="1"/>
    <col min="12807" max="12807" width="11.85546875" style="28" customWidth="1"/>
    <col min="12808" max="12808" width="13" style="28" bestFit="1" customWidth="1"/>
    <col min="12809" max="12809" width="13" style="28" customWidth="1"/>
    <col min="12810" max="12811" width="12.5703125" style="28" customWidth="1"/>
    <col min="12812" max="12812" width="14.28515625" style="28" customWidth="1"/>
    <col min="12813" max="12813" width="15.42578125" style="28" customWidth="1"/>
    <col min="12814" max="12814" width="11.42578125" style="28"/>
    <col min="12815" max="12815" width="13.85546875" style="28" customWidth="1"/>
    <col min="12816" max="12816" width="14.140625" style="28" customWidth="1"/>
    <col min="12817" max="12817" width="14.5703125" style="28" customWidth="1"/>
    <col min="12818" max="12818" width="9.5703125" style="28" customWidth="1"/>
    <col min="12819" max="12819" width="10.28515625" style="28" customWidth="1"/>
    <col min="12820" max="12820" width="8.85546875" style="28" customWidth="1"/>
    <col min="12821" max="12821" width="10.42578125" style="28" customWidth="1"/>
    <col min="12822" max="12822" width="11.5703125" style="28" customWidth="1"/>
    <col min="12823" max="12823" width="3.28515625" style="28" customWidth="1"/>
    <col min="12824" max="12824" width="12.7109375" style="28" customWidth="1"/>
    <col min="12825" max="12828" width="11.42578125" style="28"/>
    <col min="12829" max="12829" width="3.28515625" style="28" customWidth="1"/>
    <col min="12830" max="12830" width="11.42578125" style="28"/>
    <col min="12831" max="12831" width="13.42578125" style="28" bestFit="1" customWidth="1"/>
    <col min="12832" max="12832" width="14" style="28" bestFit="1" customWidth="1"/>
    <col min="12833" max="12833" width="16.140625" style="28" bestFit="1" customWidth="1"/>
    <col min="12834" max="12834" width="16.140625" style="28" customWidth="1"/>
    <col min="12835" max="13060" width="11.42578125" style="28"/>
    <col min="13061" max="13061" width="30.140625" style="28" bestFit="1" customWidth="1"/>
    <col min="13062" max="13062" width="13.5703125" style="28" bestFit="1" customWidth="1"/>
    <col min="13063" max="13063" width="11.85546875" style="28" customWidth="1"/>
    <col min="13064" max="13064" width="13" style="28" bestFit="1" customWidth="1"/>
    <col min="13065" max="13065" width="13" style="28" customWidth="1"/>
    <col min="13066" max="13067" width="12.5703125" style="28" customWidth="1"/>
    <col min="13068" max="13068" width="14.28515625" style="28" customWidth="1"/>
    <col min="13069" max="13069" width="15.42578125" style="28" customWidth="1"/>
    <col min="13070" max="13070" width="11.42578125" style="28"/>
    <col min="13071" max="13071" width="13.85546875" style="28" customWidth="1"/>
    <col min="13072" max="13072" width="14.140625" style="28" customWidth="1"/>
    <col min="13073" max="13073" width="14.5703125" style="28" customWidth="1"/>
    <col min="13074" max="13074" width="9.5703125" style="28" customWidth="1"/>
    <col min="13075" max="13075" width="10.28515625" style="28" customWidth="1"/>
    <col min="13076" max="13076" width="8.85546875" style="28" customWidth="1"/>
    <col min="13077" max="13077" width="10.42578125" style="28" customWidth="1"/>
    <col min="13078" max="13078" width="11.5703125" style="28" customWidth="1"/>
    <col min="13079" max="13079" width="3.28515625" style="28" customWidth="1"/>
    <col min="13080" max="13080" width="12.7109375" style="28" customWidth="1"/>
    <col min="13081" max="13084" width="11.42578125" style="28"/>
    <col min="13085" max="13085" width="3.28515625" style="28" customWidth="1"/>
    <col min="13086" max="13086" width="11.42578125" style="28"/>
    <col min="13087" max="13087" width="13.42578125" style="28" bestFit="1" customWidth="1"/>
    <col min="13088" max="13088" width="14" style="28" bestFit="1" customWidth="1"/>
    <col min="13089" max="13089" width="16.140625" style="28" bestFit="1" customWidth="1"/>
    <col min="13090" max="13090" width="16.140625" style="28" customWidth="1"/>
    <col min="13091" max="13316" width="11.42578125" style="28"/>
    <col min="13317" max="13317" width="30.140625" style="28" bestFit="1" customWidth="1"/>
    <col min="13318" max="13318" width="13.5703125" style="28" bestFit="1" customWidth="1"/>
    <col min="13319" max="13319" width="11.85546875" style="28" customWidth="1"/>
    <col min="13320" max="13320" width="13" style="28" bestFit="1" customWidth="1"/>
    <col min="13321" max="13321" width="13" style="28" customWidth="1"/>
    <col min="13322" max="13323" width="12.5703125" style="28" customWidth="1"/>
    <col min="13324" max="13324" width="14.28515625" style="28" customWidth="1"/>
    <col min="13325" max="13325" width="15.42578125" style="28" customWidth="1"/>
    <col min="13326" max="13326" width="11.42578125" style="28"/>
    <col min="13327" max="13327" width="13.85546875" style="28" customWidth="1"/>
    <col min="13328" max="13328" width="14.140625" style="28" customWidth="1"/>
    <col min="13329" max="13329" width="14.5703125" style="28" customWidth="1"/>
    <col min="13330" max="13330" width="9.5703125" style="28" customWidth="1"/>
    <col min="13331" max="13331" width="10.28515625" style="28" customWidth="1"/>
    <col min="13332" max="13332" width="8.85546875" style="28" customWidth="1"/>
    <col min="13333" max="13333" width="10.42578125" style="28" customWidth="1"/>
    <col min="13334" max="13334" width="11.5703125" style="28" customWidth="1"/>
    <col min="13335" max="13335" width="3.28515625" style="28" customWidth="1"/>
    <col min="13336" max="13336" width="12.7109375" style="28" customWidth="1"/>
    <col min="13337" max="13340" width="11.42578125" style="28"/>
    <col min="13341" max="13341" width="3.28515625" style="28" customWidth="1"/>
    <col min="13342" max="13342" width="11.42578125" style="28"/>
    <col min="13343" max="13343" width="13.42578125" style="28" bestFit="1" customWidth="1"/>
    <col min="13344" max="13344" width="14" style="28" bestFit="1" customWidth="1"/>
    <col min="13345" max="13345" width="16.140625" style="28" bestFit="1" customWidth="1"/>
    <col min="13346" max="13346" width="16.140625" style="28" customWidth="1"/>
    <col min="13347" max="13572" width="11.42578125" style="28"/>
    <col min="13573" max="13573" width="30.140625" style="28" bestFit="1" customWidth="1"/>
    <col min="13574" max="13574" width="13.5703125" style="28" bestFit="1" customWidth="1"/>
    <col min="13575" max="13575" width="11.85546875" style="28" customWidth="1"/>
    <col min="13576" max="13576" width="13" style="28" bestFit="1" customWidth="1"/>
    <col min="13577" max="13577" width="13" style="28" customWidth="1"/>
    <col min="13578" max="13579" width="12.5703125" style="28" customWidth="1"/>
    <col min="13580" max="13580" width="14.28515625" style="28" customWidth="1"/>
    <col min="13581" max="13581" width="15.42578125" style="28" customWidth="1"/>
    <col min="13582" max="13582" width="11.42578125" style="28"/>
    <col min="13583" max="13583" width="13.85546875" style="28" customWidth="1"/>
    <col min="13584" max="13584" width="14.140625" style="28" customWidth="1"/>
    <col min="13585" max="13585" width="14.5703125" style="28" customWidth="1"/>
    <col min="13586" max="13586" width="9.5703125" style="28" customWidth="1"/>
    <col min="13587" max="13587" width="10.28515625" style="28" customWidth="1"/>
    <col min="13588" max="13588" width="8.85546875" style="28" customWidth="1"/>
    <col min="13589" max="13589" width="10.42578125" style="28" customWidth="1"/>
    <col min="13590" max="13590" width="11.5703125" style="28" customWidth="1"/>
    <col min="13591" max="13591" width="3.28515625" style="28" customWidth="1"/>
    <col min="13592" max="13592" width="12.7109375" style="28" customWidth="1"/>
    <col min="13593" max="13596" width="11.42578125" style="28"/>
    <col min="13597" max="13597" width="3.28515625" style="28" customWidth="1"/>
    <col min="13598" max="13598" width="11.42578125" style="28"/>
    <col min="13599" max="13599" width="13.42578125" style="28" bestFit="1" customWidth="1"/>
    <col min="13600" max="13600" width="14" style="28" bestFit="1" customWidth="1"/>
    <col min="13601" max="13601" width="16.140625" style="28" bestFit="1" customWidth="1"/>
    <col min="13602" max="13602" width="16.140625" style="28" customWidth="1"/>
    <col min="13603" max="13828" width="11.42578125" style="28"/>
    <col min="13829" max="13829" width="30.140625" style="28" bestFit="1" customWidth="1"/>
    <col min="13830" max="13830" width="13.5703125" style="28" bestFit="1" customWidth="1"/>
    <col min="13831" max="13831" width="11.85546875" style="28" customWidth="1"/>
    <col min="13832" max="13832" width="13" style="28" bestFit="1" customWidth="1"/>
    <col min="13833" max="13833" width="13" style="28" customWidth="1"/>
    <col min="13834" max="13835" width="12.5703125" style="28" customWidth="1"/>
    <col min="13836" max="13836" width="14.28515625" style="28" customWidth="1"/>
    <col min="13837" max="13837" width="15.42578125" style="28" customWidth="1"/>
    <col min="13838" max="13838" width="11.42578125" style="28"/>
    <col min="13839" max="13839" width="13.85546875" style="28" customWidth="1"/>
    <col min="13840" max="13840" width="14.140625" style="28" customWidth="1"/>
    <col min="13841" max="13841" width="14.5703125" style="28" customWidth="1"/>
    <col min="13842" max="13842" width="9.5703125" style="28" customWidth="1"/>
    <col min="13843" max="13843" width="10.28515625" style="28" customWidth="1"/>
    <col min="13844" max="13844" width="8.85546875" style="28" customWidth="1"/>
    <col min="13845" max="13845" width="10.42578125" style="28" customWidth="1"/>
    <col min="13846" max="13846" width="11.5703125" style="28" customWidth="1"/>
    <col min="13847" max="13847" width="3.28515625" style="28" customWidth="1"/>
    <col min="13848" max="13848" width="12.7109375" style="28" customWidth="1"/>
    <col min="13849" max="13852" width="11.42578125" style="28"/>
    <col min="13853" max="13853" width="3.28515625" style="28" customWidth="1"/>
    <col min="13854" max="13854" width="11.42578125" style="28"/>
    <col min="13855" max="13855" width="13.42578125" style="28" bestFit="1" customWidth="1"/>
    <col min="13856" max="13856" width="14" style="28" bestFit="1" customWidth="1"/>
    <col min="13857" max="13857" width="16.140625" style="28" bestFit="1" customWidth="1"/>
    <col min="13858" max="13858" width="16.140625" style="28" customWidth="1"/>
    <col min="13859" max="14084" width="11.42578125" style="28"/>
    <col min="14085" max="14085" width="30.140625" style="28" bestFit="1" customWidth="1"/>
    <col min="14086" max="14086" width="13.5703125" style="28" bestFit="1" customWidth="1"/>
    <col min="14087" max="14087" width="11.85546875" style="28" customWidth="1"/>
    <col min="14088" max="14088" width="13" style="28" bestFit="1" customWidth="1"/>
    <col min="14089" max="14089" width="13" style="28" customWidth="1"/>
    <col min="14090" max="14091" width="12.5703125" style="28" customWidth="1"/>
    <col min="14092" max="14092" width="14.28515625" style="28" customWidth="1"/>
    <col min="14093" max="14093" width="15.42578125" style="28" customWidth="1"/>
    <col min="14094" max="14094" width="11.42578125" style="28"/>
    <col min="14095" max="14095" width="13.85546875" style="28" customWidth="1"/>
    <col min="14096" max="14096" width="14.140625" style="28" customWidth="1"/>
    <col min="14097" max="14097" width="14.5703125" style="28" customWidth="1"/>
    <col min="14098" max="14098" width="9.5703125" style="28" customWidth="1"/>
    <col min="14099" max="14099" width="10.28515625" style="28" customWidth="1"/>
    <col min="14100" max="14100" width="8.85546875" style="28" customWidth="1"/>
    <col min="14101" max="14101" width="10.42578125" style="28" customWidth="1"/>
    <col min="14102" max="14102" width="11.5703125" style="28" customWidth="1"/>
    <col min="14103" max="14103" width="3.28515625" style="28" customWidth="1"/>
    <col min="14104" max="14104" width="12.7109375" style="28" customWidth="1"/>
    <col min="14105" max="14108" width="11.42578125" style="28"/>
    <col min="14109" max="14109" width="3.28515625" style="28" customWidth="1"/>
    <col min="14110" max="14110" width="11.42578125" style="28"/>
    <col min="14111" max="14111" width="13.42578125" style="28" bestFit="1" customWidth="1"/>
    <col min="14112" max="14112" width="14" style="28" bestFit="1" customWidth="1"/>
    <col min="14113" max="14113" width="16.140625" style="28" bestFit="1" customWidth="1"/>
    <col min="14114" max="14114" width="16.140625" style="28" customWidth="1"/>
    <col min="14115" max="14340" width="11.42578125" style="28"/>
    <col min="14341" max="14341" width="30.140625" style="28" bestFit="1" customWidth="1"/>
    <col min="14342" max="14342" width="13.5703125" style="28" bestFit="1" customWidth="1"/>
    <col min="14343" max="14343" width="11.85546875" style="28" customWidth="1"/>
    <col min="14344" max="14344" width="13" style="28" bestFit="1" customWidth="1"/>
    <col min="14345" max="14345" width="13" style="28" customWidth="1"/>
    <col min="14346" max="14347" width="12.5703125" style="28" customWidth="1"/>
    <col min="14348" max="14348" width="14.28515625" style="28" customWidth="1"/>
    <col min="14349" max="14349" width="15.42578125" style="28" customWidth="1"/>
    <col min="14350" max="14350" width="11.42578125" style="28"/>
    <col min="14351" max="14351" width="13.85546875" style="28" customWidth="1"/>
    <col min="14352" max="14352" width="14.140625" style="28" customWidth="1"/>
    <col min="14353" max="14353" width="14.5703125" style="28" customWidth="1"/>
    <col min="14354" max="14354" width="9.5703125" style="28" customWidth="1"/>
    <col min="14355" max="14355" width="10.28515625" style="28" customWidth="1"/>
    <col min="14356" max="14356" width="8.85546875" style="28" customWidth="1"/>
    <col min="14357" max="14357" width="10.42578125" style="28" customWidth="1"/>
    <col min="14358" max="14358" width="11.5703125" style="28" customWidth="1"/>
    <col min="14359" max="14359" width="3.28515625" style="28" customWidth="1"/>
    <col min="14360" max="14360" width="12.7109375" style="28" customWidth="1"/>
    <col min="14361" max="14364" width="11.42578125" style="28"/>
    <col min="14365" max="14365" width="3.28515625" style="28" customWidth="1"/>
    <col min="14366" max="14366" width="11.42578125" style="28"/>
    <col min="14367" max="14367" width="13.42578125" style="28" bestFit="1" customWidth="1"/>
    <col min="14368" max="14368" width="14" style="28" bestFit="1" customWidth="1"/>
    <col min="14369" max="14369" width="16.140625" style="28" bestFit="1" customWidth="1"/>
    <col min="14370" max="14370" width="16.140625" style="28" customWidth="1"/>
    <col min="14371" max="14596" width="11.42578125" style="28"/>
    <col min="14597" max="14597" width="30.140625" style="28" bestFit="1" customWidth="1"/>
    <col min="14598" max="14598" width="13.5703125" style="28" bestFit="1" customWidth="1"/>
    <col min="14599" max="14599" width="11.85546875" style="28" customWidth="1"/>
    <col min="14600" max="14600" width="13" style="28" bestFit="1" customWidth="1"/>
    <col min="14601" max="14601" width="13" style="28" customWidth="1"/>
    <col min="14602" max="14603" width="12.5703125" style="28" customWidth="1"/>
    <col min="14604" max="14604" width="14.28515625" style="28" customWidth="1"/>
    <col min="14605" max="14605" width="15.42578125" style="28" customWidth="1"/>
    <col min="14606" max="14606" width="11.42578125" style="28"/>
    <col min="14607" max="14607" width="13.85546875" style="28" customWidth="1"/>
    <col min="14608" max="14608" width="14.140625" style="28" customWidth="1"/>
    <col min="14609" max="14609" width="14.5703125" style="28" customWidth="1"/>
    <col min="14610" max="14610" width="9.5703125" style="28" customWidth="1"/>
    <col min="14611" max="14611" width="10.28515625" style="28" customWidth="1"/>
    <col min="14612" max="14612" width="8.85546875" style="28" customWidth="1"/>
    <col min="14613" max="14613" width="10.42578125" style="28" customWidth="1"/>
    <col min="14614" max="14614" width="11.5703125" style="28" customWidth="1"/>
    <col min="14615" max="14615" width="3.28515625" style="28" customWidth="1"/>
    <col min="14616" max="14616" width="12.7109375" style="28" customWidth="1"/>
    <col min="14617" max="14620" width="11.42578125" style="28"/>
    <col min="14621" max="14621" width="3.28515625" style="28" customWidth="1"/>
    <col min="14622" max="14622" width="11.42578125" style="28"/>
    <col min="14623" max="14623" width="13.42578125" style="28" bestFit="1" customWidth="1"/>
    <col min="14624" max="14624" width="14" style="28" bestFit="1" customWidth="1"/>
    <col min="14625" max="14625" width="16.140625" style="28" bestFit="1" customWidth="1"/>
    <col min="14626" max="14626" width="16.140625" style="28" customWidth="1"/>
    <col min="14627" max="14852" width="11.42578125" style="28"/>
    <col min="14853" max="14853" width="30.140625" style="28" bestFit="1" customWidth="1"/>
    <col min="14854" max="14854" width="13.5703125" style="28" bestFit="1" customWidth="1"/>
    <col min="14855" max="14855" width="11.85546875" style="28" customWidth="1"/>
    <col min="14856" max="14856" width="13" style="28" bestFit="1" customWidth="1"/>
    <col min="14857" max="14857" width="13" style="28" customWidth="1"/>
    <col min="14858" max="14859" width="12.5703125" style="28" customWidth="1"/>
    <col min="14860" max="14860" width="14.28515625" style="28" customWidth="1"/>
    <col min="14861" max="14861" width="15.42578125" style="28" customWidth="1"/>
    <col min="14862" max="14862" width="11.42578125" style="28"/>
    <col min="14863" max="14863" width="13.85546875" style="28" customWidth="1"/>
    <col min="14864" max="14864" width="14.140625" style="28" customWidth="1"/>
    <col min="14865" max="14865" width="14.5703125" style="28" customWidth="1"/>
    <col min="14866" max="14866" width="9.5703125" style="28" customWidth="1"/>
    <col min="14867" max="14867" width="10.28515625" style="28" customWidth="1"/>
    <col min="14868" max="14868" width="8.85546875" style="28" customWidth="1"/>
    <col min="14869" max="14869" width="10.42578125" style="28" customWidth="1"/>
    <col min="14870" max="14870" width="11.5703125" style="28" customWidth="1"/>
    <col min="14871" max="14871" width="3.28515625" style="28" customWidth="1"/>
    <col min="14872" max="14872" width="12.7109375" style="28" customWidth="1"/>
    <col min="14873" max="14876" width="11.42578125" style="28"/>
    <col min="14877" max="14877" width="3.28515625" style="28" customWidth="1"/>
    <col min="14878" max="14878" width="11.42578125" style="28"/>
    <col min="14879" max="14879" width="13.42578125" style="28" bestFit="1" customWidth="1"/>
    <col min="14880" max="14880" width="14" style="28" bestFit="1" customWidth="1"/>
    <col min="14881" max="14881" width="16.140625" style="28" bestFit="1" customWidth="1"/>
    <col min="14882" max="14882" width="16.140625" style="28" customWidth="1"/>
    <col min="14883" max="15108" width="11.42578125" style="28"/>
    <col min="15109" max="15109" width="30.140625" style="28" bestFit="1" customWidth="1"/>
    <col min="15110" max="15110" width="13.5703125" style="28" bestFit="1" customWidth="1"/>
    <col min="15111" max="15111" width="11.85546875" style="28" customWidth="1"/>
    <col min="15112" max="15112" width="13" style="28" bestFit="1" customWidth="1"/>
    <col min="15113" max="15113" width="13" style="28" customWidth="1"/>
    <col min="15114" max="15115" width="12.5703125" style="28" customWidth="1"/>
    <col min="15116" max="15116" width="14.28515625" style="28" customWidth="1"/>
    <col min="15117" max="15117" width="15.42578125" style="28" customWidth="1"/>
    <col min="15118" max="15118" width="11.42578125" style="28"/>
    <col min="15119" max="15119" width="13.85546875" style="28" customWidth="1"/>
    <col min="15120" max="15120" width="14.140625" style="28" customWidth="1"/>
    <col min="15121" max="15121" width="14.5703125" style="28" customWidth="1"/>
    <col min="15122" max="15122" width="9.5703125" style="28" customWidth="1"/>
    <col min="15123" max="15123" width="10.28515625" style="28" customWidth="1"/>
    <col min="15124" max="15124" width="8.85546875" style="28" customWidth="1"/>
    <col min="15125" max="15125" width="10.42578125" style="28" customWidth="1"/>
    <col min="15126" max="15126" width="11.5703125" style="28" customWidth="1"/>
    <col min="15127" max="15127" width="3.28515625" style="28" customWidth="1"/>
    <col min="15128" max="15128" width="12.7109375" style="28" customWidth="1"/>
    <col min="15129" max="15132" width="11.42578125" style="28"/>
    <col min="15133" max="15133" width="3.28515625" style="28" customWidth="1"/>
    <col min="15134" max="15134" width="11.42578125" style="28"/>
    <col min="15135" max="15135" width="13.42578125" style="28" bestFit="1" customWidth="1"/>
    <col min="15136" max="15136" width="14" style="28" bestFit="1" customWidth="1"/>
    <col min="15137" max="15137" width="16.140625" style="28" bestFit="1" customWidth="1"/>
    <col min="15138" max="15138" width="16.140625" style="28" customWidth="1"/>
    <col min="15139" max="15364" width="11.42578125" style="28"/>
    <col min="15365" max="15365" width="30.140625" style="28" bestFit="1" customWidth="1"/>
    <col min="15366" max="15366" width="13.5703125" style="28" bestFit="1" customWidth="1"/>
    <col min="15367" max="15367" width="11.85546875" style="28" customWidth="1"/>
    <col min="15368" max="15368" width="13" style="28" bestFit="1" customWidth="1"/>
    <col min="15369" max="15369" width="13" style="28" customWidth="1"/>
    <col min="15370" max="15371" width="12.5703125" style="28" customWidth="1"/>
    <col min="15372" max="15372" width="14.28515625" style="28" customWidth="1"/>
    <col min="15373" max="15373" width="15.42578125" style="28" customWidth="1"/>
    <col min="15374" max="15374" width="11.42578125" style="28"/>
    <col min="15375" max="15375" width="13.85546875" style="28" customWidth="1"/>
    <col min="15376" max="15376" width="14.140625" style="28" customWidth="1"/>
    <col min="15377" max="15377" width="14.5703125" style="28" customWidth="1"/>
    <col min="15378" max="15378" width="9.5703125" style="28" customWidth="1"/>
    <col min="15379" max="15379" width="10.28515625" style="28" customWidth="1"/>
    <col min="15380" max="15380" width="8.85546875" style="28" customWidth="1"/>
    <col min="15381" max="15381" width="10.42578125" style="28" customWidth="1"/>
    <col min="15382" max="15382" width="11.5703125" style="28" customWidth="1"/>
    <col min="15383" max="15383" width="3.28515625" style="28" customWidth="1"/>
    <col min="15384" max="15384" width="12.7109375" style="28" customWidth="1"/>
    <col min="15385" max="15388" width="11.42578125" style="28"/>
    <col min="15389" max="15389" width="3.28515625" style="28" customWidth="1"/>
    <col min="15390" max="15390" width="11.42578125" style="28"/>
    <col min="15391" max="15391" width="13.42578125" style="28" bestFit="1" customWidth="1"/>
    <col min="15392" max="15392" width="14" style="28" bestFit="1" customWidth="1"/>
    <col min="15393" max="15393" width="16.140625" style="28" bestFit="1" customWidth="1"/>
    <col min="15394" max="15394" width="16.140625" style="28" customWidth="1"/>
    <col min="15395" max="15620" width="11.42578125" style="28"/>
    <col min="15621" max="15621" width="30.140625" style="28" bestFit="1" customWidth="1"/>
    <col min="15622" max="15622" width="13.5703125" style="28" bestFit="1" customWidth="1"/>
    <col min="15623" max="15623" width="11.85546875" style="28" customWidth="1"/>
    <col min="15624" max="15624" width="13" style="28" bestFit="1" customWidth="1"/>
    <col min="15625" max="15625" width="13" style="28" customWidth="1"/>
    <col min="15626" max="15627" width="12.5703125" style="28" customWidth="1"/>
    <col min="15628" max="15628" width="14.28515625" style="28" customWidth="1"/>
    <col min="15629" max="15629" width="15.42578125" style="28" customWidth="1"/>
    <col min="15630" max="15630" width="11.42578125" style="28"/>
    <col min="15631" max="15631" width="13.85546875" style="28" customWidth="1"/>
    <col min="15632" max="15632" width="14.140625" style="28" customWidth="1"/>
    <col min="15633" max="15633" width="14.5703125" style="28" customWidth="1"/>
    <col min="15634" max="15634" width="9.5703125" style="28" customWidth="1"/>
    <col min="15635" max="15635" width="10.28515625" style="28" customWidth="1"/>
    <col min="15636" max="15636" width="8.85546875" style="28" customWidth="1"/>
    <col min="15637" max="15637" width="10.42578125" style="28" customWidth="1"/>
    <col min="15638" max="15638" width="11.5703125" style="28" customWidth="1"/>
    <col min="15639" max="15639" width="3.28515625" style="28" customWidth="1"/>
    <col min="15640" max="15640" width="12.7109375" style="28" customWidth="1"/>
    <col min="15641" max="15644" width="11.42578125" style="28"/>
    <col min="15645" max="15645" width="3.28515625" style="28" customWidth="1"/>
    <col min="15646" max="15646" width="11.42578125" style="28"/>
    <col min="15647" max="15647" width="13.42578125" style="28" bestFit="1" customWidth="1"/>
    <col min="15648" max="15648" width="14" style="28" bestFit="1" customWidth="1"/>
    <col min="15649" max="15649" width="16.140625" style="28" bestFit="1" customWidth="1"/>
    <col min="15650" max="15650" width="16.140625" style="28" customWidth="1"/>
    <col min="15651" max="15876" width="11.42578125" style="28"/>
    <col min="15877" max="15877" width="30.140625" style="28" bestFit="1" customWidth="1"/>
    <col min="15878" max="15878" width="13.5703125" style="28" bestFit="1" customWidth="1"/>
    <col min="15879" max="15879" width="11.85546875" style="28" customWidth="1"/>
    <col min="15880" max="15880" width="13" style="28" bestFit="1" customWidth="1"/>
    <col min="15881" max="15881" width="13" style="28" customWidth="1"/>
    <col min="15882" max="15883" width="12.5703125" style="28" customWidth="1"/>
    <col min="15884" max="15884" width="14.28515625" style="28" customWidth="1"/>
    <col min="15885" max="15885" width="15.42578125" style="28" customWidth="1"/>
    <col min="15886" max="15886" width="11.42578125" style="28"/>
    <col min="15887" max="15887" width="13.85546875" style="28" customWidth="1"/>
    <col min="15888" max="15888" width="14.140625" style="28" customWidth="1"/>
    <col min="15889" max="15889" width="14.5703125" style="28" customWidth="1"/>
    <col min="15890" max="15890" width="9.5703125" style="28" customWidth="1"/>
    <col min="15891" max="15891" width="10.28515625" style="28" customWidth="1"/>
    <col min="15892" max="15892" width="8.85546875" style="28" customWidth="1"/>
    <col min="15893" max="15893" width="10.42578125" style="28" customWidth="1"/>
    <col min="15894" max="15894" width="11.5703125" style="28" customWidth="1"/>
    <col min="15895" max="15895" width="3.28515625" style="28" customWidth="1"/>
    <col min="15896" max="15896" width="12.7109375" style="28" customWidth="1"/>
    <col min="15897" max="15900" width="11.42578125" style="28"/>
    <col min="15901" max="15901" width="3.28515625" style="28" customWidth="1"/>
    <col min="15902" max="15902" width="11.42578125" style="28"/>
    <col min="15903" max="15903" width="13.42578125" style="28" bestFit="1" customWidth="1"/>
    <col min="15904" max="15904" width="14" style="28" bestFit="1" customWidth="1"/>
    <col min="15905" max="15905" width="16.140625" style="28" bestFit="1" customWidth="1"/>
    <col min="15906" max="15906" width="16.140625" style="28" customWidth="1"/>
    <col min="15907" max="16132" width="11.42578125" style="28"/>
    <col min="16133" max="16133" width="30.140625" style="28" bestFit="1" customWidth="1"/>
    <col min="16134" max="16134" width="13.5703125" style="28" bestFit="1" customWidth="1"/>
    <col min="16135" max="16135" width="11.85546875" style="28" customWidth="1"/>
    <col min="16136" max="16136" width="13" style="28" bestFit="1" customWidth="1"/>
    <col min="16137" max="16137" width="13" style="28" customWidth="1"/>
    <col min="16138" max="16139" width="12.5703125" style="28" customWidth="1"/>
    <col min="16140" max="16140" width="14.28515625" style="28" customWidth="1"/>
    <col min="16141" max="16141" width="15.42578125" style="28" customWidth="1"/>
    <col min="16142" max="16142" width="11.42578125" style="28"/>
    <col min="16143" max="16143" width="13.85546875" style="28" customWidth="1"/>
    <col min="16144" max="16144" width="14.140625" style="28" customWidth="1"/>
    <col min="16145" max="16145" width="14.5703125" style="28" customWidth="1"/>
    <col min="16146" max="16146" width="9.5703125" style="28" customWidth="1"/>
    <col min="16147" max="16147" width="10.28515625" style="28" customWidth="1"/>
    <col min="16148" max="16148" width="8.85546875" style="28" customWidth="1"/>
    <col min="16149" max="16149" width="10.42578125" style="28" customWidth="1"/>
    <col min="16150" max="16150" width="11.5703125" style="28" customWidth="1"/>
    <col min="16151" max="16151" width="3.28515625" style="28" customWidth="1"/>
    <col min="16152" max="16152" width="12.7109375" style="28" customWidth="1"/>
    <col min="16153" max="16156" width="11.42578125" style="28"/>
    <col min="16157" max="16157" width="3.28515625" style="28" customWidth="1"/>
    <col min="16158" max="16158" width="11.42578125" style="28"/>
    <col min="16159" max="16159" width="13.42578125" style="28" bestFit="1" customWidth="1"/>
    <col min="16160" max="16160" width="14" style="28" bestFit="1" customWidth="1"/>
    <col min="16161" max="16161" width="16.140625" style="28" bestFit="1" customWidth="1"/>
    <col min="16162" max="16162" width="16.140625" style="28" customWidth="1"/>
    <col min="16163" max="16384" width="11.42578125" style="28"/>
  </cols>
  <sheetData>
    <row r="1" spans="2:39" s="1" customFormat="1" ht="19.5" customHeight="1" x14ac:dyDescent="0.25">
      <c r="B1" s="234" t="s">
        <v>152</v>
      </c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</row>
    <row r="2" spans="2:39" s="1" customFormat="1" ht="19.5" customHeight="1" x14ac:dyDescent="0.25"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  <c r="AH2" s="234"/>
      <c r="AI2" s="234"/>
      <c r="AJ2" s="234"/>
      <c r="AK2" s="234"/>
      <c r="AL2" s="234"/>
      <c r="AM2" s="234"/>
    </row>
    <row r="3" spans="2:39" s="1" customFormat="1" ht="19.5" x14ac:dyDescent="0.25">
      <c r="B3" s="2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3"/>
      <c r="V3" s="235" t="s">
        <v>153</v>
      </c>
      <c r="W3" s="235"/>
      <c r="X3" s="235"/>
      <c r="Y3" s="235"/>
      <c r="Z3" s="235"/>
      <c r="AA3" s="4"/>
      <c r="AB3" s="3"/>
      <c r="AC3" s="3"/>
      <c r="AD3" s="235" t="s">
        <v>154</v>
      </c>
      <c r="AE3" s="235"/>
      <c r="AF3" s="235"/>
      <c r="AG3" s="235"/>
      <c r="AH3" s="235"/>
      <c r="AI3" s="235"/>
      <c r="AJ3" s="235"/>
      <c r="AK3" s="235"/>
      <c r="AL3" s="235"/>
      <c r="AM3" s="235"/>
    </row>
    <row r="4" spans="2:39" s="6" customFormat="1" ht="57" customHeight="1" x14ac:dyDescent="0.2">
      <c r="B4" s="5" t="s">
        <v>155</v>
      </c>
      <c r="C4" s="5" t="s">
        <v>156</v>
      </c>
      <c r="D4" s="5" t="s">
        <v>157</v>
      </c>
      <c r="E4" s="5" t="s">
        <v>158</v>
      </c>
      <c r="F4" s="5" t="s">
        <v>157</v>
      </c>
      <c r="G4" s="5" t="s">
        <v>159</v>
      </c>
      <c r="H4" s="236" t="s">
        <v>160</v>
      </c>
      <c r="I4" s="5" t="s">
        <v>161</v>
      </c>
      <c r="J4" s="5" t="s">
        <v>161</v>
      </c>
      <c r="K4" s="5" t="s">
        <v>162</v>
      </c>
      <c r="L4" s="5" t="s">
        <v>163</v>
      </c>
      <c r="M4" s="5" t="s">
        <v>164</v>
      </c>
      <c r="N4" s="5" t="s">
        <v>165</v>
      </c>
      <c r="O4" s="5" t="s">
        <v>164</v>
      </c>
      <c r="P4" s="5" t="s">
        <v>166</v>
      </c>
      <c r="Q4" s="5" t="s">
        <v>167</v>
      </c>
      <c r="R4" s="5" t="s">
        <v>168</v>
      </c>
      <c r="S4" s="5" t="s">
        <v>163</v>
      </c>
      <c r="T4" s="5" t="s">
        <v>169</v>
      </c>
      <c r="V4" s="5" t="s">
        <v>170</v>
      </c>
      <c r="W4" s="5" t="s">
        <v>171</v>
      </c>
      <c r="X4" s="5" t="s">
        <v>172</v>
      </c>
      <c r="Y4" s="7" t="s">
        <v>173</v>
      </c>
      <c r="Z4" s="236" t="s">
        <v>163</v>
      </c>
      <c r="AA4" s="7" t="s">
        <v>174</v>
      </c>
      <c r="AC4" s="5" t="s">
        <v>175</v>
      </c>
      <c r="AD4" s="7" t="s">
        <v>176</v>
      </c>
      <c r="AE4" s="7" t="s">
        <v>177</v>
      </c>
      <c r="AF4" s="7" t="s">
        <v>178</v>
      </c>
      <c r="AG4" s="7" t="s">
        <v>179</v>
      </c>
      <c r="AH4" s="7" t="s">
        <v>180</v>
      </c>
      <c r="AI4" s="7" t="s">
        <v>181</v>
      </c>
      <c r="AJ4" s="5" t="s">
        <v>182</v>
      </c>
      <c r="AK4" s="5" t="s">
        <v>183</v>
      </c>
      <c r="AL4" s="5" t="s">
        <v>184</v>
      </c>
      <c r="AM4" s="236" t="s">
        <v>163</v>
      </c>
    </row>
    <row r="5" spans="2:39" s="6" customFormat="1" ht="54.75" x14ac:dyDescent="0.2">
      <c r="B5" s="8"/>
      <c r="C5" s="8"/>
      <c r="D5" s="5" t="s">
        <v>185</v>
      </c>
      <c r="E5" s="5" t="s">
        <v>186</v>
      </c>
      <c r="F5" s="5" t="s">
        <v>187</v>
      </c>
      <c r="G5" s="5" t="s">
        <v>188</v>
      </c>
      <c r="H5" s="237"/>
      <c r="I5" s="5" t="s">
        <v>189</v>
      </c>
      <c r="J5" s="5" t="s">
        <v>190</v>
      </c>
      <c r="K5" s="5" t="s">
        <v>191</v>
      </c>
      <c r="L5" s="5" t="s">
        <v>187</v>
      </c>
      <c r="M5" s="5" t="s">
        <v>192</v>
      </c>
      <c r="N5" s="5" t="s">
        <v>193</v>
      </c>
      <c r="O5" s="5" t="s">
        <v>194</v>
      </c>
      <c r="P5" s="5" t="s">
        <v>195</v>
      </c>
      <c r="Q5" s="5" t="s">
        <v>196</v>
      </c>
      <c r="R5" s="5" t="s">
        <v>197</v>
      </c>
      <c r="S5" s="9" t="s">
        <v>198</v>
      </c>
      <c r="T5" s="9" t="s">
        <v>199</v>
      </c>
      <c r="V5" s="10">
        <v>8.3299999999999999E-2</v>
      </c>
      <c r="W5" s="10">
        <v>8.3299999999999999E-2</v>
      </c>
      <c r="X5" s="10">
        <v>0.12</v>
      </c>
      <c r="Y5" s="10">
        <v>4.1700000000000001E-2</v>
      </c>
      <c r="Z5" s="237"/>
      <c r="AA5" s="7" t="s">
        <v>200</v>
      </c>
      <c r="AC5" s="11" t="s">
        <v>201</v>
      </c>
      <c r="AD5" s="12">
        <v>8.5000000000000006E-2</v>
      </c>
      <c r="AE5" s="13">
        <v>0.04</v>
      </c>
      <c r="AF5" s="13">
        <v>0.12</v>
      </c>
      <c r="AG5" s="13">
        <v>0.04</v>
      </c>
      <c r="AH5" s="13">
        <v>0.01</v>
      </c>
      <c r="AI5" s="13">
        <v>0.04</v>
      </c>
      <c r="AJ5" s="12" t="s">
        <v>202</v>
      </c>
      <c r="AK5" s="13">
        <v>0.03</v>
      </c>
      <c r="AL5" s="13">
        <v>0.02</v>
      </c>
      <c r="AM5" s="237"/>
    </row>
    <row r="6" spans="2:39" s="20" customFormat="1" ht="11.25" x14ac:dyDescent="0.2">
      <c r="B6" s="14" t="s">
        <v>254</v>
      </c>
      <c r="C6" s="15" t="s">
        <v>255</v>
      </c>
      <c r="D6" s="16">
        <v>1500000</v>
      </c>
      <c r="E6" s="15">
        <v>30</v>
      </c>
      <c r="F6" s="16">
        <f>+D6/30*E6</f>
        <v>1500000</v>
      </c>
      <c r="G6" s="16"/>
      <c r="H6" s="17"/>
      <c r="I6" s="17">
        <v>0</v>
      </c>
      <c r="J6" s="17"/>
      <c r="K6" s="17"/>
      <c r="L6" s="16">
        <f>SUM(F6:K6)</f>
        <v>1500000</v>
      </c>
      <c r="M6" s="16">
        <f>L6*4/100</f>
        <v>60000</v>
      </c>
      <c r="N6" s="16">
        <f>L6*4/100</f>
        <v>60000</v>
      </c>
      <c r="O6" s="16"/>
      <c r="P6" s="16">
        <f>L6*1/100</f>
        <v>15000</v>
      </c>
      <c r="Q6" s="16">
        <v>0</v>
      </c>
      <c r="R6" s="16">
        <v>0</v>
      </c>
      <c r="S6" s="16">
        <f>SUM(M6:R6)</f>
        <v>135000</v>
      </c>
      <c r="T6" s="16">
        <f>+L6-S6</f>
        <v>1365000</v>
      </c>
      <c r="U6" s="18"/>
      <c r="V6" s="16">
        <f>F6*$V$5</f>
        <v>124950</v>
      </c>
      <c r="W6" s="16">
        <f>F6*$W$5</f>
        <v>124950</v>
      </c>
      <c r="X6" s="16">
        <f>+D6*1%</f>
        <v>15000</v>
      </c>
      <c r="Y6" s="16">
        <f>D6*$Y$5</f>
        <v>62550</v>
      </c>
      <c r="Z6" s="16">
        <f>SUM(V6:Y6)</f>
        <v>327450</v>
      </c>
      <c r="AA6" s="19">
        <f>IF($AA$5="Enero",$Z$6*1,(IF($AA$5="Febrero",$Z$6*2,(IF($AA$5="Marzo",$Z$6*3,(IF($AA$5="Abril",$Z$6*4,(IF($AA$5="Mayo",$Z$6*5,(IF($AA$5="Junio",$Z$6*6,(IF($AA$5="Julio",$Z$6*7,(IF($AA$5="Agosto",$Z$6*8,(IF($AA$5="Septiembre",$Z$6*9,(IF($AA$5="Octubre",$Z$6*10,(IF($AA$5="Noviembre",$Z$6*11,(IF($AA$5="Diciembre",$Z$6*12)))))))))))))))))))))))</f>
        <v>327450</v>
      </c>
      <c r="AC6" s="21">
        <v>5.2199999999999998E-3</v>
      </c>
      <c r="AD6" s="16">
        <f>F6*$AD$5</f>
        <v>127500.00000000001</v>
      </c>
      <c r="AE6" s="16">
        <f>F6*$AE$5</f>
        <v>60000</v>
      </c>
      <c r="AF6" s="16">
        <f>F6*$AF$5</f>
        <v>180000</v>
      </c>
      <c r="AG6" s="16">
        <f>F6*$AG$5</f>
        <v>60000</v>
      </c>
      <c r="AH6" s="16">
        <f>F6*$AH$5</f>
        <v>15000</v>
      </c>
      <c r="AI6" s="16">
        <f>F6*$AI$5</f>
        <v>60000</v>
      </c>
      <c r="AJ6" s="16">
        <f>F6*$AC$6</f>
        <v>7830</v>
      </c>
      <c r="AK6" s="16">
        <f>F6*$AK$5</f>
        <v>45000</v>
      </c>
      <c r="AL6" s="16">
        <f>F6*$AL$5</f>
        <v>30000</v>
      </c>
      <c r="AM6" s="16">
        <f>SUM(AD6:AL6)</f>
        <v>585330</v>
      </c>
    </row>
    <row r="7" spans="2:39" s="20" customFormat="1" ht="11.25" x14ac:dyDescent="0.2">
      <c r="B7" s="14" t="s">
        <v>254</v>
      </c>
      <c r="C7" s="15" t="s">
        <v>256</v>
      </c>
      <c r="D7" s="16">
        <v>1500000</v>
      </c>
      <c r="E7" s="15">
        <v>30</v>
      </c>
      <c r="F7" s="16">
        <f t="shared" ref="F7:F9" si="0">+D7/30*E7</f>
        <v>1500000</v>
      </c>
      <c r="G7" s="16"/>
      <c r="H7" s="23"/>
      <c r="I7" s="23">
        <v>0</v>
      </c>
      <c r="J7" s="23"/>
      <c r="K7" s="23">
        <v>0</v>
      </c>
      <c r="L7" s="22">
        <f t="shared" ref="L7:L9" si="1">SUM(F7:K7)</f>
        <v>1500000</v>
      </c>
      <c r="M7" s="16">
        <f t="shared" ref="M7:M8" si="2">L7*4/100</f>
        <v>60000</v>
      </c>
      <c r="N7" s="16">
        <f t="shared" ref="N7:N8" si="3">L7*4/100</f>
        <v>60000</v>
      </c>
      <c r="O7" s="16"/>
      <c r="P7" s="16"/>
      <c r="Q7" s="16">
        <v>0</v>
      </c>
      <c r="R7" s="16">
        <v>0</v>
      </c>
      <c r="S7" s="16">
        <f t="shared" ref="S7:S9" si="4">SUM(M7:R7)</f>
        <v>120000</v>
      </c>
      <c r="T7" s="16">
        <f t="shared" ref="T7:T10" si="5">+L7-S7</f>
        <v>1380000</v>
      </c>
      <c r="U7" s="18"/>
      <c r="V7" s="16">
        <f t="shared" ref="V7:V8" si="6">F7*$V$5</f>
        <v>124950</v>
      </c>
      <c r="W7" s="16">
        <f t="shared" ref="W7:W8" si="7">F7*$W$5</f>
        <v>124950</v>
      </c>
      <c r="X7" s="16">
        <f t="shared" ref="X7:X8" si="8">+D7*1%</f>
        <v>15000</v>
      </c>
      <c r="Y7" s="16">
        <f t="shared" ref="Y7:Y8" si="9">D7*$Y$5</f>
        <v>62550</v>
      </c>
      <c r="Z7" s="16">
        <f>SUM(V7:Y7)</f>
        <v>327450</v>
      </c>
      <c r="AA7" s="19">
        <f>IF($AA$5="Enero",$Z$7*1,(IF($AA$5="Febrero",$Z$7*2,(IF($AA$5="Marzo",$Z$7*3,(IF($AA$5="Abril",$Z$7*4,(IF($AA$5="Mayo",$Z$7*5,(IF($AA$5="Junio",$Z$7*6,(IF($AA$5="Julio",$Z$7*7,(IF($AA$5="Agosto",$Z$7*8,(IF($AA$5="Septiembre",$Z$7*9,(IF($AA$5="Octubre",$Z$7*10,(IF($AA$5="Noviembre",$Z$7*11,(IF($AA$5="Diciembre",$Z$7*12)))))))))))))))))))))))</f>
        <v>327450</v>
      </c>
      <c r="AC7" s="21">
        <v>5.2199999999999998E-3</v>
      </c>
      <c r="AD7" s="16">
        <f>F7*$AD$5</f>
        <v>127500.00000000001</v>
      </c>
      <c r="AE7" s="16">
        <f>F7*$AE$5</f>
        <v>60000</v>
      </c>
      <c r="AF7" s="16">
        <f>F7*$AF$5</f>
        <v>180000</v>
      </c>
      <c r="AG7" s="16">
        <f>F7*$AG$5</f>
        <v>60000</v>
      </c>
      <c r="AH7" s="16">
        <f>F7*$AH$5</f>
        <v>15000</v>
      </c>
      <c r="AI7" s="16">
        <f>F7*$AI$5</f>
        <v>60000</v>
      </c>
      <c r="AJ7" s="16">
        <f>F7*$AC$7</f>
        <v>7830</v>
      </c>
      <c r="AK7" s="16">
        <f t="shared" ref="AK7:AK8" si="10">F7*$AK$5</f>
        <v>45000</v>
      </c>
      <c r="AL7" s="16">
        <f t="shared" ref="AL7:AL8" si="11">F7*$AL$5</f>
        <v>30000</v>
      </c>
      <c r="AM7" s="16">
        <f>SUM(AD7:AL7)</f>
        <v>585330</v>
      </c>
    </row>
    <row r="8" spans="2:39" s="20" customFormat="1" ht="11.25" x14ac:dyDescent="0.2">
      <c r="B8" s="14" t="s">
        <v>254</v>
      </c>
      <c r="C8" s="15" t="s">
        <v>257</v>
      </c>
      <c r="D8" s="16">
        <v>1500000</v>
      </c>
      <c r="E8" s="15">
        <v>30</v>
      </c>
      <c r="F8" s="16">
        <f t="shared" si="0"/>
        <v>1500000</v>
      </c>
      <c r="G8" s="16"/>
      <c r="H8" s="23"/>
      <c r="I8" s="23">
        <v>0</v>
      </c>
      <c r="J8" s="23"/>
      <c r="K8" s="23">
        <v>0</v>
      </c>
      <c r="L8" s="22">
        <f t="shared" si="1"/>
        <v>1500000</v>
      </c>
      <c r="M8" s="16">
        <f t="shared" si="2"/>
        <v>60000</v>
      </c>
      <c r="N8" s="16">
        <f t="shared" si="3"/>
        <v>60000</v>
      </c>
      <c r="O8" s="16"/>
      <c r="P8" s="16"/>
      <c r="Q8" s="16">
        <v>0</v>
      </c>
      <c r="R8" s="16">
        <v>0</v>
      </c>
      <c r="S8" s="16">
        <f t="shared" si="4"/>
        <v>120000</v>
      </c>
      <c r="T8" s="16">
        <f t="shared" si="5"/>
        <v>1380000</v>
      </c>
      <c r="U8" s="18"/>
      <c r="V8" s="16">
        <f t="shared" si="6"/>
        <v>124950</v>
      </c>
      <c r="W8" s="16">
        <f t="shared" si="7"/>
        <v>124950</v>
      </c>
      <c r="X8" s="16">
        <f t="shared" si="8"/>
        <v>15000</v>
      </c>
      <c r="Y8" s="16">
        <f t="shared" si="9"/>
        <v>62550</v>
      </c>
      <c r="Z8" s="16">
        <f t="shared" ref="Z8" si="12">SUM(V8:Y8)</f>
        <v>327450</v>
      </c>
      <c r="AA8" s="19">
        <f>IF($AA$5="Enero",$Z$8*1,(IF($AA$5="Febrero",$Z$8*2,(IF($AA$5="Marzo",$Z$8*3,(IF($AA$5="Abril",$Z$8*4,(IF($AA$5="Mayo",$Z$8*5,(IF($AA$5="Junio",$Z$8*6,(IF($AA$5="Julio",$Z$8*7,(IF($AA$5="Agosto",$Z$8*8,(IF($AA$5="Septiembre",$Z$8*9,(IF($AA$5="Octubre",$Z$8*10,(IF($AA$5="Noviembre",$Z$8*11,(IF($AA$5="Diciembre",$Z$8*12)))))))))))))))))))))))</f>
        <v>327450</v>
      </c>
      <c r="AC8" s="21">
        <v>5.2199999999999998E-3</v>
      </c>
      <c r="AD8" s="16">
        <f>F8*$AD$5</f>
        <v>127500.00000000001</v>
      </c>
      <c r="AE8" s="16">
        <f>F8*$AE$5</f>
        <v>60000</v>
      </c>
      <c r="AF8" s="16">
        <f>F8*$AF$5</f>
        <v>180000</v>
      </c>
      <c r="AG8" s="16">
        <f>F8*$AG$5</f>
        <v>60000</v>
      </c>
      <c r="AH8" s="16">
        <f>F8*$AH$5</f>
        <v>15000</v>
      </c>
      <c r="AI8" s="16">
        <f>F8*$AI$5</f>
        <v>60000</v>
      </c>
      <c r="AJ8" s="16">
        <f>F8*$AC$8</f>
        <v>7830</v>
      </c>
      <c r="AK8" s="16">
        <f t="shared" si="10"/>
        <v>45000</v>
      </c>
      <c r="AL8" s="16">
        <f t="shared" si="11"/>
        <v>30000</v>
      </c>
      <c r="AM8" s="16">
        <f>SUM(AD8:AL8)</f>
        <v>585330</v>
      </c>
    </row>
    <row r="9" spans="2:39" s="20" customFormat="1" ht="11.25" x14ac:dyDescent="0.2">
      <c r="B9" s="14" t="s">
        <v>141</v>
      </c>
      <c r="C9" s="15" t="s">
        <v>258</v>
      </c>
      <c r="D9" s="16">
        <v>1000000</v>
      </c>
      <c r="E9" s="15">
        <v>30</v>
      </c>
      <c r="F9" s="16">
        <f t="shared" si="0"/>
        <v>1000000.0000000001</v>
      </c>
      <c r="G9" s="16"/>
      <c r="H9" s="23"/>
      <c r="I9" s="23">
        <v>0</v>
      </c>
      <c r="J9" s="23"/>
      <c r="K9" s="23">
        <v>0</v>
      </c>
      <c r="L9" s="22">
        <f t="shared" si="1"/>
        <v>1000000.0000000001</v>
      </c>
      <c r="M9" s="16"/>
      <c r="N9" s="16"/>
      <c r="O9" s="16"/>
      <c r="P9" s="16"/>
      <c r="Q9" s="16">
        <v>0</v>
      </c>
      <c r="R9" s="16">
        <v>0</v>
      </c>
      <c r="S9" s="16">
        <f t="shared" si="4"/>
        <v>0</v>
      </c>
      <c r="T9" s="16">
        <f t="shared" si="5"/>
        <v>1000000.0000000001</v>
      </c>
      <c r="U9" s="18"/>
      <c r="V9" s="16"/>
      <c r="W9" s="16"/>
      <c r="X9" s="16"/>
      <c r="Y9" s="16"/>
      <c r="Z9" s="16"/>
      <c r="AA9" s="19">
        <f>IF($AA$5="Enero",$Z$9*1,(IF($AA$5="Febrero",$Z$9*2,(IF($AA$5="Marzo",$Z$9*3,(IF($AA$5="Abril",$Z$9*4,(IF($AA$5="Mayo",$Z$9*5,(IF($AA$5="Junio",$Z$9*6,(IF($AA$5="Julio",$Z$9*7,(IF($AA$5="Agosto",$Z$9*8,(IF($AA$5="Septiembre",$Z$9*9,(IF($AA$5="Octubre",$Z$9*10,(IF($AA$5="Noviembre",$Z$9*11,(IF($AA$5="Diciembre",$Z$9*12)))))))))))))))))))))))</f>
        <v>0</v>
      </c>
      <c r="AC9" s="21">
        <v>5.2199999999999998E-3</v>
      </c>
      <c r="AD9" s="16"/>
      <c r="AE9" s="16"/>
      <c r="AF9" s="16"/>
      <c r="AG9" s="16"/>
      <c r="AH9" s="16"/>
      <c r="AI9" s="16"/>
      <c r="AJ9" s="16"/>
      <c r="AK9" s="16"/>
      <c r="AL9" s="16"/>
      <c r="AM9" s="16">
        <f>SUM(AD9:AL9)</f>
        <v>0</v>
      </c>
    </row>
    <row r="10" spans="2:39" s="20" customFormat="1" ht="11.25" x14ac:dyDescent="0.2">
      <c r="B10" s="14" t="s">
        <v>104</v>
      </c>
      <c r="C10" s="15" t="s">
        <v>258</v>
      </c>
      <c r="D10" s="16">
        <v>1000000</v>
      </c>
      <c r="E10" s="15">
        <v>30</v>
      </c>
      <c r="F10" s="16">
        <f>+D10/30*E10</f>
        <v>1000000.0000000001</v>
      </c>
      <c r="G10" s="16"/>
      <c r="H10" s="23"/>
      <c r="I10" s="23">
        <v>0</v>
      </c>
      <c r="J10" s="23"/>
      <c r="K10" s="23">
        <v>0</v>
      </c>
      <c r="L10" s="22">
        <f t="shared" ref="L10" si="13">SUM(F10:K10)</f>
        <v>1000000.0000000001</v>
      </c>
      <c r="M10" s="16"/>
      <c r="N10" s="16"/>
      <c r="O10" s="16"/>
      <c r="P10" s="16"/>
      <c r="Q10" s="16">
        <v>0</v>
      </c>
      <c r="R10" s="16">
        <v>0</v>
      </c>
      <c r="S10" s="16">
        <f>SUM(M10:R10)</f>
        <v>0</v>
      </c>
      <c r="T10" s="16">
        <f t="shared" si="5"/>
        <v>1000000.0000000001</v>
      </c>
      <c r="U10" s="18"/>
      <c r="V10" s="16"/>
      <c r="W10" s="16"/>
      <c r="X10" s="16"/>
      <c r="Y10" s="16"/>
      <c r="Z10" s="16"/>
      <c r="AA10" s="19">
        <f>IF($AA$5="Enero",$Z$9*1,(IF($AA$5="Febrero",$Z$9*2,(IF($AA$5="Marzo",$Z$9*3,(IF($AA$5="Abril",$Z$9*4,(IF($AA$5="Mayo",$Z$9*5,(IF($AA$5="Junio",$Z$9*6,(IF($AA$5="Julio",$Z$9*7,(IF($AA$5="Agosto",$Z$9*8,(IF($AA$5="Septiembre",$Z$9*9,(IF($AA$5="Octubre",$Z$9*10,(IF($AA$5="Noviembre",$Z$9*11,(IF($AA$5="Diciembre",$Z$9*12)))))))))))))))))))))))</f>
        <v>0</v>
      </c>
      <c r="AC10" s="21">
        <v>5.2199999999999998E-3</v>
      </c>
      <c r="AD10" s="16"/>
      <c r="AE10" s="16"/>
      <c r="AF10" s="16"/>
      <c r="AG10" s="16"/>
      <c r="AH10" s="16"/>
      <c r="AI10" s="16"/>
      <c r="AJ10" s="16"/>
      <c r="AK10" s="16"/>
      <c r="AL10" s="16"/>
      <c r="AM10" s="16">
        <f>SUM(AD10:AL10)</f>
        <v>0</v>
      </c>
    </row>
    <row r="11" spans="2:39" s="20" customFormat="1" x14ac:dyDescent="0.2">
      <c r="B11" s="24"/>
      <c r="C11" s="25" t="s">
        <v>210</v>
      </c>
      <c r="D11" s="26">
        <f>SUM(D6:D10)</f>
        <v>6500000</v>
      </c>
      <c r="E11" s="26">
        <f>SUM(E6:E10)</f>
        <v>150</v>
      </c>
      <c r="F11" s="26">
        <f>SUM(F6:F10)</f>
        <v>6500000</v>
      </c>
      <c r="G11" s="26"/>
      <c r="H11" s="27">
        <f t="shared" ref="H11:T11" si="14">SUM(H6:H10)</f>
        <v>0</v>
      </c>
      <c r="I11" s="27">
        <f t="shared" si="14"/>
        <v>0</v>
      </c>
      <c r="J11" s="26">
        <f t="shared" si="14"/>
        <v>0</v>
      </c>
      <c r="K11" s="27">
        <f t="shared" si="14"/>
        <v>0</v>
      </c>
      <c r="L11" s="26">
        <f t="shared" si="14"/>
        <v>6500000</v>
      </c>
      <c r="M11" s="26">
        <f t="shared" si="14"/>
        <v>180000</v>
      </c>
      <c r="N11" s="26">
        <f t="shared" si="14"/>
        <v>180000</v>
      </c>
      <c r="O11" s="26">
        <f t="shared" si="14"/>
        <v>0</v>
      </c>
      <c r="P11" s="26">
        <f t="shared" si="14"/>
        <v>15000</v>
      </c>
      <c r="Q11" s="26">
        <f t="shared" si="14"/>
        <v>0</v>
      </c>
      <c r="R11" s="26">
        <f t="shared" si="14"/>
        <v>0</v>
      </c>
      <c r="S11" s="26">
        <f t="shared" si="14"/>
        <v>375000</v>
      </c>
      <c r="T11" s="26">
        <f t="shared" si="14"/>
        <v>6125000</v>
      </c>
      <c r="U11" s="18"/>
      <c r="V11" s="26">
        <f t="shared" ref="V11:AA11" si="15">SUM(V6:V10)</f>
        <v>374850</v>
      </c>
      <c r="W11" s="26">
        <f t="shared" si="15"/>
        <v>374850</v>
      </c>
      <c r="X11" s="26">
        <f t="shared" si="15"/>
        <v>45000</v>
      </c>
      <c r="Y11" s="26">
        <f t="shared" si="15"/>
        <v>187650</v>
      </c>
      <c r="Z11" s="26">
        <f t="shared" si="15"/>
        <v>982350</v>
      </c>
      <c r="AA11" s="26">
        <f t="shared" si="15"/>
        <v>982350</v>
      </c>
      <c r="AB11" s="28"/>
      <c r="AC11" s="26"/>
      <c r="AD11" s="26">
        <f t="shared" ref="AD11:AL11" si="16">SUM(AD6:AD10)</f>
        <v>382500.00000000006</v>
      </c>
      <c r="AE11" s="26">
        <f t="shared" si="16"/>
        <v>180000</v>
      </c>
      <c r="AF11" s="26">
        <f t="shared" si="16"/>
        <v>540000</v>
      </c>
      <c r="AG11" s="26">
        <f t="shared" si="16"/>
        <v>180000</v>
      </c>
      <c r="AH11" s="26">
        <f t="shared" si="16"/>
        <v>45000</v>
      </c>
      <c r="AI11" s="26">
        <f t="shared" si="16"/>
        <v>180000</v>
      </c>
      <c r="AJ11" s="26">
        <f t="shared" si="16"/>
        <v>23490</v>
      </c>
      <c r="AK11" s="26">
        <f t="shared" si="16"/>
        <v>135000</v>
      </c>
      <c r="AL11" s="26">
        <f t="shared" si="16"/>
        <v>90000</v>
      </c>
      <c r="AM11" s="26">
        <f>SUM(AM6:AM10)</f>
        <v>1755990</v>
      </c>
    </row>
    <row r="12" spans="2:39" s="20" customFormat="1" x14ac:dyDescent="0.2">
      <c r="B12" s="24"/>
      <c r="C12" s="29"/>
      <c r="D12" s="6"/>
      <c r="E12" s="28"/>
      <c r="F12" s="28"/>
      <c r="G12" s="30"/>
      <c r="H12" s="28"/>
      <c r="I12" s="31"/>
      <c r="J12" s="32"/>
      <c r="K12" s="28"/>
      <c r="L12" s="31"/>
      <c r="M12" s="28"/>
      <c r="N12" s="28"/>
      <c r="O12" s="28"/>
      <c r="P12" s="28"/>
      <c r="Q12" s="33"/>
      <c r="R12" s="28"/>
      <c r="S12" s="28"/>
      <c r="T12" s="28"/>
      <c r="U12" s="18"/>
      <c r="AE12" s="34"/>
      <c r="AF12" s="34"/>
      <c r="AG12" s="34"/>
      <c r="AM12" s="34">
        <f>AM11-AE11-AG11</f>
        <v>1395990</v>
      </c>
    </row>
    <row r="13" spans="2:39" s="20" customFormat="1" x14ac:dyDescent="0.2">
      <c r="B13" s="24"/>
      <c r="C13" s="28"/>
      <c r="D13" s="28"/>
      <c r="E13" s="35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1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36" t="s">
        <v>211</v>
      </c>
      <c r="AJ13" s="28"/>
      <c r="AK13" s="28"/>
      <c r="AL13" s="28"/>
      <c r="AM13" s="28"/>
    </row>
    <row r="14" spans="2:39" s="20" customFormat="1" ht="66" customHeight="1" x14ac:dyDescent="0.2">
      <c r="B14" s="37"/>
      <c r="F14" s="28"/>
      <c r="G14" s="28"/>
      <c r="H14" s="28"/>
      <c r="I14" s="28"/>
      <c r="J14" s="28"/>
      <c r="K14" s="28"/>
      <c r="M14" s="231" t="s">
        <v>212</v>
      </c>
      <c r="N14" s="231"/>
      <c r="O14" s="231"/>
      <c r="P14" s="231"/>
      <c r="R14" s="231" t="s">
        <v>213</v>
      </c>
      <c r="S14" s="231"/>
      <c r="T14" s="28"/>
      <c r="U14" s="231" t="s">
        <v>214</v>
      </c>
      <c r="V14" s="231"/>
      <c r="W14" s="231"/>
      <c r="X14" s="38"/>
      <c r="AI14" s="39">
        <v>5.2199999999999998E-3</v>
      </c>
      <c r="AK14" s="28"/>
      <c r="AL14" s="28"/>
    </row>
    <row r="15" spans="2:39" s="20" customFormat="1" ht="63.75" x14ac:dyDescent="0.2">
      <c r="B15" s="37"/>
      <c r="F15" s="28"/>
      <c r="G15" s="28"/>
      <c r="H15" s="28"/>
      <c r="I15" s="28"/>
      <c r="J15" s="28"/>
      <c r="K15" s="28"/>
      <c r="M15" s="40" t="s">
        <v>215</v>
      </c>
      <c r="N15" s="41" t="s">
        <v>216</v>
      </c>
      <c r="O15" s="41" t="s">
        <v>217</v>
      </c>
      <c r="P15" s="41" t="s">
        <v>218</v>
      </c>
      <c r="Q15" s="28"/>
      <c r="R15" s="42" t="s">
        <v>215</v>
      </c>
      <c r="S15" s="41" t="s">
        <v>219</v>
      </c>
      <c r="T15" s="28"/>
      <c r="U15" s="232" t="s">
        <v>215</v>
      </c>
      <c r="V15" s="232"/>
      <c r="W15" s="41" t="s">
        <v>220</v>
      </c>
      <c r="AA15" s="43" t="s">
        <v>200</v>
      </c>
      <c r="AD15" s="233"/>
      <c r="AE15" s="233"/>
      <c r="AF15" s="233"/>
      <c r="AG15" s="233"/>
      <c r="AH15" s="233"/>
      <c r="AI15" s="44">
        <v>1.044E-2</v>
      </c>
      <c r="AK15" s="28"/>
      <c r="AL15" s="28"/>
    </row>
    <row r="16" spans="2:39" s="20" customFormat="1" ht="90" x14ac:dyDescent="0.2">
      <c r="B16" s="24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45" t="s">
        <v>221</v>
      </c>
      <c r="N16" s="46">
        <v>8.3333000000000004E-2</v>
      </c>
      <c r="O16" s="45" t="s">
        <v>222</v>
      </c>
      <c r="P16" s="45" t="s">
        <v>223</v>
      </c>
      <c r="R16" s="47" t="s">
        <v>224</v>
      </c>
      <c r="S16" s="46" t="s">
        <v>225</v>
      </c>
      <c r="U16" s="230" t="s">
        <v>184</v>
      </c>
      <c r="V16" s="230"/>
      <c r="W16" s="48">
        <v>0.02</v>
      </c>
      <c r="X16" s="28"/>
      <c r="Y16" s="28"/>
      <c r="Z16" s="28"/>
      <c r="AA16" s="49" t="s">
        <v>226</v>
      </c>
      <c r="AB16" s="28"/>
      <c r="AC16" s="28"/>
      <c r="AD16" s="28"/>
      <c r="AE16" s="28"/>
      <c r="AF16" s="28"/>
      <c r="AG16" s="28"/>
      <c r="AH16" s="28"/>
      <c r="AI16" s="44">
        <v>2.436E-2</v>
      </c>
      <c r="AJ16" s="28"/>
      <c r="AK16" s="28"/>
      <c r="AL16" s="28"/>
      <c r="AM16" s="28"/>
    </row>
    <row r="17" spans="2:39" s="20" customFormat="1" ht="123.75" x14ac:dyDescent="0.2">
      <c r="B17" s="24"/>
      <c r="C17" s="28"/>
      <c r="D17" s="28"/>
      <c r="E17" s="28"/>
      <c r="L17" s="28"/>
      <c r="M17" s="45" t="s">
        <v>227</v>
      </c>
      <c r="N17" s="46">
        <v>0.12</v>
      </c>
      <c r="O17" s="45" t="s">
        <v>228</v>
      </c>
      <c r="P17" s="45" t="s">
        <v>229</v>
      </c>
      <c r="R17" s="47" t="s">
        <v>230</v>
      </c>
      <c r="S17" s="46" t="s">
        <v>231</v>
      </c>
      <c r="U17" s="230" t="s">
        <v>183</v>
      </c>
      <c r="V17" s="230"/>
      <c r="W17" s="48">
        <v>0.03</v>
      </c>
      <c r="X17" s="28"/>
      <c r="Y17" s="28"/>
      <c r="Z17" s="28"/>
      <c r="AA17" s="49" t="s">
        <v>232</v>
      </c>
      <c r="AB17" s="28"/>
      <c r="AC17" s="28"/>
      <c r="AD17" s="28"/>
      <c r="AE17" s="28"/>
      <c r="AF17" s="28"/>
      <c r="AG17" s="28"/>
      <c r="AH17" s="28"/>
      <c r="AI17" s="44">
        <v>4.3499999999999997E-2</v>
      </c>
      <c r="AJ17" s="28"/>
      <c r="AK17" s="28"/>
      <c r="AL17" s="28"/>
      <c r="AM17" s="28"/>
    </row>
    <row r="18" spans="2:39" s="20" customFormat="1" ht="157.5" x14ac:dyDescent="0.2">
      <c r="B18" s="24"/>
      <c r="C18" s="28"/>
      <c r="D18" s="28"/>
      <c r="E18" s="28"/>
      <c r="L18" s="28"/>
      <c r="M18" s="45" t="s">
        <v>233</v>
      </c>
      <c r="N18" s="46">
        <v>8.3333000000000004E-2</v>
      </c>
      <c r="O18" s="45" t="s">
        <v>234</v>
      </c>
      <c r="P18" s="45" t="s">
        <v>235</v>
      </c>
      <c r="R18" s="47" t="s">
        <v>236</v>
      </c>
      <c r="S18" s="46" t="s">
        <v>237</v>
      </c>
      <c r="U18" s="230" t="s">
        <v>238</v>
      </c>
      <c r="V18" s="230"/>
      <c r="W18" s="48">
        <v>0.04</v>
      </c>
      <c r="X18" s="28"/>
      <c r="Y18" s="28"/>
      <c r="Z18" s="28"/>
      <c r="AA18" s="49" t="s">
        <v>239</v>
      </c>
      <c r="AB18" s="28"/>
      <c r="AC18" s="28"/>
      <c r="AD18" s="28"/>
      <c r="AE18" s="28"/>
      <c r="AF18" s="28"/>
      <c r="AG18" s="28"/>
      <c r="AH18" s="28"/>
      <c r="AI18" s="44">
        <v>6.9599999999999995E-2</v>
      </c>
      <c r="AJ18" s="28"/>
      <c r="AK18" s="28"/>
      <c r="AL18" s="28"/>
      <c r="AM18" s="28"/>
    </row>
    <row r="19" spans="2:39" s="20" customFormat="1" ht="67.5" x14ac:dyDescent="0.2">
      <c r="B19" s="24"/>
      <c r="C19" s="28"/>
      <c r="D19" s="28"/>
      <c r="E19" s="28"/>
      <c r="L19" s="28"/>
      <c r="M19" s="45" t="s">
        <v>240</v>
      </c>
      <c r="N19" s="46"/>
      <c r="O19" s="45" t="s">
        <v>241</v>
      </c>
      <c r="P19" s="45" t="s">
        <v>242</v>
      </c>
      <c r="X19" s="28"/>
      <c r="Y19" s="28"/>
      <c r="Z19" s="28"/>
      <c r="AA19" s="49" t="s">
        <v>243</v>
      </c>
      <c r="AB19" s="28"/>
      <c r="AC19" s="28"/>
      <c r="AD19" s="28"/>
      <c r="AE19" s="28"/>
      <c r="AF19" s="28"/>
      <c r="AG19" s="28"/>
      <c r="AH19" s="28"/>
      <c r="AI19" s="49"/>
      <c r="AJ19" s="28"/>
      <c r="AK19" s="28"/>
      <c r="AL19" s="28"/>
      <c r="AM19" s="28"/>
    </row>
    <row r="20" spans="2:39" s="20" customFormat="1" ht="67.5" x14ac:dyDescent="0.2">
      <c r="B20" s="24"/>
      <c r="C20" s="28"/>
      <c r="D20" s="28"/>
      <c r="E20" s="28"/>
      <c r="L20" s="28"/>
      <c r="M20" s="45" t="s">
        <v>244</v>
      </c>
      <c r="N20" s="46">
        <v>4.1700000000000001E-2</v>
      </c>
      <c r="O20" s="45" t="s">
        <v>245</v>
      </c>
      <c r="P20" s="45" t="s">
        <v>246</v>
      </c>
      <c r="X20" s="28"/>
      <c r="Y20" s="28"/>
      <c r="Z20" s="28"/>
      <c r="AA20" s="49" t="s">
        <v>247</v>
      </c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</row>
    <row r="21" spans="2:39" s="20" customFormat="1" x14ac:dyDescent="0.2">
      <c r="B21" s="24"/>
      <c r="C21" s="28"/>
      <c r="D21" s="28"/>
      <c r="E21" s="28"/>
      <c r="L21" s="28"/>
      <c r="Q21" s="28"/>
      <c r="R21" s="28"/>
      <c r="S21" s="28"/>
      <c r="T21" s="28"/>
      <c r="U21" s="18"/>
      <c r="V21" s="28"/>
      <c r="W21" s="28"/>
      <c r="X21" s="28"/>
      <c r="Y21" s="28"/>
      <c r="Z21" s="28"/>
      <c r="AA21" s="49" t="s">
        <v>248</v>
      </c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</row>
    <row r="22" spans="2:39" s="20" customFormat="1" x14ac:dyDescent="0.2">
      <c r="B22" s="24"/>
      <c r="C22" s="28"/>
      <c r="D22" s="28"/>
      <c r="E22" s="28"/>
      <c r="L22" s="28"/>
      <c r="M22" s="28"/>
      <c r="N22" s="28"/>
      <c r="O22" s="28"/>
      <c r="P22" s="28"/>
      <c r="Q22" s="28"/>
      <c r="R22" s="28"/>
      <c r="S22" s="28"/>
      <c r="T22" s="28"/>
      <c r="U22" s="18"/>
      <c r="V22" s="28"/>
      <c r="W22" s="28"/>
      <c r="X22" s="28"/>
      <c r="Y22" s="28"/>
      <c r="Z22" s="28"/>
      <c r="AA22" s="49" t="s">
        <v>249</v>
      </c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</row>
    <row r="23" spans="2:39" s="20" customFormat="1" x14ac:dyDescent="0.2">
      <c r="B23" s="24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18"/>
      <c r="V23" s="28"/>
      <c r="W23" s="28"/>
      <c r="X23" s="28"/>
      <c r="Y23" s="28"/>
      <c r="Z23" s="28"/>
      <c r="AA23" s="49" t="s">
        <v>250</v>
      </c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</row>
    <row r="24" spans="2:39" s="20" customFormat="1" x14ac:dyDescent="0.2">
      <c r="B24" s="37"/>
      <c r="F24" s="28"/>
      <c r="G24" s="28"/>
      <c r="H24" s="28"/>
      <c r="I24" s="28"/>
      <c r="J24" s="28"/>
      <c r="K24" s="28"/>
      <c r="U24" s="18"/>
      <c r="AA24" s="49" t="s">
        <v>251</v>
      </c>
      <c r="AL24" s="28"/>
      <c r="AM24" s="28"/>
    </row>
    <row r="25" spans="2:39" s="20" customFormat="1" x14ac:dyDescent="0.2">
      <c r="B25" s="37"/>
      <c r="F25" s="28"/>
      <c r="G25" s="28"/>
      <c r="H25" s="28"/>
      <c r="I25" s="28"/>
      <c r="J25" s="28"/>
      <c r="K25" s="28"/>
      <c r="U25" s="18"/>
      <c r="AA25" s="49" t="s">
        <v>252</v>
      </c>
      <c r="AL25" s="28"/>
      <c r="AM25" s="28"/>
    </row>
    <row r="26" spans="2:39" s="20" customFormat="1" x14ac:dyDescent="0.2">
      <c r="B26" s="37"/>
      <c r="F26" s="28"/>
      <c r="G26" s="28"/>
      <c r="H26" s="28"/>
      <c r="I26" s="28"/>
      <c r="J26" s="28"/>
      <c r="K26" s="28"/>
      <c r="U26" s="18"/>
      <c r="AA26" s="49" t="s">
        <v>253</v>
      </c>
      <c r="AL26" s="28"/>
      <c r="AM26" s="28"/>
    </row>
    <row r="27" spans="2:39" x14ac:dyDescent="0.2">
      <c r="B27" s="37"/>
      <c r="C27" s="20"/>
      <c r="D27" s="20"/>
      <c r="E27" s="20"/>
      <c r="L27" s="20"/>
      <c r="M27" s="20"/>
      <c r="N27" s="20"/>
      <c r="O27" s="20"/>
      <c r="P27" s="20"/>
      <c r="Q27" s="20"/>
      <c r="R27" s="20"/>
      <c r="S27" s="20"/>
      <c r="T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</row>
    <row r="28" spans="2:39" ht="24.95" customHeight="1" x14ac:dyDescent="0.2">
      <c r="B28" s="37"/>
      <c r="C28" s="20"/>
      <c r="D28" s="20"/>
      <c r="E28" s="20"/>
      <c r="L28" s="20"/>
      <c r="M28" s="20"/>
      <c r="N28" s="20"/>
      <c r="O28" s="20"/>
      <c r="P28" s="20"/>
      <c r="Q28" s="20"/>
      <c r="R28" s="20"/>
      <c r="S28" s="20"/>
      <c r="T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</row>
    <row r="29" spans="2:39" ht="24" customHeight="1" x14ac:dyDescent="0.2">
      <c r="B29" s="37"/>
      <c r="C29" s="20"/>
      <c r="D29" s="20"/>
      <c r="E29" s="20"/>
      <c r="L29" s="20"/>
      <c r="M29" s="20"/>
      <c r="N29" s="20"/>
      <c r="O29" s="20"/>
      <c r="P29" s="20"/>
      <c r="Q29" s="20"/>
      <c r="R29" s="20"/>
      <c r="S29" s="20"/>
      <c r="T29" s="43"/>
      <c r="U29" s="49"/>
      <c r="V29" s="43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</row>
    <row r="30" spans="2:39" s="20" customFormat="1" ht="15" customHeight="1" x14ac:dyDescent="0.2">
      <c r="B30" s="24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49"/>
      <c r="U30" s="50" t="s">
        <v>214</v>
      </c>
      <c r="V30" s="49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</row>
    <row r="31" spans="2:39" s="20" customFormat="1" ht="33.75" customHeight="1" x14ac:dyDescent="0.2">
      <c r="B31" s="24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49"/>
      <c r="U31" s="51" t="s">
        <v>215</v>
      </c>
      <c r="V31" s="49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</row>
    <row r="32" spans="2:39" ht="12.75" customHeight="1" x14ac:dyDescent="0.2">
      <c r="T32" s="49"/>
      <c r="U32" s="36" t="s">
        <v>184</v>
      </c>
      <c r="V32" s="49"/>
    </row>
    <row r="33" spans="2:39" ht="12.75" customHeight="1" x14ac:dyDescent="0.2">
      <c r="T33" s="49"/>
      <c r="U33" s="36" t="s">
        <v>183</v>
      </c>
      <c r="V33" s="49"/>
    </row>
    <row r="34" spans="2:39" ht="12.75" customHeight="1" x14ac:dyDescent="0.2">
      <c r="T34" s="49"/>
      <c r="U34" s="36" t="s">
        <v>238</v>
      </c>
      <c r="V34" s="49"/>
    </row>
    <row r="35" spans="2:39" x14ac:dyDescent="0.2">
      <c r="T35" s="49"/>
      <c r="U35" s="43"/>
      <c r="V35" s="49"/>
    </row>
    <row r="36" spans="2:39" x14ac:dyDescent="0.2">
      <c r="T36" s="49"/>
      <c r="U36" s="43"/>
      <c r="V36" s="49"/>
    </row>
    <row r="37" spans="2:39" x14ac:dyDescent="0.2">
      <c r="T37" s="49"/>
      <c r="U37" s="49"/>
      <c r="V37" s="49"/>
    </row>
    <row r="40" spans="2:39" s="20" customFormat="1" x14ac:dyDescent="0.2">
      <c r="B40" s="24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</row>
    <row r="41" spans="2:39" s="20" customFormat="1" x14ac:dyDescent="0.2">
      <c r="B41" s="24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</row>
    <row r="42" spans="2:39" s="20" customFormat="1" x14ac:dyDescent="0.2">
      <c r="B42" s="24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</row>
    <row r="43" spans="2:39" s="20" customFormat="1" x14ac:dyDescent="0.2">
      <c r="B43" s="24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</row>
    <row r="44" spans="2:39" s="20" customFormat="1" x14ac:dyDescent="0.2">
      <c r="B44" s="24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</row>
    <row r="45" spans="2:39" s="20" customFormat="1" x14ac:dyDescent="0.2">
      <c r="B45" s="24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</row>
    <row r="53" ht="12.75" customHeight="1" x14ac:dyDescent="0.2"/>
  </sheetData>
  <mergeCells count="15">
    <mergeCell ref="U17:V17"/>
    <mergeCell ref="U18:V18"/>
    <mergeCell ref="M14:P14"/>
    <mergeCell ref="R14:S14"/>
    <mergeCell ref="U14:W14"/>
    <mergeCell ref="U15:V15"/>
    <mergeCell ref="AD15:AH15"/>
    <mergeCell ref="U16:V16"/>
    <mergeCell ref="B1:AM2"/>
    <mergeCell ref="C3:T3"/>
    <mergeCell ref="V3:Z3"/>
    <mergeCell ref="AD3:AM3"/>
    <mergeCell ref="H4:H5"/>
    <mergeCell ref="Z4:Z5"/>
    <mergeCell ref="AM4:AM5"/>
  </mergeCells>
  <dataValidations count="2">
    <dataValidation type="list" allowBlank="1" showInputMessage="1" showErrorMessage="1" promptTitle="Riesgo ARL" sqref="AC6:AC10" xr:uid="{35C453E9-66A5-432D-9402-609108F12EEA}">
      <formula1>$AI$14:$AI$18</formula1>
    </dataValidation>
    <dataValidation type="list" allowBlank="1" showInputMessage="1" showErrorMessage="1" promptTitle="Provisiones " sqref="AA5" xr:uid="{F89DE7D0-3681-4059-A35B-A822757AE346}">
      <formula1>$AA$15:$AA$26</formula1>
    </dataValidation>
  </dataValidations>
  <printOptions horizontalCentered="1" verticalCentered="1"/>
  <pageMargins left="0.25" right="0.25" top="0.75" bottom="0.75" header="0.3" footer="0.3"/>
  <pageSetup scale="58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24920-D4E5-4E02-A797-0FE6F276D685}">
  <dimension ref="C2:N25"/>
  <sheetViews>
    <sheetView workbookViewId="0">
      <selection activeCell="P8" sqref="P8"/>
    </sheetView>
  </sheetViews>
  <sheetFormatPr baseColWidth="10" defaultColWidth="11.42578125" defaultRowHeight="15" x14ac:dyDescent="0.25"/>
  <sheetData>
    <row r="2" spans="3:14" ht="18" customHeight="1" x14ac:dyDescent="0.25">
      <c r="C2" s="242" t="s">
        <v>259</v>
      </c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4"/>
    </row>
    <row r="3" spans="3:14" ht="18" customHeight="1" x14ac:dyDescent="0.25">
      <c r="C3" s="242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4"/>
    </row>
    <row r="4" spans="3:14" ht="15.75" customHeight="1" x14ac:dyDescent="0.25">
      <c r="C4" s="121"/>
      <c r="N4" s="122"/>
    </row>
    <row r="5" spans="3:14" ht="17.25" customHeight="1" x14ac:dyDescent="0.25">
      <c r="C5" s="238" t="s">
        <v>260</v>
      </c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40"/>
    </row>
    <row r="6" spans="3:14" x14ac:dyDescent="0.25">
      <c r="C6" s="123" t="s">
        <v>261</v>
      </c>
      <c r="D6" s="124"/>
      <c r="E6" s="125"/>
      <c r="F6" s="124"/>
      <c r="G6" s="124"/>
      <c r="H6" s="124"/>
      <c r="I6" s="35"/>
      <c r="J6" s="35"/>
      <c r="K6" s="35"/>
      <c r="L6" s="35"/>
      <c r="M6" s="35"/>
      <c r="N6" s="126"/>
    </row>
    <row r="7" spans="3:14" x14ac:dyDescent="0.25">
      <c r="C7" s="123" t="s">
        <v>262</v>
      </c>
      <c r="D7" s="124"/>
      <c r="E7" s="125"/>
      <c r="F7" s="124"/>
      <c r="G7" s="124"/>
      <c r="H7" s="124"/>
      <c r="I7" s="127" t="s">
        <v>263</v>
      </c>
      <c r="J7" s="35"/>
      <c r="K7" s="127"/>
      <c r="L7" s="35"/>
      <c r="M7" s="124"/>
      <c r="N7" s="128"/>
    </row>
    <row r="8" spans="3:14" x14ac:dyDescent="0.25">
      <c r="C8" s="123" t="s">
        <v>264</v>
      </c>
      <c r="D8" s="124"/>
      <c r="E8" s="125"/>
      <c r="F8" s="124"/>
      <c r="G8" s="124"/>
      <c r="H8" s="124"/>
      <c r="I8" s="124" t="s">
        <v>265</v>
      </c>
      <c r="J8" s="35"/>
      <c r="K8" s="127"/>
      <c r="L8" s="124"/>
      <c r="M8" s="124"/>
      <c r="N8" s="128"/>
    </row>
    <row r="9" spans="3:14" x14ac:dyDescent="0.25">
      <c r="C9" s="123" t="s">
        <v>266</v>
      </c>
      <c r="D9" s="124"/>
      <c r="E9" s="125"/>
      <c r="F9" s="124"/>
      <c r="G9" s="124"/>
      <c r="H9" s="124"/>
      <c r="I9" s="127" t="s">
        <v>267</v>
      </c>
      <c r="J9" s="35"/>
      <c r="K9" s="127"/>
      <c r="L9" s="124"/>
      <c r="M9" s="124"/>
      <c r="N9" s="128"/>
    </row>
    <row r="10" spans="3:14" x14ac:dyDescent="0.25">
      <c r="C10" s="123" t="s">
        <v>268</v>
      </c>
      <c r="D10" s="124"/>
      <c r="E10" s="125"/>
      <c r="F10" s="124"/>
      <c r="G10" s="124"/>
      <c r="H10" s="124"/>
      <c r="I10" s="109"/>
      <c r="J10" s="110"/>
      <c r="K10" s="110"/>
      <c r="L10" s="111"/>
      <c r="M10" s="111"/>
      <c r="N10" s="129"/>
    </row>
    <row r="11" spans="3:14" x14ac:dyDescent="0.25">
      <c r="C11" s="123" t="s">
        <v>269</v>
      </c>
      <c r="D11" s="124"/>
      <c r="E11" s="125"/>
      <c r="F11" s="124"/>
      <c r="G11" s="124"/>
      <c r="H11" s="124"/>
      <c r="I11" s="112"/>
      <c r="J11" s="127"/>
      <c r="K11" s="127"/>
      <c r="L11" s="124"/>
      <c r="M11" s="124"/>
      <c r="N11" s="128"/>
    </row>
    <row r="12" spans="3:14" x14ac:dyDescent="0.25">
      <c r="C12" s="123" t="s">
        <v>270</v>
      </c>
      <c r="D12" s="124"/>
      <c r="E12" s="125"/>
      <c r="F12" s="124"/>
      <c r="G12" s="124"/>
      <c r="H12" s="124"/>
      <c r="I12" s="113"/>
      <c r="J12" s="114"/>
      <c r="K12" s="114"/>
      <c r="L12" s="115"/>
      <c r="M12" s="115"/>
      <c r="N12" s="130"/>
    </row>
    <row r="13" spans="3:14" x14ac:dyDescent="0.25">
      <c r="C13" s="123" t="s">
        <v>271</v>
      </c>
      <c r="D13" s="124"/>
      <c r="E13" s="125"/>
      <c r="F13" s="124"/>
      <c r="G13" s="124"/>
      <c r="H13" s="124"/>
      <c r="I13" s="35"/>
      <c r="J13" s="35"/>
      <c r="K13" s="35"/>
      <c r="L13" s="35"/>
      <c r="M13" s="35"/>
      <c r="N13" s="126"/>
    </row>
    <row r="14" spans="3:14" ht="18" x14ac:dyDescent="0.25">
      <c r="C14" s="238" t="s">
        <v>272</v>
      </c>
      <c r="D14" s="239"/>
      <c r="E14" s="239"/>
      <c r="F14" s="239"/>
      <c r="G14" s="239"/>
      <c r="H14" s="239"/>
      <c r="I14" s="239"/>
      <c r="J14" s="239"/>
      <c r="K14" s="239"/>
      <c r="L14" s="239"/>
      <c r="M14" s="239"/>
      <c r="N14" s="240"/>
    </row>
    <row r="15" spans="3:14" x14ac:dyDescent="0.25">
      <c r="C15" s="131"/>
      <c r="D15" s="132"/>
      <c r="E15" s="132"/>
      <c r="F15" s="35"/>
      <c r="G15" s="35"/>
      <c r="H15" s="116"/>
      <c r="I15" s="35"/>
      <c r="J15" s="132"/>
      <c r="K15" s="132"/>
      <c r="L15" s="132"/>
      <c r="M15" s="132"/>
      <c r="N15" s="133"/>
    </row>
    <row r="16" spans="3:14" x14ac:dyDescent="0.25">
      <c r="C16" s="134" t="s">
        <v>273</v>
      </c>
      <c r="D16" s="132"/>
      <c r="E16" s="132"/>
      <c r="F16" s="135"/>
      <c r="G16" s="135"/>
      <c r="H16" s="117"/>
      <c r="I16" s="136" t="s">
        <v>274</v>
      </c>
      <c r="J16" s="136"/>
      <c r="K16" s="132"/>
      <c r="L16" s="132"/>
      <c r="M16" s="132"/>
      <c r="N16" s="133"/>
    </row>
    <row r="17" spans="3:14" x14ac:dyDescent="0.25">
      <c r="C17" s="134"/>
      <c r="D17" s="132"/>
      <c r="E17" s="132"/>
      <c r="F17" s="135"/>
      <c r="G17" s="135"/>
      <c r="H17" s="117"/>
      <c r="I17" s="136"/>
      <c r="J17" s="136"/>
      <c r="K17" s="132"/>
      <c r="L17" s="132"/>
      <c r="M17" s="132"/>
      <c r="N17" s="133"/>
    </row>
    <row r="18" spans="3:14" x14ac:dyDescent="0.25">
      <c r="C18" s="134"/>
      <c r="D18" s="132"/>
      <c r="E18" s="132"/>
      <c r="F18" s="135"/>
      <c r="G18" s="135"/>
      <c r="H18" s="117"/>
      <c r="I18" s="136"/>
      <c r="J18" s="136"/>
      <c r="K18" s="132"/>
      <c r="L18" s="132"/>
      <c r="M18" s="132"/>
      <c r="N18" s="133"/>
    </row>
    <row r="19" spans="3:14" x14ac:dyDescent="0.25">
      <c r="C19" s="137"/>
      <c r="D19" s="138"/>
      <c r="E19" s="138"/>
      <c r="F19" s="35"/>
      <c r="G19" s="35"/>
      <c r="H19" s="116"/>
      <c r="I19" s="139"/>
      <c r="J19" s="139"/>
      <c r="K19" s="138"/>
      <c r="L19" s="138"/>
      <c r="M19" s="138"/>
      <c r="N19" s="140"/>
    </row>
    <row r="20" spans="3:14" x14ac:dyDescent="0.25">
      <c r="C20" s="141" t="s">
        <v>275</v>
      </c>
      <c r="D20" s="132"/>
      <c r="E20" s="132"/>
      <c r="F20" s="135"/>
      <c r="G20" s="135"/>
      <c r="H20" s="117"/>
      <c r="I20" s="142" t="s">
        <v>275</v>
      </c>
      <c r="J20" s="132"/>
      <c r="K20" s="132"/>
      <c r="L20" s="135"/>
      <c r="M20" s="135"/>
      <c r="N20" s="133"/>
    </row>
    <row r="21" spans="3:14" x14ac:dyDescent="0.25">
      <c r="C21" s="143"/>
      <c r="D21" s="138"/>
      <c r="E21" s="138"/>
      <c r="F21" s="35"/>
      <c r="G21" s="35"/>
      <c r="H21" s="116"/>
      <c r="I21" s="144"/>
      <c r="J21" s="138"/>
      <c r="K21" s="138"/>
      <c r="L21" s="35"/>
      <c r="M21" s="35"/>
      <c r="N21" s="140"/>
    </row>
    <row r="22" spans="3:14" x14ac:dyDescent="0.25">
      <c r="C22" s="145"/>
      <c r="D22" s="118"/>
      <c r="E22" s="118"/>
      <c r="F22" s="118"/>
      <c r="G22" s="118"/>
      <c r="H22" s="116"/>
      <c r="I22" s="35"/>
      <c r="J22" s="118"/>
      <c r="K22" s="118"/>
      <c r="L22" s="118"/>
      <c r="M22" s="118"/>
      <c r="N22" s="140"/>
    </row>
    <row r="23" spans="3:14" x14ac:dyDescent="0.25">
      <c r="C23" s="145"/>
      <c r="D23" s="35"/>
      <c r="E23" s="35"/>
      <c r="F23" s="35"/>
      <c r="G23" s="35"/>
      <c r="H23" s="119"/>
      <c r="I23" s="35"/>
      <c r="J23" s="35"/>
      <c r="K23" s="35"/>
      <c r="L23" s="35"/>
      <c r="M23" s="35"/>
      <c r="N23" s="140"/>
    </row>
    <row r="24" spans="3:14" ht="15.75" x14ac:dyDescent="0.25">
      <c r="C24" s="134" t="s">
        <v>276</v>
      </c>
      <c r="D24" s="241"/>
      <c r="E24" s="241"/>
      <c r="F24" s="146" t="s">
        <v>277</v>
      </c>
      <c r="G24" s="120"/>
      <c r="H24" s="116"/>
      <c r="I24" s="147" t="s">
        <v>276</v>
      </c>
      <c r="J24" s="241"/>
      <c r="K24" s="241"/>
      <c r="L24" s="146" t="s">
        <v>277</v>
      </c>
      <c r="M24" s="120"/>
      <c r="N24" s="140"/>
    </row>
    <row r="25" spans="3:14" ht="15.75" thickBot="1" x14ac:dyDescent="0.3">
      <c r="C25" s="148"/>
      <c r="D25" s="149"/>
      <c r="E25" s="149"/>
      <c r="F25" s="150"/>
      <c r="G25" s="150"/>
      <c r="H25" s="151"/>
      <c r="I25" s="150"/>
      <c r="J25" s="149"/>
      <c r="K25" s="149"/>
      <c r="L25" s="149"/>
      <c r="M25" s="149"/>
      <c r="N25" s="152"/>
    </row>
  </sheetData>
  <mergeCells count="5">
    <mergeCell ref="C5:N5"/>
    <mergeCell ref="C14:N14"/>
    <mergeCell ref="D24:E24"/>
    <mergeCell ref="J24:K24"/>
    <mergeCell ref="C2:N3"/>
  </mergeCells>
  <pageMargins left="0.7" right="0.7" top="0.75" bottom="0.75" header="0.3" footer="0.3"/>
  <pageSetup paperSize="9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 altText="3">
                <anchor moveWithCells="1">
                  <from>
                    <xdr:col>5</xdr:col>
                    <xdr:colOff>390525</xdr:colOff>
                    <xdr:row>5</xdr:row>
                    <xdr:rowOff>123825</xdr:rowOff>
                  </from>
                  <to>
                    <xdr:col>5</xdr:col>
                    <xdr:colOff>762000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 altText="3">
                <anchor moveWithCells="1">
                  <from>
                    <xdr:col>5</xdr:col>
                    <xdr:colOff>676275</xdr:colOff>
                    <xdr:row>5</xdr:row>
                    <xdr:rowOff>123825</xdr:rowOff>
                  </from>
                  <to>
                    <xdr:col>6</xdr:col>
                    <xdr:colOff>285750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 altText="3">
                <anchor moveWithCells="1">
                  <from>
                    <xdr:col>6</xdr:col>
                    <xdr:colOff>200025</xdr:colOff>
                    <xdr:row>5</xdr:row>
                    <xdr:rowOff>123825</xdr:rowOff>
                  </from>
                  <to>
                    <xdr:col>6</xdr:col>
                    <xdr:colOff>571500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 altText="3">
                <anchor moveWithCells="1">
                  <from>
                    <xdr:col>6</xdr:col>
                    <xdr:colOff>495300</xdr:colOff>
                    <xdr:row>5</xdr:row>
                    <xdr:rowOff>123825</xdr:rowOff>
                  </from>
                  <to>
                    <xdr:col>7</xdr:col>
                    <xdr:colOff>104775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Check Box 5">
              <controlPr defaultSize="0" autoFill="0" autoLine="0" autoPict="0" altText="3">
                <anchor moveWithCells="1">
                  <from>
                    <xdr:col>7</xdr:col>
                    <xdr:colOff>19050</xdr:colOff>
                    <xdr:row>5</xdr:row>
                    <xdr:rowOff>123825</xdr:rowOff>
                  </from>
                  <to>
                    <xdr:col>7</xdr:col>
                    <xdr:colOff>390525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Check Box 6">
              <controlPr defaultSize="0" autoFill="0" autoLine="0" autoPict="0" altText="3">
                <anchor moveWithCells="1">
                  <from>
                    <xdr:col>5</xdr:col>
                    <xdr:colOff>390525</xdr:colOff>
                    <xdr:row>7</xdr:row>
                    <xdr:rowOff>142875</xdr:rowOff>
                  </from>
                  <to>
                    <xdr:col>5</xdr:col>
                    <xdr:colOff>762000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Check Box 7">
              <controlPr defaultSize="0" autoFill="0" autoLine="0" autoPict="0" altText="3">
                <anchor moveWithCells="1">
                  <from>
                    <xdr:col>5</xdr:col>
                    <xdr:colOff>676275</xdr:colOff>
                    <xdr:row>7</xdr:row>
                    <xdr:rowOff>142875</xdr:rowOff>
                  </from>
                  <to>
                    <xdr:col>6</xdr:col>
                    <xdr:colOff>285750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Check Box 8">
              <controlPr defaultSize="0" autoFill="0" autoLine="0" autoPict="0" altText="3">
                <anchor moveWithCells="1">
                  <from>
                    <xdr:col>6</xdr:col>
                    <xdr:colOff>200025</xdr:colOff>
                    <xdr:row>7</xdr:row>
                    <xdr:rowOff>142875</xdr:rowOff>
                  </from>
                  <to>
                    <xdr:col>6</xdr:col>
                    <xdr:colOff>571500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9">
              <controlPr defaultSize="0" autoFill="0" autoLine="0" autoPict="0" altText="3">
                <anchor moveWithCells="1">
                  <from>
                    <xdr:col>6</xdr:col>
                    <xdr:colOff>495300</xdr:colOff>
                    <xdr:row>7</xdr:row>
                    <xdr:rowOff>142875</xdr:rowOff>
                  </from>
                  <to>
                    <xdr:col>7</xdr:col>
                    <xdr:colOff>104775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0">
              <controlPr defaultSize="0" autoFill="0" autoLine="0" autoPict="0" altText="3">
                <anchor moveWithCells="1">
                  <from>
                    <xdr:col>7</xdr:col>
                    <xdr:colOff>19050</xdr:colOff>
                    <xdr:row>7</xdr:row>
                    <xdr:rowOff>142875</xdr:rowOff>
                  </from>
                  <to>
                    <xdr:col>7</xdr:col>
                    <xdr:colOff>390525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1">
              <controlPr defaultSize="0" autoFill="0" autoLine="0" autoPict="0" altText="3">
                <anchor moveWithCells="1">
                  <from>
                    <xdr:col>5</xdr:col>
                    <xdr:colOff>390525</xdr:colOff>
                    <xdr:row>8</xdr:row>
                    <xdr:rowOff>142875</xdr:rowOff>
                  </from>
                  <to>
                    <xdr:col>5</xdr:col>
                    <xdr:colOff>762000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">
              <controlPr defaultSize="0" autoFill="0" autoLine="0" autoPict="0" altText="3">
                <anchor moveWithCells="1">
                  <from>
                    <xdr:col>5</xdr:col>
                    <xdr:colOff>676275</xdr:colOff>
                    <xdr:row>8</xdr:row>
                    <xdr:rowOff>142875</xdr:rowOff>
                  </from>
                  <to>
                    <xdr:col>6</xdr:col>
                    <xdr:colOff>285750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3">
              <controlPr defaultSize="0" autoFill="0" autoLine="0" autoPict="0" altText="3">
                <anchor moveWithCells="1">
                  <from>
                    <xdr:col>6</xdr:col>
                    <xdr:colOff>200025</xdr:colOff>
                    <xdr:row>8</xdr:row>
                    <xdr:rowOff>142875</xdr:rowOff>
                  </from>
                  <to>
                    <xdr:col>6</xdr:col>
                    <xdr:colOff>571500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Check Box 14">
              <controlPr defaultSize="0" autoFill="0" autoLine="0" autoPict="0" altText="3">
                <anchor moveWithCells="1">
                  <from>
                    <xdr:col>6</xdr:col>
                    <xdr:colOff>495300</xdr:colOff>
                    <xdr:row>8</xdr:row>
                    <xdr:rowOff>142875</xdr:rowOff>
                  </from>
                  <to>
                    <xdr:col>7</xdr:col>
                    <xdr:colOff>104775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Check Box 15">
              <controlPr defaultSize="0" autoFill="0" autoLine="0" autoPict="0" altText="3">
                <anchor moveWithCells="1">
                  <from>
                    <xdr:col>7</xdr:col>
                    <xdr:colOff>19050</xdr:colOff>
                    <xdr:row>8</xdr:row>
                    <xdr:rowOff>142875</xdr:rowOff>
                  </from>
                  <to>
                    <xdr:col>7</xdr:col>
                    <xdr:colOff>390525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Check Box 16">
              <controlPr defaultSize="0" autoFill="0" autoLine="0" autoPict="0" altText="3">
                <anchor moveWithCells="1">
                  <from>
                    <xdr:col>5</xdr:col>
                    <xdr:colOff>390525</xdr:colOff>
                    <xdr:row>9</xdr:row>
                    <xdr:rowOff>152400</xdr:rowOff>
                  </from>
                  <to>
                    <xdr:col>5</xdr:col>
                    <xdr:colOff>762000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Check Box 17">
              <controlPr defaultSize="0" autoFill="0" autoLine="0" autoPict="0" altText="3">
                <anchor moveWithCells="1">
                  <from>
                    <xdr:col>5</xdr:col>
                    <xdr:colOff>676275</xdr:colOff>
                    <xdr:row>9</xdr:row>
                    <xdr:rowOff>152400</xdr:rowOff>
                  </from>
                  <to>
                    <xdr:col>6</xdr:col>
                    <xdr:colOff>285750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Check Box 18">
              <controlPr defaultSize="0" autoFill="0" autoLine="0" autoPict="0" altText="3">
                <anchor moveWithCells="1">
                  <from>
                    <xdr:col>6</xdr:col>
                    <xdr:colOff>200025</xdr:colOff>
                    <xdr:row>9</xdr:row>
                    <xdr:rowOff>152400</xdr:rowOff>
                  </from>
                  <to>
                    <xdr:col>6</xdr:col>
                    <xdr:colOff>571500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22" name="Check Box 19">
              <controlPr defaultSize="0" autoFill="0" autoLine="0" autoPict="0" altText="3">
                <anchor moveWithCells="1">
                  <from>
                    <xdr:col>6</xdr:col>
                    <xdr:colOff>495300</xdr:colOff>
                    <xdr:row>9</xdr:row>
                    <xdr:rowOff>152400</xdr:rowOff>
                  </from>
                  <to>
                    <xdr:col>7</xdr:col>
                    <xdr:colOff>104775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23" name="Check Box 20">
              <controlPr defaultSize="0" autoFill="0" autoLine="0" autoPict="0" altText="3">
                <anchor moveWithCells="1">
                  <from>
                    <xdr:col>7</xdr:col>
                    <xdr:colOff>19050</xdr:colOff>
                    <xdr:row>9</xdr:row>
                    <xdr:rowOff>152400</xdr:rowOff>
                  </from>
                  <to>
                    <xdr:col>7</xdr:col>
                    <xdr:colOff>390525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4" name="Check Box 21">
              <controlPr defaultSize="0" autoFill="0" autoLine="0" autoPict="0" altText="3">
                <anchor moveWithCells="1">
                  <from>
                    <xdr:col>5</xdr:col>
                    <xdr:colOff>390525</xdr:colOff>
                    <xdr:row>10</xdr:row>
                    <xdr:rowOff>152400</xdr:rowOff>
                  </from>
                  <to>
                    <xdr:col>5</xdr:col>
                    <xdr:colOff>762000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5" name="Check Box 22">
              <controlPr defaultSize="0" autoFill="0" autoLine="0" autoPict="0" altText="3">
                <anchor moveWithCells="1">
                  <from>
                    <xdr:col>5</xdr:col>
                    <xdr:colOff>676275</xdr:colOff>
                    <xdr:row>10</xdr:row>
                    <xdr:rowOff>152400</xdr:rowOff>
                  </from>
                  <to>
                    <xdr:col>6</xdr:col>
                    <xdr:colOff>285750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6" name="Check Box 23">
              <controlPr defaultSize="0" autoFill="0" autoLine="0" autoPict="0" altText="3">
                <anchor moveWithCells="1">
                  <from>
                    <xdr:col>6</xdr:col>
                    <xdr:colOff>200025</xdr:colOff>
                    <xdr:row>10</xdr:row>
                    <xdr:rowOff>152400</xdr:rowOff>
                  </from>
                  <to>
                    <xdr:col>6</xdr:col>
                    <xdr:colOff>571500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7" name="Check Box 24">
              <controlPr defaultSize="0" autoFill="0" autoLine="0" autoPict="0" altText="3">
                <anchor moveWithCells="1">
                  <from>
                    <xdr:col>6</xdr:col>
                    <xdr:colOff>495300</xdr:colOff>
                    <xdr:row>10</xdr:row>
                    <xdr:rowOff>152400</xdr:rowOff>
                  </from>
                  <to>
                    <xdr:col>7</xdr:col>
                    <xdr:colOff>104775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8" name="Check Box 25">
              <controlPr defaultSize="0" autoFill="0" autoLine="0" autoPict="0" altText="3">
                <anchor moveWithCells="1">
                  <from>
                    <xdr:col>7</xdr:col>
                    <xdr:colOff>19050</xdr:colOff>
                    <xdr:row>10</xdr:row>
                    <xdr:rowOff>152400</xdr:rowOff>
                  </from>
                  <to>
                    <xdr:col>7</xdr:col>
                    <xdr:colOff>390525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29" name="Check Box 26">
              <controlPr defaultSize="0" autoFill="0" autoLine="0" autoPict="0" altText="3">
                <anchor moveWithCells="1">
                  <from>
                    <xdr:col>5</xdr:col>
                    <xdr:colOff>390525</xdr:colOff>
                    <xdr:row>6</xdr:row>
                    <xdr:rowOff>133350</xdr:rowOff>
                  </from>
                  <to>
                    <xdr:col>5</xdr:col>
                    <xdr:colOff>762000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7" r:id="rId30" name="Check Box 27">
              <controlPr defaultSize="0" autoFill="0" autoLine="0" autoPict="0" altText="3">
                <anchor moveWithCells="1">
                  <from>
                    <xdr:col>5</xdr:col>
                    <xdr:colOff>676275</xdr:colOff>
                    <xdr:row>6</xdr:row>
                    <xdr:rowOff>133350</xdr:rowOff>
                  </from>
                  <to>
                    <xdr:col>6</xdr:col>
                    <xdr:colOff>285750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8" r:id="rId31" name="Check Box 28">
              <controlPr defaultSize="0" autoFill="0" autoLine="0" autoPict="0" altText="3">
                <anchor moveWithCells="1">
                  <from>
                    <xdr:col>6</xdr:col>
                    <xdr:colOff>200025</xdr:colOff>
                    <xdr:row>6</xdr:row>
                    <xdr:rowOff>133350</xdr:rowOff>
                  </from>
                  <to>
                    <xdr:col>6</xdr:col>
                    <xdr:colOff>571500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32" name="Check Box 29">
              <controlPr defaultSize="0" autoFill="0" autoLine="0" autoPict="0" altText="3">
                <anchor moveWithCells="1">
                  <from>
                    <xdr:col>6</xdr:col>
                    <xdr:colOff>495300</xdr:colOff>
                    <xdr:row>6</xdr:row>
                    <xdr:rowOff>133350</xdr:rowOff>
                  </from>
                  <to>
                    <xdr:col>7</xdr:col>
                    <xdr:colOff>104775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33" name="Check Box 30">
              <controlPr defaultSize="0" autoFill="0" autoLine="0" autoPict="0" altText="3">
                <anchor moveWithCells="1">
                  <from>
                    <xdr:col>7</xdr:col>
                    <xdr:colOff>19050</xdr:colOff>
                    <xdr:row>6</xdr:row>
                    <xdr:rowOff>133350</xdr:rowOff>
                  </from>
                  <to>
                    <xdr:col>7</xdr:col>
                    <xdr:colOff>390525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1" r:id="rId34" name="Check Box 31">
              <controlPr defaultSize="0" autoFill="0" autoLine="0" autoPict="0" altText="3">
                <anchor moveWithCells="1">
                  <from>
                    <xdr:col>5</xdr:col>
                    <xdr:colOff>390525</xdr:colOff>
                    <xdr:row>11</xdr:row>
                    <xdr:rowOff>152400</xdr:rowOff>
                  </from>
                  <to>
                    <xdr:col>5</xdr:col>
                    <xdr:colOff>762000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2" r:id="rId35" name="Check Box 32">
              <controlPr defaultSize="0" autoFill="0" autoLine="0" autoPict="0" altText="3">
                <anchor moveWithCells="1">
                  <from>
                    <xdr:col>5</xdr:col>
                    <xdr:colOff>676275</xdr:colOff>
                    <xdr:row>11</xdr:row>
                    <xdr:rowOff>152400</xdr:rowOff>
                  </from>
                  <to>
                    <xdr:col>6</xdr:col>
                    <xdr:colOff>285750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3" r:id="rId36" name="Check Box 33">
              <controlPr defaultSize="0" autoFill="0" autoLine="0" autoPict="0" altText="3">
                <anchor moveWithCells="1">
                  <from>
                    <xdr:col>6</xdr:col>
                    <xdr:colOff>200025</xdr:colOff>
                    <xdr:row>11</xdr:row>
                    <xdr:rowOff>152400</xdr:rowOff>
                  </from>
                  <to>
                    <xdr:col>6</xdr:col>
                    <xdr:colOff>571500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4" r:id="rId37" name="Check Box 34">
              <controlPr defaultSize="0" autoFill="0" autoLine="0" autoPict="0" altText="3">
                <anchor moveWithCells="1">
                  <from>
                    <xdr:col>6</xdr:col>
                    <xdr:colOff>495300</xdr:colOff>
                    <xdr:row>11</xdr:row>
                    <xdr:rowOff>152400</xdr:rowOff>
                  </from>
                  <to>
                    <xdr:col>7</xdr:col>
                    <xdr:colOff>104775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5" r:id="rId38" name="Check Box 35">
              <controlPr defaultSize="0" autoFill="0" autoLine="0" autoPict="0" altText="3">
                <anchor moveWithCells="1">
                  <from>
                    <xdr:col>7</xdr:col>
                    <xdr:colOff>19050</xdr:colOff>
                    <xdr:row>11</xdr:row>
                    <xdr:rowOff>152400</xdr:rowOff>
                  </from>
                  <to>
                    <xdr:col>7</xdr:col>
                    <xdr:colOff>390525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8" r:id="rId39" name="Check Box 38">
              <controlPr defaultSize="0" autoFill="0" autoLine="0" autoPict="0" altText="3">
                <anchor moveWithCells="1">
                  <from>
                    <xdr:col>5</xdr:col>
                    <xdr:colOff>400050</xdr:colOff>
                    <xdr:row>4</xdr:row>
                    <xdr:rowOff>133350</xdr:rowOff>
                  </from>
                  <to>
                    <xdr:col>6</xdr:col>
                    <xdr:colOff>9525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9" r:id="rId40" name="Check Box 39">
              <controlPr defaultSize="0" autoFill="0" autoLine="0" autoPict="0" altText="3">
                <anchor moveWithCells="1">
                  <from>
                    <xdr:col>5</xdr:col>
                    <xdr:colOff>695325</xdr:colOff>
                    <xdr:row>4</xdr:row>
                    <xdr:rowOff>133350</xdr:rowOff>
                  </from>
                  <to>
                    <xdr:col>6</xdr:col>
                    <xdr:colOff>304800</xdr:colOff>
                    <xdr:row>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EE7F58BAD56A542ACB1EDE978366ADD" ma:contentTypeVersion="4" ma:contentTypeDescription="Crear nuevo documento." ma:contentTypeScope="" ma:versionID="eae2fa040312e377833240718e8d7aea">
  <xsd:schema xmlns:xsd="http://www.w3.org/2001/XMLSchema" xmlns:xs="http://www.w3.org/2001/XMLSchema" xmlns:p="http://schemas.microsoft.com/office/2006/metadata/properties" xmlns:ns2="08c3691e-f717-4874-bc95-cb3e4c607461" targetNamespace="http://schemas.microsoft.com/office/2006/metadata/properties" ma:root="true" ma:fieldsID="f092df27f413c9b764e762cf63a4a201" ns2:_="">
    <xsd:import namespace="08c3691e-f717-4874-bc95-cb3e4c6074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c3691e-f717-4874-bc95-cb3e4c6074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61D28D-8D4D-4FBC-84AE-496E8B3C7D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7AE62B-42B2-47F9-8DBF-C6D798CEE3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c3691e-f717-4874-bc95-cb3e4c6074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C5B1C5-50F2-4543-87B8-DDB8D92A6192}">
  <ds:schemaRefs>
    <ds:schemaRef ds:uri="http://schemas.openxmlformats.org/package/2006/metadata/core-properties"/>
    <ds:schemaRef ds:uri="http://purl.org/dc/terms/"/>
    <ds:schemaRef ds:uri="08c3691e-f717-4874-bc95-cb3e4c607461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2</vt:i4>
      </vt:variant>
    </vt:vector>
  </HeadingPairs>
  <TitlesOfParts>
    <vt:vector size="10" baseType="lpstr">
      <vt:lpstr>Anexo 1A Productos Físico</vt:lpstr>
      <vt:lpstr>Anexo 1B Productos Market Place</vt:lpstr>
      <vt:lpstr>Anexo 1B Cotizaciones </vt:lpstr>
      <vt:lpstr>Anexo 2A Costos Físico</vt:lpstr>
      <vt:lpstr>Anexo 2B Costos Market place</vt:lpstr>
      <vt:lpstr>Anexo 3A Nómina Físico</vt:lpstr>
      <vt:lpstr>Anexo 3B Nómina Market place</vt:lpstr>
      <vt:lpstr>Anexo 4 Encuesta </vt:lpstr>
      <vt:lpstr>'Anexo 3A Nómina Físico'!Área_de_impresión</vt:lpstr>
      <vt:lpstr>'Anexo 3B Nómina Market place'!Área_de_impresión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Mauricio Borja</dc:creator>
  <cp:keywords/>
  <dc:description/>
  <cp:lastModifiedBy>Matias</cp:lastModifiedBy>
  <cp:revision/>
  <dcterms:created xsi:type="dcterms:W3CDTF">2021-11-20T18:35:07Z</dcterms:created>
  <dcterms:modified xsi:type="dcterms:W3CDTF">2022-09-15T14:35:55Z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0x0101002EE7F58BAD56A542ACB1EDE978366ADD</vt:lpwstr>
  </property>
</Properties>
</file>