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codeName="ThisWorkbook" defaultThemeVersion="124226"/>
  <mc:AlternateContent xmlns:mc="http://schemas.openxmlformats.org/markup-compatibility/2006">
    <mc:Choice Requires="x15">
      <x15ac:absPath xmlns:x15ac="http://schemas.microsoft.com/office/spreadsheetml/2010/11/ac" url="C:\Users\admon\Documents\JCG\UNIVERSIDAD MBA\TRABAJO DE GRADO\TRABAJO DE GRADO\NUEVAS ENTREGAS\ENTREGA # 3\"/>
    </mc:Choice>
  </mc:AlternateContent>
  <xr:revisionPtr revIDLastSave="0" documentId="13_ncr:1_{739ED7AC-2B37-4486-8066-6CE88C92B887}" xr6:coauthVersionLast="47" xr6:coauthVersionMax="47" xr10:uidLastSave="{00000000-0000-0000-0000-000000000000}"/>
  <bookViews>
    <workbookView xWindow="30" yWindow="30" windowWidth="20460" windowHeight="10890" tabRatio="741" firstSheet="1" activeTab="9" xr2:uid="{00000000-000D-0000-FFFF-FFFF00000000}"/>
  </bookViews>
  <sheets>
    <sheet name="Deatalle inversión incial" sheetId="15" r:id="rId1"/>
    <sheet name="Menú" sheetId="7" r:id="rId2"/>
    <sheet name="1" sheetId="1" r:id="rId3"/>
    <sheet name="2" sheetId="4" r:id="rId4"/>
    <sheet name="3" sheetId="3" r:id="rId5"/>
    <sheet name="4" sheetId="5" r:id="rId6"/>
    <sheet name="5" sheetId="6" r:id="rId7"/>
    <sheet name="PDTOS PRECIOS CANALES" sheetId="11" r:id="rId8"/>
    <sheet name="PPTO VENTAS" sheetId="12" r:id="rId9"/>
    <sheet name="PPTO DISTRUBUIDORES" sheetId="17" r:id="rId10"/>
    <sheet name="PPTO COMERCIALIZACION" sheetId="13" r:id="rId11"/>
    <sheet name="PPTO DETALLADO NOMINA" sheetId="14" r:id="rId12"/>
  </sheets>
  <definedNames>
    <definedName name="_xlnm.Print_Area" localSheetId="1">Menú!$B$2:$J$24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1" i="17" l="1"/>
  <c r="CH38" i="17"/>
  <c r="CH37" i="17"/>
  <c r="CI37" i="17" s="1"/>
  <c r="CI36" i="17"/>
  <c r="CH36" i="17"/>
  <c r="CG36" i="17"/>
  <c r="CH35" i="17"/>
  <c r="CI35" i="17" s="1"/>
  <c r="CH34" i="17"/>
  <c r="CI34" i="17" s="1"/>
  <c r="CG34" i="17"/>
  <c r="CH33" i="17"/>
  <c r="CG33" i="17" s="1"/>
  <c r="CH31" i="17"/>
  <c r="CI30" i="17" s="1"/>
  <c r="CH30" i="17"/>
  <c r="CG30" i="17"/>
  <c r="CH29" i="17"/>
  <c r="CG29" i="17" s="1"/>
  <c r="CI28" i="17"/>
  <c r="CH28" i="17"/>
  <c r="CG28" i="17"/>
  <c r="CH27" i="17"/>
  <c r="CI27" i="17" s="1"/>
  <c r="CI26" i="17"/>
  <c r="CH26" i="17"/>
  <c r="CG26" i="17"/>
  <c r="CH24" i="17"/>
  <c r="CH23" i="17"/>
  <c r="CI23" i="17" s="1"/>
  <c r="CI22" i="17"/>
  <c r="CH22" i="17"/>
  <c r="CG22" i="17"/>
  <c r="CH21" i="17"/>
  <c r="CI21" i="17" s="1"/>
  <c r="CI20" i="17"/>
  <c r="CH20" i="17"/>
  <c r="CG20" i="17"/>
  <c r="CH19" i="17"/>
  <c r="CI19" i="17" s="1"/>
  <c r="CH17" i="17"/>
  <c r="CI16" i="17"/>
  <c r="CH16" i="17"/>
  <c r="CG16" i="17"/>
  <c r="CH15" i="17"/>
  <c r="CI15" i="17" s="1"/>
  <c r="CI14" i="17"/>
  <c r="CH14" i="17"/>
  <c r="CG14" i="17"/>
  <c r="CH13" i="17"/>
  <c r="CG13" i="17" s="1"/>
  <c r="CI12" i="17"/>
  <c r="CH12" i="17"/>
  <c r="CG12" i="17"/>
  <c r="CH10" i="17"/>
  <c r="CH9" i="17"/>
  <c r="CG9" i="17" s="1"/>
  <c r="CI8" i="17"/>
  <c r="CH8" i="17"/>
  <c r="CG8" i="17"/>
  <c r="CH7" i="17"/>
  <c r="CI7" i="17" s="1"/>
  <c r="CI6" i="17"/>
  <c r="CH6" i="17"/>
  <c r="CG6" i="17"/>
  <c r="CH5" i="17"/>
  <c r="CI5" i="17" s="1"/>
  <c r="CD38" i="17"/>
  <c r="CD37" i="17"/>
  <c r="CE37" i="17" s="1"/>
  <c r="CD36" i="17"/>
  <c r="CE36" i="17" s="1"/>
  <c r="CC36" i="17"/>
  <c r="CD35" i="17"/>
  <c r="CE35" i="17" s="1"/>
  <c r="CE34" i="17"/>
  <c r="CD34" i="17"/>
  <c r="CC34" i="17"/>
  <c r="CD33" i="17"/>
  <c r="CC33" i="17" s="1"/>
  <c r="CD31" i="17"/>
  <c r="CE30" i="17"/>
  <c r="CD30" i="17"/>
  <c r="CC30" i="17"/>
  <c r="CD29" i="17"/>
  <c r="CC29" i="17" s="1"/>
  <c r="CD28" i="17"/>
  <c r="CE28" i="17" s="1"/>
  <c r="CC28" i="17"/>
  <c r="CD27" i="17"/>
  <c r="CE27" i="17" s="1"/>
  <c r="CC27" i="17"/>
  <c r="CE26" i="17"/>
  <c r="CD26" i="17"/>
  <c r="CC26" i="17"/>
  <c r="CD24" i="17"/>
  <c r="CD23" i="17"/>
  <c r="CE23" i="17" s="1"/>
  <c r="CC23" i="17"/>
  <c r="CE22" i="17"/>
  <c r="CD22" i="17"/>
  <c r="CC22" i="17"/>
  <c r="CD21" i="17"/>
  <c r="CE21" i="17" s="1"/>
  <c r="CD20" i="17"/>
  <c r="CE20" i="17" s="1"/>
  <c r="CC20" i="17"/>
  <c r="CD19" i="17"/>
  <c r="CE19" i="17" s="1"/>
  <c r="CC19" i="17"/>
  <c r="CD17" i="17"/>
  <c r="CD16" i="17"/>
  <c r="CE16" i="17" s="1"/>
  <c r="CC16" i="17"/>
  <c r="CD15" i="17"/>
  <c r="CE15" i="17" s="1"/>
  <c r="CC15" i="17"/>
  <c r="CE14" i="17"/>
  <c r="CD14" i="17"/>
  <c r="CC14" i="17"/>
  <c r="CD13" i="17"/>
  <c r="CC13" i="17" s="1"/>
  <c r="CD12" i="17"/>
  <c r="CE12" i="17" s="1"/>
  <c r="CC12" i="17"/>
  <c r="CC17" i="17" s="1"/>
  <c r="CD10" i="17"/>
  <c r="CD9" i="17"/>
  <c r="CC9" i="17" s="1"/>
  <c r="CD8" i="17"/>
  <c r="CE8" i="17" s="1"/>
  <c r="CC8" i="17"/>
  <c r="CD7" i="17"/>
  <c r="CE7" i="17" s="1"/>
  <c r="CC7" i="17"/>
  <c r="CE6" i="17"/>
  <c r="CD6" i="17"/>
  <c r="CC6" i="17"/>
  <c r="CD5" i="17"/>
  <c r="CE5" i="17" s="1"/>
  <c r="BZ38" i="17"/>
  <c r="CA37" i="17"/>
  <c r="BZ37" i="17"/>
  <c r="BY37" i="17"/>
  <c r="CA36" i="17"/>
  <c r="BZ36" i="17"/>
  <c r="BY36" i="17"/>
  <c r="BZ35" i="17"/>
  <c r="CA35" i="17" s="1"/>
  <c r="BY35" i="17"/>
  <c r="BZ34" i="17"/>
  <c r="CA34" i="17" s="1"/>
  <c r="BY34" i="17"/>
  <c r="BZ33" i="17"/>
  <c r="BY33" i="17" s="1"/>
  <c r="BY38" i="17" s="1"/>
  <c r="BZ31" i="17"/>
  <c r="BZ30" i="17"/>
  <c r="CA30" i="17" s="1"/>
  <c r="BY30" i="17"/>
  <c r="BZ29" i="17"/>
  <c r="BY29" i="17" s="1"/>
  <c r="BZ28" i="17"/>
  <c r="CA28" i="17" s="1"/>
  <c r="BZ27" i="17"/>
  <c r="CA27" i="17" s="1"/>
  <c r="CA26" i="17"/>
  <c r="BZ26" i="17"/>
  <c r="BY26" i="17" s="1"/>
  <c r="BZ24" i="17"/>
  <c r="BZ23" i="17"/>
  <c r="CA23" i="17" s="1"/>
  <c r="CA22" i="17"/>
  <c r="BZ22" i="17"/>
  <c r="BY22" i="17" s="1"/>
  <c r="CA21" i="17"/>
  <c r="BZ21" i="17"/>
  <c r="BY21" i="17"/>
  <c r="CA20" i="17"/>
  <c r="BZ20" i="17"/>
  <c r="BY20" i="17"/>
  <c r="BZ19" i="17"/>
  <c r="CA19" i="17" s="1"/>
  <c r="BY19" i="17"/>
  <c r="BZ17" i="17"/>
  <c r="CA16" i="17"/>
  <c r="BZ16" i="17"/>
  <c r="BY16" i="17"/>
  <c r="BZ15" i="17"/>
  <c r="CA15" i="17" s="1"/>
  <c r="BY15" i="17"/>
  <c r="BZ14" i="17"/>
  <c r="CA14" i="17" s="1"/>
  <c r="BY14" i="17"/>
  <c r="BZ13" i="17"/>
  <c r="BY13" i="17" s="1"/>
  <c r="BZ12" i="17"/>
  <c r="CA12" i="17" s="1"/>
  <c r="BZ10" i="17"/>
  <c r="CA5" i="17" s="1"/>
  <c r="BZ9" i="17"/>
  <c r="BY9" i="17" s="1"/>
  <c r="BZ8" i="17"/>
  <c r="CA8" i="17" s="1"/>
  <c r="BZ7" i="17"/>
  <c r="CA7" i="17" s="1"/>
  <c r="CA6" i="17"/>
  <c r="BZ6" i="17"/>
  <c r="BY6" i="17" s="1"/>
  <c r="BZ5" i="17"/>
  <c r="BY5" i="17"/>
  <c r="BV38" i="17"/>
  <c r="BV37" i="17"/>
  <c r="BW37" i="17" s="1"/>
  <c r="BU37" i="17"/>
  <c r="BW36" i="17"/>
  <c r="BV36" i="17"/>
  <c r="BU36" i="17"/>
  <c r="BV35" i="17"/>
  <c r="BW35" i="17" s="1"/>
  <c r="BV34" i="17"/>
  <c r="BW34" i="17" s="1"/>
  <c r="BU34" i="17"/>
  <c r="BV33" i="17"/>
  <c r="BU33" i="17" s="1"/>
  <c r="BV31" i="17"/>
  <c r="BV30" i="17"/>
  <c r="BW30" i="17" s="1"/>
  <c r="BU30" i="17"/>
  <c r="BV29" i="17"/>
  <c r="BU29" i="17" s="1"/>
  <c r="BW28" i="17"/>
  <c r="BV28" i="17"/>
  <c r="BU28" i="17" s="1"/>
  <c r="BV27" i="17"/>
  <c r="BW27" i="17" s="1"/>
  <c r="BW26" i="17"/>
  <c r="BV26" i="17"/>
  <c r="BU26" i="17"/>
  <c r="BV24" i="17"/>
  <c r="BV23" i="17"/>
  <c r="BW23" i="17" s="1"/>
  <c r="BW22" i="17"/>
  <c r="BV22" i="17"/>
  <c r="BU22" i="17"/>
  <c r="BV21" i="17"/>
  <c r="BW21" i="17" s="1"/>
  <c r="BU21" i="17"/>
  <c r="BW20" i="17"/>
  <c r="BV20" i="17"/>
  <c r="BU20" i="17"/>
  <c r="BV19" i="17"/>
  <c r="BW19" i="17" s="1"/>
  <c r="BV17" i="17"/>
  <c r="BW16" i="17"/>
  <c r="BV16" i="17"/>
  <c r="BU16" i="17"/>
  <c r="BV15" i="17"/>
  <c r="BW15" i="17" s="1"/>
  <c r="BV14" i="17"/>
  <c r="BW14" i="17" s="1"/>
  <c r="BU14" i="17"/>
  <c r="BV13" i="17"/>
  <c r="BU13" i="17" s="1"/>
  <c r="BW12" i="17"/>
  <c r="BV12" i="17"/>
  <c r="BU12" i="17"/>
  <c r="BV10" i="17"/>
  <c r="BW8" i="17" s="1"/>
  <c r="BV9" i="17"/>
  <c r="BU9" i="17" s="1"/>
  <c r="BV8" i="17"/>
  <c r="BU8" i="17"/>
  <c r="BV7" i="17"/>
  <c r="BW7" i="17" s="1"/>
  <c r="BW6" i="17"/>
  <c r="BV6" i="17"/>
  <c r="BU6" i="17"/>
  <c r="BV5" i="17"/>
  <c r="BW5" i="17" s="1"/>
  <c r="BU5" i="17"/>
  <c r="BR38" i="17"/>
  <c r="BS37" i="17"/>
  <c r="BR37" i="17"/>
  <c r="BQ37" i="17" s="1"/>
  <c r="BR36" i="17"/>
  <c r="BS36" i="17" s="1"/>
  <c r="BQ36" i="17"/>
  <c r="BR35" i="17"/>
  <c r="BS35" i="17" s="1"/>
  <c r="BQ35" i="17"/>
  <c r="BR34" i="17"/>
  <c r="BS34" i="17" s="1"/>
  <c r="BQ34" i="17"/>
  <c r="BR33" i="17"/>
  <c r="BQ33" i="17" s="1"/>
  <c r="BQ38" i="17" s="1"/>
  <c r="BR31" i="17"/>
  <c r="BR30" i="17"/>
  <c r="BS30" i="17" s="1"/>
  <c r="BQ30" i="17"/>
  <c r="BR29" i="17"/>
  <c r="BQ29" i="17" s="1"/>
  <c r="BR28" i="17"/>
  <c r="BS28" i="17" s="1"/>
  <c r="BR27" i="17"/>
  <c r="BS27" i="17" s="1"/>
  <c r="BQ27" i="17"/>
  <c r="BS26" i="17"/>
  <c r="BR26" i="17"/>
  <c r="BQ26" i="17"/>
  <c r="BR24" i="17"/>
  <c r="BR23" i="17"/>
  <c r="BS23" i="17" s="1"/>
  <c r="BQ23" i="17"/>
  <c r="BS22" i="17"/>
  <c r="BR22" i="17"/>
  <c r="BQ22" i="17"/>
  <c r="BS21" i="17"/>
  <c r="BR21" i="17"/>
  <c r="BQ21" i="17" s="1"/>
  <c r="BR20" i="17"/>
  <c r="BS20" i="17" s="1"/>
  <c r="BQ20" i="17"/>
  <c r="BR19" i="17"/>
  <c r="BS19" i="17" s="1"/>
  <c r="BQ19" i="17"/>
  <c r="BQ24" i="17" s="1"/>
  <c r="BR17" i="17"/>
  <c r="BR16" i="17"/>
  <c r="BS16" i="17" s="1"/>
  <c r="BQ16" i="17"/>
  <c r="BR15" i="17"/>
  <c r="BS15" i="17" s="1"/>
  <c r="BQ15" i="17"/>
  <c r="BS14" i="17"/>
  <c r="BR14" i="17"/>
  <c r="BQ14" i="17"/>
  <c r="BR13" i="17"/>
  <c r="BQ13" i="17" s="1"/>
  <c r="BR12" i="17"/>
  <c r="BS12" i="17" s="1"/>
  <c r="BR10" i="17"/>
  <c r="BR9" i="17"/>
  <c r="BQ9" i="17" s="1"/>
  <c r="BR8" i="17"/>
  <c r="BS8" i="17" s="1"/>
  <c r="BR7" i="17"/>
  <c r="BS7" i="17" s="1"/>
  <c r="BQ7" i="17"/>
  <c r="BS6" i="17"/>
  <c r="BR6" i="17"/>
  <c r="BQ6" i="17"/>
  <c r="BS5" i="17"/>
  <c r="BR5" i="17"/>
  <c r="BQ5" i="17" s="1"/>
  <c r="BN38" i="17"/>
  <c r="BN37" i="17"/>
  <c r="BO37" i="17" s="1"/>
  <c r="BM37" i="17"/>
  <c r="BO36" i="17"/>
  <c r="BN36" i="17"/>
  <c r="BM36" i="17"/>
  <c r="BN35" i="17"/>
  <c r="BO35" i="17" s="1"/>
  <c r="BN34" i="17"/>
  <c r="BO34" i="17" s="1"/>
  <c r="BM34" i="17"/>
  <c r="BN33" i="17"/>
  <c r="BM33" i="17" s="1"/>
  <c r="BN31" i="17"/>
  <c r="BN30" i="17"/>
  <c r="BO30" i="17" s="1"/>
  <c r="BM30" i="17"/>
  <c r="BN29" i="17"/>
  <c r="BM29" i="17" s="1"/>
  <c r="BN28" i="17"/>
  <c r="BO28" i="17" s="1"/>
  <c r="BM28" i="17"/>
  <c r="BN27" i="17"/>
  <c r="BO27" i="17" s="1"/>
  <c r="BO26" i="17"/>
  <c r="BN26" i="17"/>
  <c r="BM26" i="17" s="1"/>
  <c r="BN24" i="17"/>
  <c r="BN23" i="17"/>
  <c r="BO23" i="17" s="1"/>
  <c r="BO22" i="17"/>
  <c r="BN22" i="17"/>
  <c r="BM22" i="17" s="1"/>
  <c r="BN21" i="17"/>
  <c r="BO21" i="17" s="1"/>
  <c r="BM21" i="17"/>
  <c r="BO20" i="17"/>
  <c r="BN20" i="17"/>
  <c r="BM20" i="17"/>
  <c r="BO19" i="17"/>
  <c r="BN19" i="17"/>
  <c r="BM19" i="17"/>
  <c r="BN17" i="17"/>
  <c r="BO15" i="17" s="1"/>
  <c r="BO16" i="17"/>
  <c r="BN16" i="17"/>
  <c r="BM16" i="17"/>
  <c r="BN15" i="17"/>
  <c r="BM15" i="17"/>
  <c r="BN14" i="17"/>
  <c r="BO14" i="17" s="1"/>
  <c r="BM14" i="17"/>
  <c r="BN13" i="17"/>
  <c r="BM13" i="17" s="1"/>
  <c r="BM17" i="17" s="1"/>
  <c r="BN12" i="17"/>
  <c r="BO12" i="17" s="1"/>
  <c r="BM12" i="17"/>
  <c r="BN10" i="17"/>
  <c r="BN9" i="17"/>
  <c r="BM9" i="17" s="1"/>
  <c r="BN8" i="17"/>
  <c r="BO8" i="17" s="1"/>
  <c r="BM8" i="17"/>
  <c r="BN7" i="17"/>
  <c r="BO7" i="17" s="1"/>
  <c r="BO6" i="17"/>
  <c r="BN6" i="17"/>
  <c r="BM6" i="17" s="1"/>
  <c r="BN5" i="17"/>
  <c r="BO5" i="17" s="1"/>
  <c r="BM5" i="17"/>
  <c r="BJ38" i="17"/>
  <c r="BJ37" i="17"/>
  <c r="BK37" i="17" s="1"/>
  <c r="BI37" i="17"/>
  <c r="BJ36" i="17"/>
  <c r="BK36" i="17" s="1"/>
  <c r="BI36" i="17"/>
  <c r="BJ35" i="17"/>
  <c r="BK35" i="17" s="1"/>
  <c r="BJ34" i="17"/>
  <c r="BK34" i="17" s="1"/>
  <c r="BJ33" i="17"/>
  <c r="BI33" i="17" s="1"/>
  <c r="BJ31" i="17"/>
  <c r="BJ30" i="17"/>
  <c r="BK30" i="17" s="1"/>
  <c r="BJ29" i="17"/>
  <c r="BI29" i="17" s="1"/>
  <c r="BK28" i="17"/>
  <c r="BJ28" i="17"/>
  <c r="BI28" i="17"/>
  <c r="BK27" i="17"/>
  <c r="BJ27" i="17"/>
  <c r="BI27" i="17"/>
  <c r="BK26" i="17"/>
  <c r="BJ26" i="17"/>
  <c r="BI26" i="17"/>
  <c r="BJ24" i="17"/>
  <c r="BK23" i="17"/>
  <c r="BJ23" i="17"/>
  <c r="BI23" i="17"/>
  <c r="BK22" i="17"/>
  <c r="BJ22" i="17"/>
  <c r="BI22" i="17"/>
  <c r="BJ21" i="17"/>
  <c r="BK21" i="17" s="1"/>
  <c r="BI21" i="17"/>
  <c r="BJ20" i="17"/>
  <c r="BK20" i="17" s="1"/>
  <c r="BI20" i="17"/>
  <c r="BJ19" i="17"/>
  <c r="BK19" i="17" s="1"/>
  <c r="BJ17" i="17"/>
  <c r="BK12" i="17" s="1"/>
  <c r="BJ16" i="17"/>
  <c r="BK16" i="17" s="1"/>
  <c r="BI16" i="17"/>
  <c r="BJ15" i="17"/>
  <c r="BK15" i="17" s="1"/>
  <c r="BJ14" i="17"/>
  <c r="BK14" i="17" s="1"/>
  <c r="BJ13" i="17"/>
  <c r="BI13" i="17" s="1"/>
  <c r="BJ12" i="17"/>
  <c r="BI12" i="17"/>
  <c r="BJ10" i="17"/>
  <c r="BK8" i="17" s="1"/>
  <c r="BJ9" i="17"/>
  <c r="BI9" i="17" s="1"/>
  <c r="BJ8" i="17"/>
  <c r="BI8" i="17"/>
  <c r="BK7" i="17"/>
  <c r="BJ7" i="17"/>
  <c r="BI7" i="17"/>
  <c r="BK6" i="17"/>
  <c r="BJ6" i="17"/>
  <c r="BI6" i="17"/>
  <c r="BJ5" i="17"/>
  <c r="BK5" i="17" s="1"/>
  <c r="BI5" i="17"/>
  <c r="BI10" i="17" s="1"/>
  <c r="BF38" i="17"/>
  <c r="BF37" i="17"/>
  <c r="BG37" i="17" s="1"/>
  <c r="BF36" i="17"/>
  <c r="BG36" i="17" s="1"/>
  <c r="BE36" i="17"/>
  <c r="BF35" i="17"/>
  <c r="BG35" i="17" s="1"/>
  <c r="BG34" i="17"/>
  <c r="BF34" i="17"/>
  <c r="BE34" i="17"/>
  <c r="BF33" i="17"/>
  <c r="BE33" i="17" s="1"/>
  <c r="BF31" i="17"/>
  <c r="BG30" i="17"/>
  <c r="BF30" i="17"/>
  <c r="BE30" i="17"/>
  <c r="BF29" i="17"/>
  <c r="BE29" i="17" s="1"/>
  <c r="BG28" i="17"/>
  <c r="BF28" i="17"/>
  <c r="BE28" i="17"/>
  <c r="BF27" i="17"/>
  <c r="BG27" i="17" s="1"/>
  <c r="BE27" i="17"/>
  <c r="BG26" i="17"/>
  <c r="BF26" i="17"/>
  <c r="BE26" i="17"/>
  <c r="BF24" i="17"/>
  <c r="BF23" i="17"/>
  <c r="BG23" i="17" s="1"/>
  <c r="BE23" i="17"/>
  <c r="BG22" i="17"/>
  <c r="BF22" i="17"/>
  <c r="BE22" i="17"/>
  <c r="BF21" i="17"/>
  <c r="BG21" i="17" s="1"/>
  <c r="BF20" i="17"/>
  <c r="BG20" i="17" s="1"/>
  <c r="BE20" i="17"/>
  <c r="BF19" i="17"/>
  <c r="BG19" i="17" s="1"/>
  <c r="BF17" i="17"/>
  <c r="BG12" i="17" s="1"/>
  <c r="BF16" i="17"/>
  <c r="BG16" i="17" s="1"/>
  <c r="BE16" i="17"/>
  <c r="BF15" i="17"/>
  <c r="BG15" i="17" s="1"/>
  <c r="BG14" i="17"/>
  <c r="BF14" i="17"/>
  <c r="BE14" i="17"/>
  <c r="BF13" i="17"/>
  <c r="BE13" i="17" s="1"/>
  <c r="BF12" i="17"/>
  <c r="BE12" i="17"/>
  <c r="BF10" i="17"/>
  <c r="BF9" i="17"/>
  <c r="BE9" i="17" s="1"/>
  <c r="BG8" i="17"/>
  <c r="BF8" i="17"/>
  <c r="BE8" i="17"/>
  <c r="BF7" i="17"/>
  <c r="BG7" i="17" s="1"/>
  <c r="BE7" i="17"/>
  <c r="BG6" i="17"/>
  <c r="BF6" i="17"/>
  <c r="BE6" i="17"/>
  <c r="BF5" i="17"/>
  <c r="BG5" i="17" s="1"/>
  <c r="BB38" i="17"/>
  <c r="BC37" i="17" s="1"/>
  <c r="BB37" i="17"/>
  <c r="BA37" i="17" s="1"/>
  <c r="BB36" i="17"/>
  <c r="BC36" i="17" s="1"/>
  <c r="BA36" i="17"/>
  <c r="BC35" i="17"/>
  <c r="BB35" i="17"/>
  <c r="BA35" i="17"/>
  <c r="BB34" i="17"/>
  <c r="BA34" i="17"/>
  <c r="BB33" i="17"/>
  <c r="BA33" i="17" s="1"/>
  <c r="BA38" i="17" s="1"/>
  <c r="BB31" i="17"/>
  <c r="BC30" i="17"/>
  <c r="BB30" i="17"/>
  <c r="BA30" i="17"/>
  <c r="BB29" i="17"/>
  <c r="BA29" i="17" s="1"/>
  <c r="BB28" i="17"/>
  <c r="BC28" i="17" s="1"/>
  <c r="BB27" i="17"/>
  <c r="BC27" i="17" s="1"/>
  <c r="BC26" i="17"/>
  <c r="BB26" i="17"/>
  <c r="BA26" i="17" s="1"/>
  <c r="BB24" i="17"/>
  <c r="BC20" i="17" s="1"/>
  <c r="BB23" i="17"/>
  <c r="BC23" i="17" s="1"/>
  <c r="BC22" i="17"/>
  <c r="BB22" i="17"/>
  <c r="BA22" i="17" s="1"/>
  <c r="BC21" i="17"/>
  <c r="BB21" i="17"/>
  <c r="BA21" i="17" s="1"/>
  <c r="BB20" i="17"/>
  <c r="BA20" i="17"/>
  <c r="BC19" i="17"/>
  <c r="BB19" i="17"/>
  <c r="BA19" i="17"/>
  <c r="BB17" i="17"/>
  <c r="BC16" i="17"/>
  <c r="BB16" i="17"/>
  <c r="BA16" i="17"/>
  <c r="BC15" i="17"/>
  <c r="BB15" i="17"/>
  <c r="BA15" i="17"/>
  <c r="BC14" i="17"/>
  <c r="BB14" i="17"/>
  <c r="BA14" i="17"/>
  <c r="BB13" i="17"/>
  <c r="BC13" i="17" s="1"/>
  <c r="BA13" i="17"/>
  <c r="BB12" i="17"/>
  <c r="BC12" i="17" s="1"/>
  <c r="BB10" i="17"/>
  <c r="BB9" i="17"/>
  <c r="BC9" i="17" s="1"/>
  <c r="BA9" i="17"/>
  <c r="BB8" i="17"/>
  <c r="BC8" i="17" s="1"/>
  <c r="BB7" i="17"/>
  <c r="BC7" i="17" s="1"/>
  <c r="BB6" i="17"/>
  <c r="BA6" i="17" s="1"/>
  <c r="BC5" i="17"/>
  <c r="BB5" i="17"/>
  <c r="BA5" i="17" s="1"/>
  <c r="AX38" i="17"/>
  <c r="AY37" i="17"/>
  <c r="AX37" i="17"/>
  <c r="AW37" i="17"/>
  <c r="AY36" i="17"/>
  <c r="AX36" i="17"/>
  <c r="AW36" i="17"/>
  <c r="AX35" i="17"/>
  <c r="AY35" i="17" s="1"/>
  <c r="AW35" i="17"/>
  <c r="AX34" i="17"/>
  <c r="AY34" i="17" s="1"/>
  <c r="AW34" i="17"/>
  <c r="AX33" i="17"/>
  <c r="AW33" i="17" s="1"/>
  <c r="AW38" i="17" s="1"/>
  <c r="AX31" i="17"/>
  <c r="AX30" i="17"/>
  <c r="AY30" i="17" s="1"/>
  <c r="AW30" i="17"/>
  <c r="AX29" i="17"/>
  <c r="AW29" i="17" s="1"/>
  <c r="AX28" i="17"/>
  <c r="AY28" i="17" s="1"/>
  <c r="AX27" i="17"/>
  <c r="AY27" i="17" s="1"/>
  <c r="AY26" i="17"/>
  <c r="AX26" i="17"/>
  <c r="AW26" i="17"/>
  <c r="AX24" i="17"/>
  <c r="AX23" i="17"/>
  <c r="AY23" i="17" s="1"/>
  <c r="AY22" i="17"/>
  <c r="AX22" i="17"/>
  <c r="AW22" i="17"/>
  <c r="AY21" i="17"/>
  <c r="AX21" i="17"/>
  <c r="AW21" i="17"/>
  <c r="AY20" i="17"/>
  <c r="AX20" i="17"/>
  <c r="AW20" i="17"/>
  <c r="AX19" i="17"/>
  <c r="AY19" i="17" s="1"/>
  <c r="AW19" i="17"/>
  <c r="AX17" i="17"/>
  <c r="AY16" i="17"/>
  <c r="AX16" i="17"/>
  <c r="AW16" i="17"/>
  <c r="AX15" i="17"/>
  <c r="AY15" i="17" s="1"/>
  <c r="AW15" i="17"/>
  <c r="AX14" i="17"/>
  <c r="AY14" i="17" s="1"/>
  <c r="AW14" i="17"/>
  <c r="AX13" i="17"/>
  <c r="AW13" i="17" s="1"/>
  <c r="AX12" i="17"/>
  <c r="AY12" i="17" s="1"/>
  <c r="AX10" i="17"/>
  <c r="AX9" i="17"/>
  <c r="AW9" i="17" s="1"/>
  <c r="AX8" i="17"/>
  <c r="AY8" i="17" s="1"/>
  <c r="AX7" i="17"/>
  <c r="AY7" i="17" s="1"/>
  <c r="AY6" i="17"/>
  <c r="AX6" i="17"/>
  <c r="AW6" i="17"/>
  <c r="AY5" i="17"/>
  <c r="AX5" i="17"/>
  <c r="AW5" i="17"/>
  <c r="AT38" i="17"/>
  <c r="AT37" i="17"/>
  <c r="AU37" i="17" s="1"/>
  <c r="AU36" i="17"/>
  <c r="AT36" i="17"/>
  <c r="AS36" i="17"/>
  <c r="AT35" i="17"/>
  <c r="AU35" i="17" s="1"/>
  <c r="AU34" i="17"/>
  <c r="AT34" i="17"/>
  <c r="AS34" i="17"/>
  <c r="AT33" i="17"/>
  <c r="AS33" i="17" s="1"/>
  <c r="AT31" i="17"/>
  <c r="AU30" i="17"/>
  <c r="AT30" i="17"/>
  <c r="AS30" i="17"/>
  <c r="AT29" i="17"/>
  <c r="AS29" i="17" s="1"/>
  <c r="AT28" i="17"/>
  <c r="AU28" i="17" s="1"/>
  <c r="AS28" i="17"/>
  <c r="AT27" i="17"/>
  <c r="AU27" i="17" s="1"/>
  <c r="AU26" i="17"/>
  <c r="AT26" i="17"/>
  <c r="AS26" i="17" s="1"/>
  <c r="AT24" i="17"/>
  <c r="AT23" i="17"/>
  <c r="AU23" i="17" s="1"/>
  <c r="AU22" i="17"/>
  <c r="AT22" i="17"/>
  <c r="AS22" i="17" s="1"/>
  <c r="AT21" i="17"/>
  <c r="AU21" i="17" s="1"/>
  <c r="AU20" i="17"/>
  <c r="AT20" i="17"/>
  <c r="AS20" i="17"/>
  <c r="AU19" i="17"/>
  <c r="AT19" i="17"/>
  <c r="AS19" i="17"/>
  <c r="AT17" i="17"/>
  <c r="AU15" i="17" s="1"/>
  <c r="AU16" i="17"/>
  <c r="AT16" i="17"/>
  <c r="AS16" i="17"/>
  <c r="AT15" i="17"/>
  <c r="AS15" i="17"/>
  <c r="AU14" i="17"/>
  <c r="AT14" i="17"/>
  <c r="AS14" i="17"/>
  <c r="AT13" i="17"/>
  <c r="AS13" i="17" s="1"/>
  <c r="AT12" i="17"/>
  <c r="AU12" i="17" s="1"/>
  <c r="AS12" i="17"/>
  <c r="AS17" i="17" s="1"/>
  <c r="AT10" i="17"/>
  <c r="AT9" i="17"/>
  <c r="AS9" i="17" s="1"/>
  <c r="AT8" i="17"/>
  <c r="AU8" i="17" s="1"/>
  <c r="AS8" i="17"/>
  <c r="AT7" i="17"/>
  <c r="AU7" i="17" s="1"/>
  <c r="AU6" i="17"/>
  <c r="AT6" i="17"/>
  <c r="AS6" i="17" s="1"/>
  <c r="AT5" i="17"/>
  <c r="AU5" i="17" s="1"/>
  <c r="AP38" i="17"/>
  <c r="AP37" i="17"/>
  <c r="AQ37" i="17" s="1"/>
  <c r="AP36" i="17"/>
  <c r="AQ36" i="17" s="1"/>
  <c r="AO36" i="17"/>
  <c r="AP35" i="17"/>
  <c r="AQ35" i="17" s="1"/>
  <c r="AQ34" i="17"/>
  <c r="AP34" i="17"/>
  <c r="AO34" i="17" s="1"/>
  <c r="AP33" i="17"/>
  <c r="AO33" i="17" s="1"/>
  <c r="AP31" i="17"/>
  <c r="AQ30" i="17"/>
  <c r="AP30" i="17"/>
  <c r="AO30" i="17" s="1"/>
  <c r="AP29" i="17"/>
  <c r="AO29" i="17" s="1"/>
  <c r="AQ28" i="17"/>
  <c r="AP28" i="17"/>
  <c r="AO28" i="17"/>
  <c r="AQ27" i="17"/>
  <c r="AP27" i="17"/>
  <c r="AO27" i="17"/>
  <c r="AQ26" i="17"/>
  <c r="AP26" i="17"/>
  <c r="AO26" i="17"/>
  <c r="AO31" i="17" s="1"/>
  <c r="AP24" i="17"/>
  <c r="AQ23" i="17"/>
  <c r="AP23" i="17"/>
  <c r="AO23" i="17"/>
  <c r="AQ22" i="17"/>
  <c r="AP22" i="17"/>
  <c r="AO22" i="17"/>
  <c r="AP21" i="17"/>
  <c r="AQ21" i="17" s="1"/>
  <c r="AP20" i="17"/>
  <c r="AQ20" i="17" s="1"/>
  <c r="AO20" i="17"/>
  <c r="AP19" i="17"/>
  <c r="AQ19" i="17" s="1"/>
  <c r="AP17" i="17"/>
  <c r="AQ12" i="17" s="1"/>
  <c r="AP16" i="17"/>
  <c r="AQ16" i="17" s="1"/>
  <c r="AO16" i="17"/>
  <c r="AP15" i="17"/>
  <c r="AQ15" i="17" s="1"/>
  <c r="AP14" i="17"/>
  <c r="AO14" i="17" s="1"/>
  <c r="AP13" i="17"/>
  <c r="AO13" i="17" s="1"/>
  <c r="AP12" i="17"/>
  <c r="AO12" i="17"/>
  <c r="AP10" i="17"/>
  <c r="AQ8" i="17" s="1"/>
  <c r="AP9" i="17"/>
  <c r="AO9" i="17" s="1"/>
  <c r="AP8" i="17"/>
  <c r="AO8" i="17"/>
  <c r="AQ7" i="17"/>
  <c r="AP7" i="17"/>
  <c r="AO7" i="17"/>
  <c r="AQ6" i="17"/>
  <c r="AP6" i="17"/>
  <c r="AO6" i="17"/>
  <c r="AP5" i="17"/>
  <c r="AQ5" i="17" s="1"/>
  <c r="AL38" i="17"/>
  <c r="AL37" i="17"/>
  <c r="AM37" i="17" s="1"/>
  <c r="AL36" i="17"/>
  <c r="AM36" i="17" s="1"/>
  <c r="AK36" i="17"/>
  <c r="AL35" i="17"/>
  <c r="AM35" i="17" s="1"/>
  <c r="AL34" i="17"/>
  <c r="AM34" i="17" s="1"/>
  <c r="AK34" i="17"/>
  <c r="AL33" i="17"/>
  <c r="AK33" i="17" s="1"/>
  <c r="AL31" i="17"/>
  <c r="AL30" i="17"/>
  <c r="AM30" i="17" s="1"/>
  <c r="AK30" i="17"/>
  <c r="AL29" i="17"/>
  <c r="AK29" i="17" s="1"/>
  <c r="AM28" i="17"/>
  <c r="AL28" i="17"/>
  <c r="AK28" i="17"/>
  <c r="AL27" i="17"/>
  <c r="AM27" i="17" s="1"/>
  <c r="AK27" i="17"/>
  <c r="AM26" i="17"/>
  <c r="AL26" i="17"/>
  <c r="AK26" i="17"/>
  <c r="AL24" i="17"/>
  <c r="AL23" i="17"/>
  <c r="AM23" i="17" s="1"/>
  <c r="AK23" i="17"/>
  <c r="AM22" i="17"/>
  <c r="AL22" i="17"/>
  <c r="AK22" i="17"/>
  <c r="AL21" i="17"/>
  <c r="AM21" i="17" s="1"/>
  <c r="AK21" i="17"/>
  <c r="AL20" i="17"/>
  <c r="AM20" i="17" s="1"/>
  <c r="AK20" i="17"/>
  <c r="AL19" i="17"/>
  <c r="AM19" i="17" s="1"/>
  <c r="AL17" i="17"/>
  <c r="AL16" i="17"/>
  <c r="AM16" i="17" s="1"/>
  <c r="AK16" i="17"/>
  <c r="AL15" i="17"/>
  <c r="AM15" i="17" s="1"/>
  <c r="AL14" i="17"/>
  <c r="AM14" i="17" s="1"/>
  <c r="AK14" i="17"/>
  <c r="AL13" i="17"/>
  <c r="AK13" i="17" s="1"/>
  <c r="AM12" i="17"/>
  <c r="AL12" i="17"/>
  <c r="AK12" i="17"/>
  <c r="AL10" i="17"/>
  <c r="AL9" i="17"/>
  <c r="AK9" i="17" s="1"/>
  <c r="AM8" i="17"/>
  <c r="AL8" i="17"/>
  <c r="AK8" i="17"/>
  <c r="AL7" i="17"/>
  <c r="AM7" i="17" s="1"/>
  <c r="AK7" i="17"/>
  <c r="AK10" i="17" s="1"/>
  <c r="AM6" i="17"/>
  <c r="AL6" i="17"/>
  <c r="AK6" i="17"/>
  <c r="AL5" i="17"/>
  <c r="AM5" i="17" s="1"/>
  <c r="AK5" i="17"/>
  <c r="AH38" i="17"/>
  <c r="AH37" i="17"/>
  <c r="AI37" i="17" s="1"/>
  <c r="AG37" i="17"/>
  <c r="AI36" i="17"/>
  <c r="AH36" i="17"/>
  <c r="AG36" i="17"/>
  <c r="AH35" i="17"/>
  <c r="AI35" i="17" s="1"/>
  <c r="AH34" i="17"/>
  <c r="AI34" i="17" s="1"/>
  <c r="AG34" i="17"/>
  <c r="AH33" i="17"/>
  <c r="AG33" i="17" s="1"/>
  <c r="AH31" i="17"/>
  <c r="AH30" i="17"/>
  <c r="AI30" i="17" s="1"/>
  <c r="AG30" i="17"/>
  <c r="AH29" i="17"/>
  <c r="AG29" i="17" s="1"/>
  <c r="AH28" i="17"/>
  <c r="AI28" i="17" s="1"/>
  <c r="AH27" i="17"/>
  <c r="AI27" i="17" s="1"/>
  <c r="AI26" i="17"/>
  <c r="AH26" i="17"/>
  <c r="AG26" i="17"/>
  <c r="AH24" i="17"/>
  <c r="AH23" i="17"/>
  <c r="AI23" i="17" s="1"/>
  <c r="AI22" i="17"/>
  <c r="AH22" i="17"/>
  <c r="AG22" i="17"/>
  <c r="AH21" i="17"/>
  <c r="AI21" i="17" s="1"/>
  <c r="AG21" i="17"/>
  <c r="AI20" i="17"/>
  <c r="AH20" i="17"/>
  <c r="AG20" i="17"/>
  <c r="AH19" i="17"/>
  <c r="AI19" i="17" s="1"/>
  <c r="AH17" i="17"/>
  <c r="AI16" i="17"/>
  <c r="AH16" i="17"/>
  <c r="AG16" i="17"/>
  <c r="AH15" i="17"/>
  <c r="AI15" i="17" s="1"/>
  <c r="AH14" i="17"/>
  <c r="AI14" i="17" s="1"/>
  <c r="AG14" i="17"/>
  <c r="AH13" i="17"/>
  <c r="AG13" i="17" s="1"/>
  <c r="AH12" i="17"/>
  <c r="AI12" i="17" s="1"/>
  <c r="AH10" i="17"/>
  <c r="AI5" i="17" s="1"/>
  <c r="AH9" i="17"/>
  <c r="AG9" i="17" s="1"/>
  <c r="AH8" i="17"/>
  <c r="AI8" i="17" s="1"/>
  <c r="AH7" i="17"/>
  <c r="AI7" i="17" s="1"/>
  <c r="AI6" i="17"/>
  <c r="AH6" i="17"/>
  <c r="AG6" i="17"/>
  <c r="AH5" i="17"/>
  <c r="AG5" i="17"/>
  <c r="AD38" i="17"/>
  <c r="AD37" i="17"/>
  <c r="AE37" i="17" s="1"/>
  <c r="AD36" i="17"/>
  <c r="AE36" i="17" s="1"/>
  <c r="AC36" i="17"/>
  <c r="AD35" i="17"/>
  <c r="AE35" i="17" s="1"/>
  <c r="AE34" i="17"/>
  <c r="AD34" i="17"/>
  <c r="AC34" i="17"/>
  <c r="AD33" i="17"/>
  <c r="AC33" i="17" s="1"/>
  <c r="AD31" i="17"/>
  <c r="AE30" i="17"/>
  <c r="AD30" i="17"/>
  <c r="AC30" i="17"/>
  <c r="AD29" i="17"/>
  <c r="AC29" i="17" s="1"/>
  <c r="AD28" i="17"/>
  <c r="AE28" i="17" s="1"/>
  <c r="AC28" i="17"/>
  <c r="AD27" i="17"/>
  <c r="AE27" i="17" s="1"/>
  <c r="AC27" i="17"/>
  <c r="AE26" i="17"/>
  <c r="AD26" i="17"/>
  <c r="AC26" i="17"/>
  <c r="AD24" i="17"/>
  <c r="AD23" i="17"/>
  <c r="AE23" i="17" s="1"/>
  <c r="AC23" i="17"/>
  <c r="AE22" i="17"/>
  <c r="AD22" i="17"/>
  <c r="AC22" i="17"/>
  <c r="AD21" i="17"/>
  <c r="AE21" i="17" s="1"/>
  <c r="AD20" i="17"/>
  <c r="AE20" i="17" s="1"/>
  <c r="AC20" i="17"/>
  <c r="AD19" i="17"/>
  <c r="AE19" i="17" s="1"/>
  <c r="AD17" i="17"/>
  <c r="AE12" i="17" s="1"/>
  <c r="AD16" i="17"/>
  <c r="AE16" i="17" s="1"/>
  <c r="AC16" i="17"/>
  <c r="AD15" i="17"/>
  <c r="AE15" i="17" s="1"/>
  <c r="AE14" i="17"/>
  <c r="AD14" i="17"/>
  <c r="AC14" i="17"/>
  <c r="AD13" i="17"/>
  <c r="AC13" i="17" s="1"/>
  <c r="AD12" i="17"/>
  <c r="AC12" i="17"/>
  <c r="AD10" i="17"/>
  <c r="AD9" i="17"/>
  <c r="AC9" i="17" s="1"/>
  <c r="AE8" i="17"/>
  <c r="AD8" i="17"/>
  <c r="AC8" i="17"/>
  <c r="AD7" i="17"/>
  <c r="AE7" i="17" s="1"/>
  <c r="AC7" i="17"/>
  <c r="AE6" i="17"/>
  <c r="AD6" i="17"/>
  <c r="AC6" i="17"/>
  <c r="AD5" i="17"/>
  <c r="AE5" i="17" s="1"/>
  <c r="Z38" i="17"/>
  <c r="Z37" i="17"/>
  <c r="AA37" i="17" s="1"/>
  <c r="Z36" i="17"/>
  <c r="AA36" i="17" s="1"/>
  <c r="Y36" i="17"/>
  <c r="Z35" i="17"/>
  <c r="AA35" i="17" s="1"/>
  <c r="AA34" i="17"/>
  <c r="Z34" i="17"/>
  <c r="Y34" i="17"/>
  <c r="Z33" i="17"/>
  <c r="Y33" i="17" s="1"/>
  <c r="Z31" i="17"/>
  <c r="AA30" i="17"/>
  <c r="Z30" i="17"/>
  <c r="Y30" i="17"/>
  <c r="Z29" i="17"/>
  <c r="Y29" i="17" s="1"/>
  <c r="AA28" i="17"/>
  <c r="Z28" i="17"/>
  <c r="Y28" i="17"/>
  <c r="Z27" i="17"/>
  <c r="AA27" i="17" s="1"/>
  <c r="Y27" i="17"/>
  <c r="AA26" i="17"/>
  <c r="Z26" i="17"/>
  <c r="Y26" i="17"/>
  <c r="Z24" i="17"/>
  <c r="Z23" i="17"/>
  <c r="AA23" i="17" s="1"/>
  <c r="Y23" i="17"/>
  <c r="AA22" i="17"/>
  <c r="Z22" i="17"/>
  <c r="Y22" i="17"/>
  <c r="Z21" i="17"/>
  <c r="AA21" i="17" s="1"/>
  <c r="Z20" i="17"/>
  <c r="AA20" i="17" s="1"/>
  <c r="Y20" i="17"/>
  <c r="Z19" i="17"/>
  <c r="AA19" i="17" s="1"/>
  <c r="Z17" i="17"/>
  <c r="AA12" i="17" s="1"/>
  <c r="Z16" i="17"/>
  <c r="AA16" i="17" s="1"/>
  <c r="Y16" i="17"/>
  <c r="Z15" i="17"/>
  <c r="AA15" i="17" s="1"/>
  <c r="AA14" i="17"/>
  <c r="Z14" i="17"/>
  <c r="Y14" i="17"/>
  <c r="Z13" i="17"/>
  <c r="Y13" i="17" s="1"/>
  <c r="Z12" i="17"/>
  <c r="Y12" i="17"/>
  <c r="Z10" i="17"/>
  <c r="Z9" i="17"/>
  <c r="Y9" i="17" s="1"/>
  <c r="AA8" i="17"/>
  <c r="Z8" i="17"/>
  <c r="Y8" i="17"/>
  <c r="Z7" i="17"/>
  <c r="AA7" i="17" s="1"/>
  <c r="Y7" i="17"/>
  <c r="AA6" i="17"/>
  <c r="Z6" i="17"/>
  <c r="Y6" i="17"/>
  <c r="Z5" i="17"/>
  <c r="AA5" i="17" s="1"/>
  <c r="V38" i="17"/>
  <c r="V37" i="17"/>
  <c r="W37" i="17" s="1"/>
  <c r="V36" i="17"/>
  <c r="W36" i="17" s="1"/>
  <c r="U36" i="17"/>
  <c r="V35" i="17"/>
  <c r="W35" i="17" s="1"/>
  <c r="W34" i="17"/>
  <c r="V34" i="17"/>
  <c r="U34" i="17"/>
  <c r="V33" i="17"/>
  <c r="U33" i="17" s="1"/>
  <c r="V31" i="17"/>
  <c r="V30" i="17"/>
  <c r="W30" i="17" s="1"/>
  <c r="U30" i="17"/>
  <c r="V29" i="17"/>
  <c r="U29" i="17" s="1"/>
  <c r="V28" i="17"/>
  <c r="W28" i="17" s="1"/>
  <c r="V27" i="17"/>
  <c r="W27" i="17" s="1"/>
  <c r="U27" i="17"/>
  <c r="W26" i="17"/>
  <c r="V26" i="17"/>
  <c r="U26" i="17"/>
  <c r="V24" i="17"/>
  <c r="V23" i="17"/>
  <c r="W23" i="17" s="1"/>
  <c r="U23" i="17"/>
  <c r="W22" i="17"/>
  <c r="V22" i="17"/>
  <c r="U22" i="17"/>
  <c r="W21" i="17"/>
  <c r="V21" i="17"/>
  <c r="U21" i="17" s="1"/>
  <c r="V20" i="17"/>
  <c r="W20" i="17" s="1"/>
  <c r="U20" i="17"/>
  <c r="V19" i="17"/>
  <c r="W19" i="17" s="1"/>
  <c r="U19" i="17"/>
  <c r="V17" i="17"/>
  <c r="V16" i="17"/>
  <c r="W16" i="17" s="1"/>
  <c r="U16" i="17"/>
  <c r="V15" i="17"/>
  <c r="W15" i="17" s="1"/>
  <c r="U15" i="17"/>
  <c r="W14" i="17"/>
  <c r="V14" i="17"/>
  <c r="U14" i="17"/>
  <c r="V13" i="17"/>
  <c r="U13" i="17" s="1"/>
  <c r="V12" i="17"/>
  <c r="W12" i="17" s="1"/>
  <c r="V10" i="17"/>
  <c r="V9" i="17"/>
  <c r="U9" i="17" s="1"/>
  <c r="V8" i="17"/>
  <c r="W8" i="17" s="1"/>
  <c r="V7" i="17"/>
  <c r="W7" i="17" s="1"/>
  <c r="U7" i="17"/>
  <c r="W6" i="17"/>
  <c r="V6" i="17"/>
  <c r="U6" i="17"/>
  <c r="W5" i="17"/>
  <c r="V5" i="17"/>
  <c r="U5" i="17" s="1"/>
  <c r="R38" i="17"/>
  <c r="R37" i="17"/>
  <c r="S37" i="17" s="1"/>
  <c r="Q37" i="17"/>
  <c r="S36" i="17"/>
  <c r="R36" i="17"/>
  <c r="Q36" i="17"/>
  <c r="R35" i="17"/>
  <c r="S35" i="17" s="1"/>
  <c r="R34" i="17"/>
  <c r="S34" i="17" s="1"/>
  <c r="Q34" i="17"/>
  <c r="R33" i="17"/>
  <c r="Q33" i="17" s="1"/>
  <c r="R31" i="17"/>
  <c r="R30" i="17"/>
  <c r="S30" i="17" s="1"/>
  <c r="Q30" i="17"/>
  <c r="R29" i="17"/>
  <c r="Q29" i="17" s="1"/>
  <c r="R28" i="17"/>
  <c r="S28" i="17" s="1"/>
  <c r="R27" i="17"/>
  <c r="S27" i="17" s="1"/>
  <c r="S26" i="17"/>
  <c r="R26" i="17"/>
  <c r="Q26" i="17"/>
  <c r="R24" i="17"/>
  <c r="R23" i="17"/>
  <c r="S23" i="17" s="1"/>
  <c r="S22" i="17"/>
  <c r="R22" i="17"/>
  <c r="Q22" i="17"/>
  <c r="S21" i="17"/>
  <c r="R21" i="17"/>
  <c r="Q21" i="17"/>
  <c r="S20" i="17"/>
  <c r="R20" i="17"/>
  <c r="Q20" i="17"/>
  <c r="R19" i="17"/>
  <c r="S19" i="17" s="1"/>
  <c r="Q19" i="17"/>
  <c r="R17" i="17"/>
  <c r="S16" i="17"/>
  <c r="R16" i="17"/>
  <c r="Q16" i="17"/>
  <c r="R15" i="17"/>
  <c r="S15" i="17" s="1"/>
  <c r="Q15" i="17"/>
  <c r="R14" i="17"/>
  <c r="S14" i="17" s="1"/>
  <c r="Q14" i="17"/>
  <c r="R13" i="17"/>
  <c r="Q13" i="17" s="1"/>
  <c r="R12" i="17"/>
  <c r="S12" i="17" s="1"/>
  <c r="R10" i="17"/>
  <c r="S5" i="17" s="1"/>
  <c r="R9" i="17"/>
  <c r="Q9" i="17" s="1"/>
  <c r="R8" i="17"/>
  <c r="S8" i="17" s="1"/>
  <c r="R7" i="17"/>
  <c r="S7" i="17" s="1"/>
  <c r="S6" i="17"/>
  <c r="R6" i="17"/>
  <c r="Q6" i="17"/>
  <c r="R5" i="17"/>
  <c r="Q5" i="17"/>
  <c r="N38" i="17"/>
  <c r="N37" i="17"/>
  <c r="O37" i="17" s="1"/>
  <c r="O36" i="17"/>
  <c r="N36" i="17"/>
  <c r="M36" i="17"/>
  <c r="N35" i="17"/>
  <c r="O35" i="17" s="1"/>
  <c r="O34" i="17"/>
  <c r="N34" i="17"/>
  <c r="M34" i="17"/>
  <c r="N33" i="17"/>
  <c r="M33" i="17" s="1"/>
  <c r="N31" i="17"/>
  <c r="O30" i="17"/>
  <c r="N30" i="17"/>
  <c r="M30" i="17"/>
  <c r="N29" i="17"/>
  <c r="M29" i="17" s="1"/>
  <c r="O28" i="17"/>
  <c r="N28" i="17"/>
  <c r="M28" i="17"/>
  <c r="N27" i="17"/>
  <c r="O27" i="17" s="1"/>
  <c r="O26" i="17"/>
  <c r="N26" i="17"/>
  <c r="M26" i="17"/>
  <c r="N24" i="17"/>
  <c r="N23" i="17"/>
  <c r="O23" i="17" s="1"/>
  <c r="M23" i="17"/>
  <c r="O22" i="17"/>
  <c r="N22" i="17"/>
  <c r="M22" i="17"/>
  <c r="N21" i="17"/>
  <c r="O21" i="17" s="1"/>
  <c r="N20" i="17"/>
  <c r="O20" i="17" s="1"/>
  <c r="M20" i="17"/>
  <c r="N19" i="17"/>
  <c r="O19" i="17" s="1"/>
  <c r="N17" i="17"/>
  <c r="O12" i="17" s="1"/>
  <c r="N16" i="17"/>
  <c r="O16" i="17" s="1"/>
  <c r="M16" i="17"/>
  <c r="N15" i="17"/>
  <c r="O15" i="17" s="1"/>
  <c r="N14" i="17"/>
  <c r="O14" i="17" s="1"/>
  <c r="M14" i="17"/>
  <c r="N13" i="17"/>
  <c r="M13" i="17" s="1"/>
  <c r="N12" i="17"/>
  <c r="M12" i="17"/>
  <c r="N10" i="17"/>
  <c r="O8" i="17" s="1"/>
  <c r="N9" i="17"/>
  <c r="M9" i="17" s="1"/>
  <c r="N8" i="17"/>
  <c r="M8" i="17"/>
  <c r="N7" i="17"/>
  <c r="O7" i="17" s="1"/>
  <c r="M7" i="17"/>
  <c r="M10" i="17" s="1"/>
  <c r="O6" i="17"/>
  <c r="N6" i="17"/>
  <c r="M6" i="17"/>
  <c r="N5" i="17"/>
  <c r="O5" i="17" s="1"/>
  <c r="M5" i="17"/>
  <c r="J38" i="17"/>
  <c r="J37" i="17"/>
  <c r="J36" i="17"/>
  <c r="K36" i="17" s="1"/>
  <c r="J35" i="17"/>
  <c r="J34" i="17"/>
  <c r="K34" i="17" s="1"/>
  <c r="J33" i="17"/>
  <c r="J31" i="17"/>
  <c r="J30" i="17"/>
  <c r="J29" i="17"/>
  <c r="J28" i="17"/>
  <c r="J27" i="17"/>
  <c r="I27" i="17" s="1"/>
  <c r="J26" i="17"/>
  <c r="I26" i="17" s="1"/>
  <c r="J24" i="17"/>
  <c r="J23" i="17"/>
  <c r="J22" i="17"/>
  <c r="J21" i="17"/>
  <c r="K21" i="17" s="1"/>
  <c r="J20" i="17"/>
  <c r="K20" i="17" s="1"/>
  <c r="J19" i="17"/>
  <c r="I19" i="17" s="1"/>
  <c r="J17" i="17"/>
  <c r="K16" i="17" s="1"/>
  <c r="J16" i="17"/>
  <c r="J15" i="17"/>
  <c r="J14" i="17"/>
  <c r="J13" i="17"/>
  <c r="J12" i="17"/>
  <c r="K5" i="17"/>
  <c r="J10" i="17"/>
  <c r="J9" i="17"/>
  <c r="K9" i="17" s="1"/>
  <c r="J8" i="17"/>
  <c r="J7" i="17"/>
  <c r="J6" i="17"/>
  <c r="J5" i="17"/>
  <c r="I5" i="17" s="1"/>
  <c r="K37" i="17"/>
  <c r="K35" i="17"/>
  <c r="I33" i="17"/>
  <c r="K30" i="17"/>
  <c r="I30" i="17"/>
  <c r="K29" i="17"/>
  <c r="I29" i="17"/>
  <c r="K28" i="17"/>
  <c r="K27" i="17"/>
  <c r="K23" i="17"/>
  <c r="K22" i="17"/>
  <c r="I22" i="17"/>
  <c r="I16" i="17"/>
  <c r="I15" i="17"/>
  <c r="I14" i="17"/>
  <c r="K13" i="17"/>
  <c r="I12" i="17"/>
  <c r="I6" i="17"/>
  <c r="H6" i="12"/>
  <c r="D16" i="17"/>
  <c r="D23" i="17" s="1"/>
  <c r="D30" i="17" s="1"/>
  <c r="D37" i="17" s="1"/>
  <c r="D15" i="17"/>
  <c r="D22" i="17" s="1"/>
  <c r="D29" i="17" s="1"/>
  <c r="D14" i="17"/>
  <c r="D21" i="17" s="1"/>
  <c r="D13" i="17"/>
  <c r="D20" i="17" s="1"/>
  <c r="D27" i="17" s="1"/>
  <c r="D34" i="17" s="1"/>
  <c r="D12" i="17"/>
  <c r="D19" i="17" s="1"/>
  <c r="D26" i="17" s="1"/>
  <c r="D33" i="17" s="1"/>
  <c r="H8" i="14"/>
  <c r="F12" i="14"/>
  <c r="F10" i="14"/>
  <c r="F8" i="14"/>
  <c r="E8" i="11"/>
  <c r="C18" i="4"/>
  <c r="C22" i="4"/>
  <c r="C20" i="4"/>
  <c r="CG7" i="17" l="1"/>
  <c r="CI9" i="17"/>
  <c r="CI13" i="17"/>
  <c r="CG23" i="17"/>
  <c r="CG27" i="17"/>
  <c r="CG31" i="17" s="1"/>
  <c r="CI29" i="17"/>
  <c r="CI33" i="17"/>
  <c r="CG5" i="17"/>
  <c r="CG10" i="17" s="1"/>
  <c r="CG21" i="17"/>
  <c r="CG37" i="17"/>
  <c r="CG15" i="17"/>
  <c r="CG17" i="17" s="1"/>
  <c r="CG19" i="17"/>
  <c r="CG24" i="17" s="1"/>
  <c r="CG35" i="17"/>
  <c r="CG38" i="17" s="1"/>
  <c r="CC31" i="17"/>
  <c r="CE9" i="17"/>
  <c r="CE13" i="17"/>
  <c r="CE29" i="17"/>
  <c r="CE33" i="17"/>
  <c r="CC5" i="17"/>
  <c r="CC10" i="17" s="1"/>
  <c r="CC21" i="17"/>
  <c r="CC24" i="17" s="1"/>
  <c r="CC37" i="17"/>
  <c r="CC35" i="17"/>
  <c r="CC38" i="17" s="1"/>
  <c r="BY7" i="17"/>
  <c r="BY10" i="17" s="1"/>
  <c r="CA9" i="17"/>
  <c r="CA13" i="17"/>
  <c r="BY23" i="17"/>
  <c r="BY24" i="17" s="1"/>
  <c r="BY27" i="17"/>
  <c r="BY31" i="17" s="1"/>
  <c r="CA29" i="17"/>
  <c r="CA33" i="17"/>
  <c r="BY8" i="17"/>
  <c r="BY12" i="17"/>
  <c r="BY17" i="17" s="1"/>
  <c r="BY28" i="17"/>
  <c r="BU7" i="17"/>
  <c r="BU10" i="17" s="1"/>
  <c r="BW9" i="17"/>
  <c r="BW13" i="17"/>
  <c r="BU23" i="17"/>
  <c r="BU27" i="17"/>
  <c r="BU31" i="17" s="1"/>
  <c r="BW29" i="17"/>
  <c r="BW33" i="17"/>
  <c r="BU15" i="17"/>
  <c r="BU17" i="17" s="1"/>
  <c r="BU19" i="17"/>
  <c r="BU24" i="17" s="1"/>
  <c r="BU35" i="17"/>
  <c r="BU38" i="17" s="1"/>
  <c r="BS9" i="17"/>
  <c r="BS33" i="17"/>
  <c r="BS13" i="17"/>
  <c r="BS29" i="17"/>
  <c r="BQ8" i="17"/>
  <c r="BQ10" i="17" s="1"/>
  <c r="BQ12" i="17"/>
  <c r="BQ17" i="17" s="1"/>
  <c r="BQ28" i="17"/>
  <c r="BQ31" i="17" s="1"/>
  <c r="BM31" i="17"/>
  <c r="BM38" i="17"/>
  <c r="BM7" i="17"/>
  <c r="BM10" i="17" s="1"/>
  <c r="BO9" i="17"/>
  <c r="BO13" i="17"/>
  <c r="BM23" i="17"/>
  <c r="BM24" i="17" s="1"/>
  <c r="BM27" i="17"/>
  <c r="BO29" i="17"/>
  <c r="BO33" i="17"/>
  <c r="BM35" i="17"/>
  <c r="BK9" i="17"/>
  <c r="BK13" i="17"/>
  <c r="BK29" i="17"/>
  <c r="BK33" i="17"/>
  <c r="BI14" i="17"/>
  <c r="BI17" i="17" s="1"/>
  <c r="BI30" i="17"/>
  <c r="BI31" i="17" s="1"/>
  <c r="BI34" i="17"/>
  <c r="BI38" i="17" s="1"/>
  <c r="BI15" i="17"/>
  <c r="BI19" i="17"/>
  <c r="BI24" i="17" s="1"/>
  <c r="BI35" i="17"/>
  <c r="BE31" i="17"/>
  <c r="BG9" i="17"/>
  <c r="BG13" i="17"/>
  <c r="BG29" i="17"/>
  <c r="BG33" i="17"/>
  <c r="BE5" i="17"/>
  <c r="BE10" i="17" s="1"/>
  <c r="BE21" i="17"/>
  <c r="BE37" i="17"/>
  <c r="BE15" i="17"/>
  <c r="BE17" i="17" s="1"/>
  <c r="BE19" i="17"/>
  <c r="BE24" i="17" s="1"/>
  <c r="BE35" i="17"/>
  <c r="BE38" i="17" s="1"/>
  <c r="BC6" i="17"/>
  <c r="BA7" i="17"/>
  <c r="BA10" i="17" s="1"/>
  <c r="BA23" i="17"/>
  <c r="BA24" i="17" s="1"/>
  <c r="BA27" i="17"/>
  <c r="BA31" i="17" s="1"/>
  <c r="BC29" i="17"/>
  <c r="BC33" i="17"/>
  <c r="BA8" i="17"/>
  <c r="BA12" i="17"/>
  <c r="BA17" i="17" s="1"/>
  <c r="BA28" i="17"/>
  <c r="BC34" i="17"/>
  <c r="AW7" i="17"/>
  <c r="AW10" i="17" s="1"/>
  <c r="AY9" i="17"/>
  <c r="AY13" i="17"/>
  <c r="AW23" i="17"/>
  <c r="AW24" i="17" s="1"/>
  <c r="AW27" i="17"/>
  <c r="AW31" i="17" s="1"/>
  <c r="AY29" i="17"/>
  <c r="AY33" i="17"/>
  <c r="AW8" i="17"/>
  <c r="AW12" i="17"/>
  <c r="AW17" i="17" s="1"/>
  <c r="AW28" i="17"/>
  <c r="AS7" i="17"/>
  <c r="AU9" i="17"/>
  <c r="AU13" i="17"/>
  <c r="AS23" i="17"/>
  <c r="AS27" i="17"/>
  <c r="AS31" i="17" s="1"/>
  <c r="AU29" i="17"/>
  <c r="AU33" i="17"/>
  <c r="AS5" i="17"/>
  <c r="AS10" i="17" s="1"/>
  <c r="AS21" i="17"/>
  <c r="AS24" i="17" s="1"/>
  <c r="AS37" i="17"/>
  <c r="AS35" i="17"/>
  <c r="AS38" i="17" s="1"/>
  <c r="AQ13" i="17"/>
  <c r="AQ29" i="17"/>
  <c r="AQ33" i="17"/>
  <c r="AO5" i="17"/>
  <c r="AO10" i="17" s="1"/>
  <c r="AO21" i="17"/>
  <c r="AO37" i="17"/>
  <c r="AO15" i="17"/>
  <c r="AO17" i="17" s="1"/>
  <c r="AO19" i="17"/>
  <c r="AO35" i="17"/>
  <c r="AO38" i="17" s="1"/>
  <c r="AQ9" i="17"/>
  <c r="AQ14" i="17"/>
  <c r="AK31" i="17"/>
  <c r="AM29" i="17"/>
  <c r="AK37" i="17"/>
  <c r="AM9" i="17"/>
  <c r="AM33" i="17"/>
  <c r="AK15" i="17"/>
  <c r="AK17" i="17" s="1"/>
  <c r="AK19" i="17"/>
  <c r="AK24" i="17" s="1"/>
  <c r="AK35" i="17"/>
  <c r="AK38" i="17" s="1"/>
  <c r="AM13" i="17"/>
  <c r="AG7" i="17"/>
  <c r="AG10" i="17" s="1"/>
  <c r="AI9" i="17"/>
  <c r="AI13" i="17"/>
  <c r="AG23" i="17"/>
  <c r="AG27" i="17"/>
  <c r="AG31" i="17" s="1"/>
  <c r="AI29" i="17"/>
  <c r="AI33" i="17"/>
  <c r="AG8" i="17"/>
  <c r="AG12" i="17"/>
  <c r="AG28" i="17"/>
  <c r="AG15" i="17"/>
  <c r="AG19" i="17"/>
  <c r="AG24" i="17" s="1"/>
  <c r="AG35" i="17"/>
  <c r="AG38" i="17" s="1"/>
  <c r="AC31" i="17"/>
  <c r="AE9" i="17"/>
  <c r="AE33" i="17"/>
  <c r="AC5" i="17"/>
  <c r="AC10" i="17" s="1"/>
  <c r="AC21" i="17"/>
  <c r="AC37" i="17"/>
  <c r="AC15" i="17"/>
  <c r="AC17" i="17" s="1"/>
  <c r="AC19" i="17"/>
  <c r="AC35" i="17"/>
  <c r="AC38" i="17" s="1"/>
  <c r="AE13" i="17"/>
  <c r="AE29" i="17"/>
  <c r="Y31" i="17"/>
  <c r="Y5" i="17"/>
  <c r="Y10" i="17" s="1"/>
  <c r="Y21" i="17"/>
  <c r="Y37" i="17"/>
  <c r="AA29" i="17"/>
  <c r="AA9" i="17"/>
  <c r="Y15" i="17"/>
  <c r="Y17" i="17" s="1"/>
  <c r="Y19" i="17"/>
  <c r="Y35" i="17"/>
  <c r="Y38" i="17" s="1"/>
  <c r="AA13" i="17"/>
  <c r="AA33" i="17"/>
  <c r="U24" i="17"/>
  <c r="U31" i="17"/>
  <c r="W13" i="17"/>
  <c r="W33" i="17"/>
  <c r="U37" i="17"/>
  <c r="W9" i="17"/>
  <c r="W29" i="17"/>
  <c r="U8" i="17"/>
  <c r="U10" i="17" s="1"/>
  <c r="U12" i="17"/>
  <c r="U17" i="17" s="1"/>
  <c r="U28" i="17"/>
  <c r="U35" i="17"/>
  <c r="U38" i="17" s="1"/>
  <c r="Q7" i="17"/>
  <c r="Q10" i="17" s="1"/>
  <c r="S9" i="17"/>
  <c r="S13" i="17"/>
  <c r="Q23" i="17"/>
  <c r="Q24" i="17" s="1"/>
  <c r="Q27" i="17"/>
  <c r="Q31" i="17" s="1"/>
  <c r="S29" i="17"/>
  <c r="S33" i="17"/>
  <c r="Q8" i="17"/>
  <c r="Q12" i="17"/>
  <c r="Q17" i="17" s="1"/>
  <c r="Q28" i="17"/>
  <c r="Q35" i="17"/>
  <c r="Q38" i="17" s="1"/>
  <c r="M27" i="17"/>
  <c r="M31" i="17" s="1"/>
  <c r="O29" i="17"/>
  <c r="O33" i="17"/>
  <c r="M21" i="17"/>
  <c r="M37" i="17"/>
  <c r="O9" i="17"/>
  <c r="M15" i="17"/>
  <c r="M17" i="17" s="1"/>
  <c r="M19" i="17"/>
  <c r="M35" i="17"/>
  <c r="M38" i="17" s="1"/>
  <c r="O13" i="17"/>
  <c r="I34" i="17"/>
  <c r="I36" i="17"/>
  <c r="I20" i="17"/>
  <c r="K14" i="17"/>
  <c r="K15" i="17"/>
  <c r="K12" i="17"/>
  <c r="I37" i="17"/>
  <c r="I35" i="17"/>
  <c r="I38" i="17" s="1"/>
  <c r="K33" i="17"/>
  <c r="K26" i="17"/>
  <c r="I28" i="17"/>
  <c r="I31" i="17" s="1"/>
  <c r="K19" i="17"/>
  <c r="I23" i="17"/>
  <c r="I21" i="17"/>
  <c r="I24" i="17" s="1"/>
  <c r="I13" i="17"/>
  <c r="I17" i="17" s="1"/>
  <c r="K8" i="17"/>
  <c r="K6" i="17"/>
  <c r="K7" i="17"/>
  <c r="D28" i="17"/>
  <c r="D36" i="17"/>
  <c r="I9" i="17"/>
  <c r="G8" i="13"/>
  <c r="D48" i="15"/>
  <c r="E42" i="15"/>
  <c r="E40" i="15"/>
  <c r="E36" i="15"/>
  <c r="E26" i="15"/>
  <c r="E3" i="15"/>
  <c r="J8" i="14"/>
  <c r="L8" i="14" s="1"/>
  <c r="N8" i="14" s="1"/>
  <c r="D14" i="14"/>
  <c r="H12" i="14"/>
  <c r="J12" i="14" s="1"/>
  <c r="L12" i="14" s="1"/>
  <c r="N12" i="14" s="1"/>
  <c r="H10" i="14"/>
  <c r="J10" i="14" s="1"/>
  <c r="L10" i="14" s="1"/>
  <c r="N10" i="14" s="1"/>
  <c r="G15" i="13"/>
  <c r="G14" i="13"/>
  <c r="G13" i="13"/>
  <c r="G7" i="13"/>
  <c r="G9" i="13"/>
  <c r="G10" i="13"/>
  <c r="G12" i="13"/>
  <c r="G11" i="13"/>
  <c r="G6" i="13"/>
  <c r="U39" i="12"/>
  <c r="R39" i="12"/>
  <c r="O39" i="12"/>
  <c r="L39" i="12"/>
  <c r="I39" i="12"/>
  <c r="G39" i="12"/>
  <c r="F38" i="12"/>
  <c r="F37" i="12"/>
  <c r="F36" i="12"/>
  <c r="F35" i="12"/>
  <c r="F34" i="12"/>
  <c r="U32" i="12"/>
  <c r="R32" i="12"/>
  <c r="O32" i="12"/>
  <c r="L32" i="12"/>
  <c r="I32" i="12"/>
  <c r="G32" i="12"/>
  <c r="F31" i="12"/>
  <c r="F30" i="12"/>
  <c r="F29" i="12"/>
  <c r="F28" i="12"/>
  <c r="F27" i="12"/>
  <c r="U25" i="12"/>
  <c r="R25" i="12"/>
  <c r="O25" i="12"/>
  <c r="L25" i="12"/>
  <c r="I25" i="12"/>
  <c r="G25" i="12"/>
  <c r="F24" i="12"/>
  <c r="F23" i="12"/>
  <c r="F22" i="12"/>
  <c r="F21" i="12"/>
  <c r="F20" i="12"/>
  <c r="U18" i="12"/>
  <c r="R18" i="12"/>
  <c r="O18" i="12"/>
  <c r="L18" i="12"/>
  <c r="I18" i="12"/>
  <c r="G18" i="12"/>
  <c r="F17" i="12"/>
  <c r="D17" i="12"/>
  <c r="D24" i="12" s="1"/>
  <c r="D31" i="12" s="1"/>
  <c r="D38" i="12" s="1"/>
  <c r="F16" i="12"/>
  <c r="D16" i="12"/>
  <c r="D23" i="12" s="1"/>
  <c r="D30" i="12" s="1"/>
  <c r="D37" i="12" s="1"/>
  <c r="F15" i="12"/>
  <c r="D15" i="12"/>
  <c r="D22" i="12" s="1"/>
  <c r="D29" i="12" s="1"/>
  <c r="D36" i="12" s="1"/>
  <c r="F14" i="12"/>
  <c r="D14" i="12"/>
  <c r="D21" i="12" s="1"/>
  <c r="D28" i="12" s="1"/>
  <c r="D35" i="12" s="1"/>
  <c r="F13" i="12"/>
  <c r="D13" i="12"/>
  <c r="D20" i="12" s="1"/>
  <c r="D27" i="12" s="1"/>
  <c r="D34" i="12" s="1"/>
  <c r="F11" i="12"/>
  <c r="U11" i="12" s="1"/>
  <c r="E10" i="12"/>
  <c r="G9" i="12"/>
  <c r="E9" i="12"/>
  <c r="E8" i="12"/>
  <c r="E7" i="12"/>
  <c r="E6" i="12"/>
  <c r="D8" i="11"/>
  <c r="R9" i="11"/>
  <c r="R10" i="11"/>
  <c r="R11" i="11"/>
  <c r="R12" i="11"/>
  <c r="R8" i="11"/>
  <c r="O12" i="11"/>
  <c r="M12" i="11"/>
  <c r="E12" i="11"/>
  <c r="F12" i="11" s="1"/>
  <c r="G12" i="11" s="1"/>
  <c r="U11" i="11"/>
  <c r="O11" i="11"/>
  <c r="M11" i="11"/>
  <c r="E11" i="11"/>
  <c r="F11" i="11" s="1"/>
  <c r="G11" i="11" s="1"/>
  <c r="U10" i="11"/>
  <c r="O10" i="11"/>
  <c r="M10" i="11"/>
  <c r="E10" i="11"/>
  <c r="F10" i="11" s="1"/>
  <c r="Q10" i="11" s="1"/>
  <c r="U9" i="11"/>
  <c r="O9" i="11"/>
  <c r="M9" i="11"/>
  <c r="E9" i="11"/>
  <c r="F9" i="11" s="1"/>
  <c r="G9" i="11" s="1"/>
  <c r="U8" i="11"/>
  <c r="O8" i="11"/>
  <c r="M8" i="11"/>
  <c r="C25" i="4"/>
  <c r="AO24" i="17" l="1"/>
  <c r="AG17" i="17"/>
  <c r="AC24" i="17"/>
  <c r="Y24" i="17"/>
  <c r="M24" i="17"/>
  <c r="D35" i="17"/>
  <c r="I8" i="17"/>
  <c r="I7" i="17"/>
  <c r="I10" i="17" s="1"/>
  <c r="G17" i="13"/>
  <c r="E15" i="12"/>
  <c r="G18" i="13"/>
  <c r="H14" i="14"/>
  <c r="E24" i="12"/>
  <c r="G7" i="12"/>
  <c r="E37" i="12"/>
  <c r="E13" i="12"/>
  <c r="G8" i="12"/>
  <c r="U8" i="12" s="1"/>
  <c r="T8" i="12" s="1"/>
  <c r="E14" i="12"/>
  <c r="E22" i="12"/>
  <c r="E38" i="12"/>
  <c r="E11" i="12"/>
  <c r="E16" i="12"/>
  <c r="E30" i="12"/>
  <c r="E17" i="12"/>
  <c r="E23" i="12"/>
  <c r="E27" i="12"/>
  <c r="L14" i="14"/>
  <c r="J14" i="14"/>
  <c r="E28" i="12"/>
  <c r="E29" i="12"/>
  <c r="E34" i="12"/>
  <c r="E20" i="12"/>
  <c r="E25" i="12" s="1"/>
  <c r="E31" i="12"/>
  <c r="E35" i="12"/>
  <c r="U36" i="12"/>
  <c r="U28" i="12"/>
  <c r="U24" i="12"/>
  <c r="U20" i="12"/>
  <c r="U16" i="12"/>
  <c r="U38" i="12"/>
  <c r="U34" i="12"/>
  <c r="U14" i="12"/>
  <c r="U35" i="12"/>
  <c r="U31" i="12"/>
  <c r="U27" i="12"/>
  <c r="U23" i="12"/>
  <c r="U15" i="12"/>
  <c r="U30" i="12"/>
  <c r="U37" i="12"/>
  <c r="U29" i="12"/>
  <c r="U21" i="12"/>
  <c r="U17" i="12"/>
  <c r="U13" i="12"/>
  <c r="U22" i="12"/>
  <c r="U7" i="12"/>
  <c r="E18" i="12"/>
  <c r="E21" i="12"/>
  <c r="E36" i="12"/>
  <c r="U9" i="12"/>
  <c r="L11" i="12"/>
  <c r="L7" i="12" s="1"/>
  <c r="R7" i="12"/>
  <c r="G10" i="12"/>
  <c r="O11" i="12"/>
  <c r="O9" i="12" s="1"/>
  <c r="G11" i="12"/>
  <c r="R11" i="12"/>
  <c r="G6" i="12"/>
  <c r="I11" i="12"/>
  <c r="I9" i="12" s="1"/>
  <c r="Q11" i="11"/>
  <c r="Q9" i="11"/>
  <c r="Q12" i="11"/>
  <c r="T12" i="11"/>
  <c r="G10" i="11"/>
  <c r="T10" i="11"/>
  <c r="T11" i="11"/>
  <c r="T9" i="11"/>
  <c r="W10" i="11"/>
  <c r="F8" i="11"/>
  <c r="Q8" i="11" s="1"/>
  <c r="W9" i="11"/>
  <c r="W11" i="11"/>
  <c r="F24" i="4"/>
  <c r="F22" i="4"/>
  <c r="F20" i="4"/>
  <c r="F19" i="4"/>
  <c r="D18" i="1"/>
  <c r="G19" i="13" l="1"/>
  <c r="I8" i="12"/>
  <c r="E39" i="12"/>
  <c r="R8" i="12"/>
  <c r="Q8" i="12" s="1"/>
  <c r="V8" i="12"/>
  <c r="O8" i="12"/>
  <c r="P8" i="12" s="1"/>
  <c r="R9" i="12"/>
  <c r="S9" i="12" s="1"/>
  <c r="E32" i="12"/>
  <c r="N14" i="14"/>
  <c r="P14" i="14" s="1"/>
  <c r="P12" i="14"/>
  <c r="P8" i="14"/>
  <c r="P9" i="12"/>
  <c r="N9" i="12"/>
  <c r="M7" i="12"/>
  <c r="K7" i="12"/>
  <c r="S8" i="12"/>
  <c r="V15" i="12"/>
  <c r="T15" i="12"/>
  <c r="V16" i="12"/>
  <c r="T16" i="12"/>
  <c r="L9" i="12"/>
  <c r="V30" i="12"/>
  <c r="T30" i="12"/>
  <c r="Q7" i="12"/>
  <c r="S7" i="12"/>
  <c r="V22" i="12"/>
  <c r="T22" i="12"/>
  <c r="T13" i="12"/>
  <c r="V13" i="12"/>
  <c r="V27" i="12"/>
  <c r="T27" i="12"/>
  <c r="V24" i="12"/>
  <c r="T24" i="12"/>
  <c r="L37" i="12"/>
  <c r="L29" i="12"/>
  <c r="L21" i="12"/>
  <c r="L17" i="12"/>
  <c r="L13" i="12"/>
  <c r="L36" i="12"/>
  <c r="L28" i="12"/>
  <c r="L24" i="12"/>
  <c r="L20" i="12"/>
  <c r="L16" i="12"/>
  <c r="L35" i="12"/>
  <c r="L31" i="12"/>
  <c r="L27" i="12"/>
  <c r="L23" i="12"/>
  <c r="L15" i="12"/>
  <c r="L38" i="12"/>
  <c r="L34" i="12"/>
  <c r="L30" i="12"/>
  <c r="L22" i="12"/>
  <c r="L14" i="12"/>
  <c r="V20" i="12"/>
  <c r="T20" i="12"/>
  <c r="J9" i="12"/>
  <c r="H9" i="12"/>
  <c r="I28" i="12"/>
  <c r="I20" i="12"/>
  <c r="I38" i="12"/>
  <c r="I34" i="12"/>
  <c r="I30" i="12"/>
  <c r="I22" i="12"/>
  <c r="I14" i="12"/>
  <c r="I37" i="12"/>
  <c r="I29" i="12"/>
  <c r="I21" i="12"/>
  <c r="I17" i="12"/>
  <c r="I13" i="12"/>
  <c r="I36" i="12"/>
  <c r="I24" i="12"/>
  <c r="I7" i="12"/>
  <c r="I16" i="12"/>
  <c r="I35" i="12"/>
  <c r="I31" i="12"/>
  <c r="I27" i="12"/>
  <c r="I23" i="12"/>
  <c r="I15" i="12"/>
  <c r="O7" i="12"/>
  <c r="T17" i="12"/>
  <c r="V17" i="12"/>
  <c r="V31" i="12"/>
  <c r="T31" i="12"/>
  <c r="V28" i="12"/>
  <c r="T28" i="12"/>
  <c r="J8" i="12"/>
  <c r="H8" i="12"/>
  <c r="O6" i="12"/>
  <c r="U6" i="12"/>
  <c r="L6" i="12"/>
  <c r="R6" i="12"/>
  <c r="I6" i="12"/>
  <c r="T9" i="12"/>
  <c r="V9" i="12"/>
  <c r="T21" i="12"/>
  <c r="V21" i="12"/>
  <c r="V35" i="12"/>
  <c r="T35" i="12"/>
  <c r="V36" i="12"/>
  <c r="T36" i="12"/>
  <c r="V38" i="12"/>
  <c r="T38" i="12"/>
  <c r="V7" i="12"/>
  <c r="T7" i="12"/>
  <c r="V23" i="12"/>
  <c r="T23" i="12"/>
  <c r="L8" i="12"/>
  <c r="O35" i="12"/>
  <c r="O31" i="12"/>
  <c r="O27" i="12"/>
  <c r="O23" i="12"/>
  <c r="O15" i="12"/>
  <c r="O17" i="12"/>
  <c r="O38" i="12"/>
  <c r="O34" i="12"/>
  <c r="O30" i="12"/>
  <c r="O22" i="12"/>
  <c r="O14" i="12"/>
  <c r="O37" i="12"/>
  <c r="O21" i="12"/>
  <c r="O29" i="12"/>
  <c r="O36" i="12"/>
  <c r="O28" i="12"/>
  <c r="O24" i="12"/>
  <c r="O20" i="12"/>
  <c r="O16" i="12"/>
  <c r="O13" i="12"/>
  <c r="T29" i="12"/>
  <c r="V29" i="12"/>
  <c r="V14" i="12"/>
  <c r="T14" i="12"/>
  <c r="R38" i="12"/>
  <c r="R34" i="12"/>
  <c r="R30" i="12"/>
  <c r="R22" i="12"/>
  <c r="R14" i="12"/>
  <c r="R37" i="12"/>
  <c r="R29" i="12"/>
  <c r="R21" i="12"/>
  <c r="R17" i="12"/>
  <c r="R13" i="12"/>
  <c r="R36" i="12"/>
  <c r="R28" i="12"/>
  <c r="R24" i="12"/>
  <c r="R20" i="12"/>
  <c r="R16" i="12"/>
  <c r="R35" i="12"/>
  <c r="R31" i="12"/>
  <c r="R27" i="12"/>
  <c r="R23" i="12"/>
  <c r="R15" i="12"/>
  <c r="R10" i="12"/>
  <c r="I10" i="12"/>
  <c r="O10" i="12"/>
  <c r="U10" i="12"/>
  <c r="L10" i="12"/>
  <c r="T37" i="12"/>
  <c r="V37" i="12"/>
  <c r="V34" i="12"/>
  <c r="T34" i="12"/>
  <c r="G8" i="11"/>
  <c r="T8" i="11"/>
  <c r="W8" i="11"/>
  <c r="N8" i="12" l="1"/>
  <c r="Q9" i="12"/>
  <c r="P10" i="14"/>
  <c r="Q30" i="12"/>
  <c r="S30" i="12"/>
  <c r="M27" i="12"/>
  <c r="K27" i="12"/>
  <c r="S27" i="12"/>
  <c r="Q27" i="12"/>
  <c r="S13" i="12"/>
  <c r="Q13" i="12"/>
  <c r="Q34" i="12"/>
  <c r="S34" i="12"/>
  <c r="N20" i="12"/>
  <c r="P20" i="12"/>
  <c r="P22" i="12"/>
  <c r="N22" i="12"/>
  <c r="P31" i="12"/>
  <c r="N31" i="12"/>
  <c r="H23" i="12"/>
  <c r="J23" i="12"/>
  <c r="J13" i="12"/>
  <c r="H13" i="12"/>
  <c r="J34" i="12"/>
  <c r="H34" i="12"/>
  <c r="M14" i="12"/>
  <c r="K14" i="12"/>
  <c r="K31" i="12"/>
  <c r="M31" i="12"/>
  <c r="K17" i="12"/>
  <c r="M17" i="12"/>
  <c r="T32" i="12"/>
  <c r="P14" i="12"/>
  <c r="N14" i="12"/>
  <c r="H15" i="12"/>
  <c r="J15" i="12"/>
  <c r="K10" i="12"/>
  <c r="M10" i="12"/>
  <c r="P30" i="12"/>
  <c r="N30" i="12"/>
  <c r="M22" i="12"/>
  <c r="K22" i="12"/>
  <c r="K21" i="12"/>
  <c r="M21" i="12"/>
  <c r="V10" i="12"/>
  <c r="T10" i="12"/>
  <c r="S35" i="12"/>
  <c r="Q35" i="12"/>
  <c r="S21" i="12"/>
  <c r="Q21" i="12"/>
  <c r="N28" i="12"/>
  <c r="P28" i="12"/>
  <c r="P34" i="12"/>
  <c r="N34" i="12"/>
  <c r="M8" i="12"/>
  <c r="K8" i="12"/>
  <c r="S6" i="12"/>
  <c r="Q6" i="12"/>
  <c r="H31" i="12"/>
  <c r="J31" i="12"/>
  <c r="J21" i="12"/>
  <c r="H21" i="12"/>
  <c r="J20" i="12"/>
  <c r="H20" i="12"/>
  <c r="M30" i="12"/>
  <c r="K30" i="12"/>
  <c r="M16" i="12"/>
  <c r="K16" i="12"/>
  <c r="K29" i="12"/>
  <c r="M29" i="12"/>
  <c r="S23" i="12"/>
  <c r="Q23" i="12"/>
  <c r="J36" i="12"/>
  <c r="H36" i="12"/>
  <c r="S31" i="12"/>
  <c r="Q31" i="12"/>
  <c r="J17" i="12"/>
  <c r="H17" i="12"/>
  <c r="P10" i="12"/>
  <c r="N10" i="12"/>
  <c r="S16" i="12"/>
  <c r="Q16" i="12"/>
  <c r="S29" i="12"/>
  <c r="Q29" i="12"/>
  <c r="N36" i="12"/>
  <c r="P36" i="12"/>
  <c r="P38" i="12"/>
  <c r="N38" i="12"/>
  <c r="M6" i="12"/>
  <c r="K6" i="12"/>
  <c r="H35" i="12"/>
  <c r="J35" i="12"/>
  <c r="J29" i="12"/>
  <c r="H29" i="12"/>
  <c r="J28" i="12"/>
  <c r="H28" i="12"/>
  <c r="M34" i="12"/>
  <c r="K34" i="12"/>
  <c r="M20" i="12"/>
  <c r="K20" i="12"/>
  <c r="K37" i="12"/>
  <c r="M37" i="12"/>
  <c r="T18" i="12"/>
  <c r="N16" i="12"/>
  <c r="P16" i="12"/>
  <c r="S17" i="12"/>
  <c r="Q17" i="12"/>
  <c r="P35" i="12"/>
  <c r="N35" i="12"/>
  <c r="H27" i="12"/>
  <c r="J27" i="12"/>
  <c r="J10" i="12"/>
  <c r="H10" i="12"/>
  <c r="S20" i="12"/>
  <c r="Q20" i="12"/>
  <c r="S37" i="12"/>
  <c r="Q37" i="12"/>
  <c r="P29" i="12"/>
  <c r="N29" i="12"/>
  <c r="P17" i="12"/>
  <c r="N17" i="12"/>
  <c r="V6" i="12"/>
  <c r="T6" i="12"/>
  <c r="J16" i="12"/>
  <c r="H16" i="12"/>
  <c r="J37" i="12"/>
  <c r="H37" i="12"/>
  <c r="M38" i="12"/>
  <c r="K38" i="12"/>
  <c r="M24" i="12"/>
  <c r="K24" i="12"/>
  <c r="K9" i="12"/>
  <c r="M9" i="12"/>
  <c r="S36" i="12"/>
  <c r="Q36" i="12"/>
  <c r="K13" i="12"/>
  <c r="M13" i="12"/>
  <c r="N24" i="12"/>
  <c r="P24" i="12"/>
  <c r="J6" i="12"/>
  <c r="J38" i="12"/>
  <c r="H38" i="12"/>
  <c r="S10" i="12"/>
  <c r="Q10" i="12"/>
  <c r="Q24" i="12"/>
  <c r="S24" i="12"/>
  <c r="Q14" i="12"/>
  <c r="S14" i="12"/>
  <c r="P21" i="12"/>
  <c r="N21" i="12"/>
  <c r="P15" i="12"/>
  <c r="N15" i="12"/>
  <c r="N6" i="12"/>
  <c r="P6" i="12"/>
  <c r="J7" i="12"/>
  <c r="H7" i="12"/>
  <c r="J14" i="12"/>
  <c r="H14" i="12"/>
  <c r="M15" i="12"/>
  <c r="K15" i="12"/>
  <c r="M28" i="12"/>
  <c r="K28" i="12"/>
  <c r="P27" i="12"/>
  <c r="N27" i="12"/>
  <c r="J30" i="12"/>
  <c r="H30" i="12"/>
  <c r="Q38" i="12"/>
  <c r="S38" i="12"/>
  <c r="M35" i="12"/>
  <c r="K35" i="12"/>
  <c r="T39" i="12"/>
  <c r="S15" i="12"/>
  <c r="Q15" i="12"/>
  <c r="Q28" i="12"/>
  <c r="S28" i="12"/>
  <c r="Q22" i="12"/>
  <c r="S22" i="12"/>
  <c r="P13" i="12"/>
  <c r="N13" i="12"/>
  <c r="P37" i="12"/>
  <c r="N37" i="12"/>
  <c r="P23" i="12"/>
  <c r="N23" i="12"/>
  <c r="N7" i="12"/>
  <c r="P7" i="12"/>
  <c r="J24" i="12"/>
  <c r="H24" i="12"/>
  <c r="J22" i="12"/>
  <c r="H22" i="12"/>
  <c r="T25" i="12"/>
  <c r="M23" i="12"/>
  <c r="K23" i="12"/>
  <c r="M36" i="12"/>
  <c r="K36" i="12"/>
  <c r="F21" i="4"/>
  <c r="D19" i="1"/>
  <c r="D20" i="1"/>
  <c r="D21" i="1"/>
  <c r="D17" i="1"/>
  <c r="Q32" i="12" l="1"/>
  <c r="T11" i="12"/>
  <c r="Q25" i="12"/>
  <c r="K11" i="12"/>
  <c r="Q18" i="12"/>
  <c r="N11" i="12"/>
  <c r="K39" i="12"/>
  <c r="Q11" i="12"/>
  <c r="K18" i="12"/>
  <c r="H25" i="12"/>
  <c r="H18" i="12"/>
  <c r="K32" i="12"/>
  <c r="H39" i="12"/>
  <c r="H32" i="12"/>
  <c r="N39" i="12"/>
  <c r="N25" i="12"/>
  <c r="N32" i="12"/>
  <c r="H11" i="12"/>
  <c r="N18" i="12"/>
  <c r="K25" i="12"/>
  <c r="Q39" i="12"/>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C17" i="5"/>
  <c r="C35" i="5" s="1"/>
  <c r="C36" i="5" s="1"/>
  <c r="H9" i="3"/>
  <c r="J9" i="3" s="1"/>
  <c r="I10" i="3" s="1"/>
  <c r="E35" i="6"/>
  <c r="F35" i="6" s="1"/>
  <c r="D35" i="6"/>
  <c r="C30" i="5"/>
  <c r="C45" i="5"/>
  <c r="B39" i="5" l="1"/>
  <c r="H53" i="6"/>
  <c r="H52"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E31" i="5" l="1"/>
  <c r="E32" i="5" s="1"/>
  <c r="E38" i="5" s="1"/>
  <c r="E22" i="5" s="1"/>
  <c r="E27" i="5" s="1"/>
  <c r="E39" i="5" s="1"/>
  <c r="F12" i="3"/>
  <c r="G12" i="3" s="1"/>
  <c r="F14" i="5" s="1"/>
  <c r="F15" i="5" s="1"/>
  <c r="F16" i="5" s="1"/>
  <c r="F17" i="5" s="1"/>
  <c r="F35" i="5" s="1"/>
  <c r="F36" i="5" s="1"/>
  <c r="D46" i="5"/>
  <c r="D52" i="5" s="1"/>
  <c r="D58" i="5" s="1"/>
  <c r="D59" i="5" s="1"/>
  <c r="E8" i="6" s="1"/>
  <c r="H12" i="3" l="1"/>
  <c r="J12" i="3" s="1"/>
  <c r="F13" i="3" s="1"/>
  <c r="G13" i="3" s="1"/>
  <c r="G14" i="5" s="1"/>
  <c r="G15" i="5" s="1"/>
  <c r="G16" i="5" s="1"/>
  <c r="G17" i="5" s="1"/>
  <c r="F29" i="5"/>
  <c r="F45" i="5" s="1"/>
  <c r="E44" i="5"/>
  <c r="G29" i="5" l="1"/>
  <c r="G45" i="5" s="1"/>
  <c r="I13" i="3"/>
  <c r="H13" i="3" s="1"/>
  <c r="J13" i="3" s="1"/>
  <c r="G31" i="5" s="1"/>
  <c r="F31" i="5"/>
  <c r="F30" i="5"/>
  <c r="E46" i="5"/>
  <c r="E52" i="5" s="1"/>
  <c r="E58" i="5" s="1"/>
  <c r="E59" i="5" s="1"/>
  <c r="F8" i="6" s="1"/>
  <c r="G35" i="5"/>
  <c r="G36" i="5" s="1"/>
  <c r="F32" i="5" l="1"/>
  <c r="F38" i="5" s="1"/>
  <c r="F22" i="5" s="1"/>
  <c r="F44" i="5" s="1"/>
  <c r="F46" i="5" s="1"/>
  <c r="F52" i="5" s="1"/>
  <c r="F58" i="5" s="1"/>
  <c r="F59" i="5" s="1"/>
  <c r="G8" i="6" s="1"/>
  <c r="G30" i="5"/>
  <c r="G32" i="5" s="1"/>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2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2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2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2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2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2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2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2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2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2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2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2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3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3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3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3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3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3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3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3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3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3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3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3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4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4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4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4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6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6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Alejandro Gonzalez Calle</author>
  </authors>
  <commentList>
    <comment ref="D7" authorId="0" shapeId="0" xr:uid="{00000000-0006-0000-0700-000001000000}">
      <text>
        <r>
          <rPr>
            <sz val="9"/>
            <color indexed="81"/>
            <rFont val="Tahoma"/>
            <family val="2"/>
          </rPr>
          <t>Bolsa para ristras calibre 1.5
Bolsas para paquetes 2.0</t>
        </r>
      </text>
    </comment>
    <comment ref="N8" authorId="0" shapeId="0" xr:uid="{00000000-0006-0000-0700-000002000000}">
      <text>
        <r>
          <rPr>
            <b/>
            <sz val="9"/>
            <color indexed="81"/>
            <rFont val="Tahoma"/>
            <family val="2"/>
          </rPr>
          <t>Para vender cada bolsita individual a $ 600</t>
        </r>
      </text>
    </comment>
    <comment ref="P8" authorId="0" shapeId="0" xr:uid="{00000000-0006-0000-0700-000003000000}">
      <text>
        <r>
          <rPr>
            <b/>
            <sz val="9"/>
            <color indexed="81"/>
            <rFont val="Tahoma"/>
            <family val="2"/>
          </rPr>
          <t>Para vender cada bolsita individual a $ 600</t>
        </r>
      </text>
    </comment>
    <comment ref="U8" authorId="0" shapeId="0" xr:uid="{00000000-0006-0000-0700-000004000000}">
      <text>
        <r>
          <rPr>
            <b/>
            <sz val="9"/>
            <color indexed="81"/>
            <rFont val="Tahoma"/>
            <family val="2"/>
          </rPr>
          <t>Para vender cada bolsita individual a $ 600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8" authorId="0" shapeId="0" xr:uid="{00000000-0006-0000-0A00-000001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H8" authorId="0" shapeId="0" xr:uid="{00000000-0006-0000-0A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J8" authorId="0" shapeId="0" xr:uid="{00000000-0006-0000-0A00-000003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L8" authorId="0" shapeId="0" xr:uid="{00000000-0006-0000-0A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N8" authorId="0" shapeId="0" xr:uid="{00000000-0006-0000-0A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P8" authorId="0" shapeId="0" xr:uid="{00000000-0006-0000-0A00-000006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0" authorId="0" shapeId="0" xr:uid="{00000000-0006-0000-0A00-000007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H10" authorId="0" shapeId="0" xr:uid="{00000000-0006-0000-0A00-000008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J10" authorId="0" shapeId="0" xr:uid="{00000000-0006-0000-0A00-000009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L10" authorId="0" shapeId="0" xr:uid="{00000000-0006-0000-0A00-00000A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N10" authorId="0" shapeId="0" xr:uid="{00000000-0006-0000-0A00-00000B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P10" authorId="0" shapeId="0" xr:uid="{00000000-0006-0000-0A00-00000C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2" authorId="0" shapeId="0" xr:uid="{00000000-0006-0000-0A00-00000D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H12" authorId="0" shapeId="0" xr:uid="{00000000-0006-0000-0A00-00000E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J12" authorId="0" shapeId="0" xr:uid="{00000000-0006-0000-0A00-00000F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L12" authorId="0" shapeId="0" xr:uid="{00000000-0006-0000-0A00-000010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N12" authorId="0" shapeId="0" xr:uid="{00000000-0006-0000-0A00-000011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P12" authorId="0" shapeId="0" xr:uid="{00000000-0006-0000-0A00-00001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H14" authorId="0" shapeId="0" xr:uid="{00000000-0006-0000-0A00-000013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J14" authorId="0" shapeId="0" xr:uid="{00000000-0006-0000-0A00-00001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L14" authorId="0" shapeId="0" xr:uid="{00000000-0006-0000-0A00-00001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N14" authorId="0" shapeId="0" xr:uid="{00000000-0006-0000-0A00-000016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P14" authorId="0" shapeId="0" xr:uid="{00000000-0006-0000-0A00-000017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List>
</comments>
</file>

<file path=xl/sharedStrings.xml><?xml version="1.0" encoding="utf-8"?>
<sst xmlns="http://schemas.openxmlformats.org/spreadsheetml/2006/main" count="536" uniqueCount="344">
  <si>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</si>
  <si>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</si>
  <si>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</si>
  <si>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</si>
  <si>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</si>
  <si>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</si>
  <si>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</si>
  <si>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</si>
  <si>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</si>
  <si>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</si>
  <si>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</si>
  <si>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</si>
  <si>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</si>
  <si>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</si>
  <si>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</si>
  <si>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</si>
  <si>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</si>
  <si>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</si>
  <si>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</si>
  <si>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</si>
  <si>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</si>
  <si>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</si>
  <si>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</si>
  <si>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</si>
  <si>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</si>
  <si>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</si>
  <si>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</si>
  <si>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</si>
  <si>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</si>
  <si>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</si>
  <si>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</si>
  <si>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</si>
  <si>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</si>
  <si>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</si>
  <si>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</si>
  <si>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</si>
  <si>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</si>
  <si>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</si>
  <si>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</si>
  <si>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</si>
  <si>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</si>
  <si>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</si>
  <si>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</si>
  <si>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</si>
  <si>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</si>
  <si>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</si>
  <si>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</si>
  <si>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</si>
  <si>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</si>
  <si>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</si>
  <si>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</si>
  <si>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</si>
  <si>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</si>
  <si>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</si>
  <si>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</si>
  <si>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</si>
  <si>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</si>
  <si>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</si>
  <si>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</si>
  <si>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</si>
  <si>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</si>
  <si>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</si>
  <si>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</si>
  <si>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</si>
  <si>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</si>
  <si>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</si>
  <si>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</si>
  <si>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</si>
  <si>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</si>
  <si>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</si>
  <si>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</si>
  <si>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</si>
  <si>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</si>
  <si>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</si>
  <si>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</si>
  <si>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</si>
  <si>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</si>
  <si>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</si>
  <si>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</si>
  <si>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</si>
  <si>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</si>
  <si>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</si>
  <si>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</si>
  <si>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</si>
  <si>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</si>
  <si>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</si>
  <si>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</si>
  <si>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</si>
  <si>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</si>
  <si>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</si>
  <si>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</si>
  <si>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</si>
  <si>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</si>
  <si>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</si>
  <si>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</si>
  <si>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</si>
  <si>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</si>
  <si>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</si>
  <si>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</si>
  <si>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</si>
  <si>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</si>
  <si>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</si>
  <si>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</si>
  <si>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</si>
  <si>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</si>
  <si>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</si>
  <si>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</si>
  <si>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</si>
  <si>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</si>
  <si>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</si>
  <si>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</si>
  <si>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</si>
  <si>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</si>
  <si>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</si>
  <si>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</si>
  <si>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</si>
  <si>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</si>
  <si>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</si>
  <si>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</si>
  <si>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</si>
  <si>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</si>
  <si>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</si>
  <si>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</si>
  <si>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</si>
  <si>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</si>
  <si>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</si>
  <si>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</si>
  <si>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</si>
  <si>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</si>
  <si>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</si>
  <si>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</si>
  <si>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</si>
  <si>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</si>
  <si>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</si>
  <si>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</si>
  <si>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</si>
  <si>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</si>
  <si>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</si>
  <si>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</si>
  <si>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</si>
  <si>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</si>
  <si>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</si>
  <si>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</si>
  <si>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</si>
  <si>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</si>
  <si>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</si>
  <si>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</si>
  <si>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</si>
  <si>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</si>
  <si>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</si>
  <si>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</si>
  <si>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</si>
  <si>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</si>
  <si>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</si>
  <si>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</si>
  <si>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</si>
  <si>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</si>
  <si>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</si>
  <si>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</si>
  <si>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</si>
  <si>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Bolsa de maní - 500 gms</t>
  </si>
  <si>
    <t>Bolsa de maní - 250 gms</t>
  </si>
  <si>
    <t>Bolsa de maní - 125 gms</t>
  </si>
  <si>
    <t>LISTA DE PRECIOS POR PRODUCTOS Y CANALES EN TODAS LAS PRESENTACIONES</t>
  </si>
  <si>
    <t>Valor gramo maní dulce producido</t>
  </si>
  <si>
    <t>Presentación</t>
  </si>
  <si>
    <t>Valor maní</t>
  </si>
  <si>
    <t>Costo total</t>
  </si>
  <si>
    <t>Salado</t>
  </si>
  <si>
    <t>Dulce</t>
  </si>
  <si>
    <t>Simple</t>
  </si>
  <si>
    <t>Combinado (Sal, dulce y Pasas)</t>
  </si>
  <si>
    <t>Precio Venta para tendero o manero</t>
  </si>
  <si>
    <t xml:space="preserve">Precio Venta sugerido al cliente final y en punto de venta </t>
  </si>
  <si>
    <t>Margen promedio que le queda al tendero</t>
  </si>
  <si>
    <t>Cuarto</t>
  </si>
  <si>
    <t>Media</t>
  </si>
  <si>
    <t>Libra</t>
  </si>
  <si>
    <t>Concepto</t>
  </si>
  <si>
    <t>Valor</t>
  </si>
  <si>
    <t>Subtotal</t>
  </si>
  <si>
    <t>Constitución en Cámara de Comercio</t>
  </si>
  <si>
    <t>Moto</t>
  </si>
  <si>
    <t>Horno</t>
  </si>
  <si>
    <t>Molino</t>
  </si>
  <si>
    <t>Bandejas pequeñas (24)</t>
  </si>
  <si>
    <t>Descarrilado de 12 bandejas</t>
  </si>
  <si>
    <t>Bandejas grades en acero (3)</t>
  </si>
  <si>
    <t>Apertura cuenta bancaria de la empresa</t>
  </si>
  <si>
    <t>Categoría</t>
  </si>
  <si>
    <t>Cámaras de seguridad</t>
  </si>
  <si>
    <t>Cajilla de seguridad</t>
  </si>
  <si>
    <t>Lámpara para sala de ventas con instalación</t>
  </si>
  <si>
    <t>Equipo celular</t>
  </si>
  <si>
    <t>Impresora</t>
  </si>
  <si>
    <t>Trámites para notificación Sanitaria INVIMA</t>
  </si>
  <si>
    <t>Escritorio</t>
  </si>
  <si>
    <t>Silla escritorio</t>
  </si>
  <si>
    <t>Parrilla de Moto</t>
  </si>
  <si>
    <t>Mesas en acero (2)</t>
  </si>
  <si>
    <t>Grameras (2)</t>
  </si>
  <si>
    <t>Manguera para lavado</t>
  </si>
  <si>
    <t>Estantería metálica con tamaño de ristra (2)</t>
  </si>
  <si>
    <t>Canastillas (20)</t>
  </si>
  <si>
    <t>Palas en acero inoxidable (5)</t>
  </si>
  <si>
    <t>Baldes de plástico para embodegar maní (8)</t>
  </si>
  <si>
    <t>Baldes de plástico para aseo (2)</t>
  </si>
  <si>
    <t>Cosedora mediana (5)</t>
  </si>
  <si>
    <t>Mesa plástica Rimax para montar con la 4 sillas</t>
  </si>
  <si>
    <t>Ollas para hacer glucosa (2)</t>
  </si>
  <si>
    <t>Estibas plásticas para el maní (4)</t>
  </si>
  <si>
    <t>Pala en madera para el dulce (4)</t>
  </si>
  <si>
    <t>Cernidor - Colador grande</t>
  </si>
  <si>
    <t>Cono y cadena separadora parqueadero</t>
  </si>
  <si>
    <t>Horno microondas</t>
  </si>
  <si>
    <t>Nevera</t>
  </si>
  <si>
    <t>Fogón pequeño de 2 puestos</t>
  </si>
  <si>
    <t>Extensión del gas</t>
  </si>
  <si>
    <t>Tubo de escape</t>
  </si>
  <si>
    <t>Selladora</t>
  </si>
  <si>
    <t>Computador de escritorio</t>
  </si>
  <si>
    <t>Campana extractora con instalación</t>
  </si>
  <si>
    <t>Códigos de barras</t>
  </si>
  <si>
    <t>Aviso de fachada exterior</t>
  </si>
  <si>
    <t>Concepto previo, licencia de funcionamiento municipio de Itaguí y bomberos</t>
  </si>
  <si>
    <t>Ristra de mani (400 gms) - 10 unidades</t>
  </si>
  <si>
    <t>Bolsita individual 60 gms</t>
  </si>
  <si>
    <t>Cursos de manipulación de alimentos</t>
  </si>
  <si>
    <t>INDUSTRIIA Y COMERCIO</t>
  </si>
  <si>
    <t>Carrito manicero DCK (2)</t>
  </si>
  <si>
    <t>Margen Venta DCK</t>
  </si>
  <si>
    <t>Margen promedio que le queda a DCK</t>
  </si>
  <si>
    <t>Comisiones Promedio SND "Socios Negociantes Digitales"</t>
  </si>
  <si>
    <r>
      <rPr>
        <b/>
        <sz val="11"/>
        <color theme="1"/>
        <rFont val="Calibri"/>
        <family val="2"/>
        <scheme val="minor"/>
      </rPr>
      <t>Fecha de actualización</t>
    </r>
    <r>
      <rPr>
        <sz val="11"/>
        <color theme="1"/>
        <rFont val="Calibri"/>
        <family val="2"/>
        <scheme val="minor"/>
      </rPr>
      <t>: Septiembre de 2021</t>
    </r>
  </si>
  <si>
    <t>N/A</t>
  </si>
  <si>
    <t>Margen promedio resultante en la venta al DISTRIBUIDOR ó MANERO</t>
  </si>
  <si>
    <t>Comisión Vendedor "CMDCK" CARRITO MANICERO</t>
  </si>
  <si>
    <t>Cont. Maní GRS</t>
  </si>
  <si>
    <t>DISTRIBUIDOR MAYORISTA - DISTRIBUIDOR INDEPENDIENTE - PUNTO DE VENTA - CARRITOS MANICEROS - ECOMMERCE</t>
  </si>
  <si>
    <r>
      <t xml:space="preserve">Canal Nivel 4
</t>
    </r>
    <r>
      <rPr>
        <sz val="10"/>
        <color theme="1"/>
        <rFont val="Calibri"/>
        <family val="2"/>
        <scheme val="minor"/>
      </rPr>
      <t>"CMDCK" Carritos Maniceros DCK</t>
    </r>
  </si>
  <si>
    <t>ESTRATEGIA &amp; CONDICIONES LISTAS DE PRECIOS</t>
  </si>
  <si>
    <r>
      <t>2. A los vendedores del distribuidor mayorista: S</t>
    </r>
    <r>
      <rPr>
        <sz val="11"/>
        <color theme="1"/>
        <rFont val="Calibri"/>
        <family val="2"/>
        <scheme val="minor"/>
      </rPr>
      <t>e les motiva con $ 100 por cada RISTRA vendido, a partir de una venta de $ 500.000</t>
    </r>
  </si>
  <si>
    <r>
      <t xml:space="preserve">1. Para otorgar precios al por mayor:  </t>
    </r>
    <r>
      <rPr>
        <sz val="11"/>
        <color theme="1"/>
        <rFont val="Calibri"/>
        <family val="2"/>
        <scheme val="minor"/>
      </rPr>
      <t>Compra mínima de $ 500.000 en combinación de cualquiera de los 4 sabores en las 8 presentaciones</t>
    </r>
  </si>
  <si>
    <r>
      <t xml:space="preserve">3. Para otorgar las comisiones del "NVD" Negocio de Ventas Digital </t>
    </r>
    <r>
      <rPr>
        <sz val="11"/>
        <color theme="1"/>
        <rFont val="Calibri"/>
        <family val="2"/>
        <scheme val="minor"/>
      </rPr>
      <t>se debe realizar una compra mínima mensual de $ 150.000 directa o con su red</t>
    </r>
  </si>
  <si>
    <t>Precio Venta para canal Ecommerce. Market Places,   + NVD DCK</t>
  </si>
  <si>
    <r>
      <t xml:space="preserve">Canal Nivel 5
</t>
    </r>
    <r>
      <rPr>
        <sz val="8"/>
        <color theme="1"/>
        <rFont val="Calibri"/>
        <family val="2"/>
        <scheme val="minor"/>
      </rPr>
      <t>ECOMMERCE, MARKET PLACES + NVD: Dcto del 5% sobre precio sugerido a cliente final</t>
    </r>
  </si>
  <si>
    <t>Punto de Venta Directo</t>
  </si>
  <si>
    <t xml:space="preserve">Ristra tradicional de 10 Unds </t>
  </si>
  <si>
    <t>Bolsita individual</t>
  </si>
  <si>
    <r>
      <t xml:space="preserve">Canal Nivel 1: </t>
    </r>
    <r>
      <rPr>
        <sz val="8"/>
        <color theme="1"/>
        <rFont val="Calibri"/>
        <family val="2"/>
        <scheme val="minor"/>
      </rPr>
      <t>Distribuidores Mayoristas y Distribuidores Independientes</t>
    </r>
  </si>
  <si>
    <t>LISTAS DE PRECIOS, CANALES DE VENTA, SABORES &amp; PRESENTACIONES DCK</t>
  </si>
  <si>
    <r>
      <t xml:space="preserve">Canal Nivel 3
PVD DCK: 
</t>
    </r>
    <r>
      <rPr>
        <sz val="9"/>
        <color theme="1"/>
        <rFont val="Calibri"/>
        <family val="2"/>
        <scheme val="minor"/>
      </rPr>
      <t>Punto de Venta Directo DCK</t>
    </r>
  </si>
  <si>
    <r>
      <t xml:space="preserve">Canal Nivel 2
</t>
    </r>
    <r>
      <rPr>
        <sz val="10"/>
        <color theme="1"/>
        <rFont val="Calibri"/>
        <family val="2"/>
        <scheme val="minor"/>
      </rPr>
      <t>Tenderos</t>
    </r>
  </si>
  <si>
    <t>A. UEN  INTERMEDIARIOS</t>
  </si>
  <si>
    <t>B. UEN VENTAS DIRECTAS</t>
  </si>
  <si>
    <r>
      <t xml:space="preserve">PVP CANAL </t>
    </r>
    <r>
      <rPr>
        <sz val="9.5"/>
        <color theme="1"/>
        <rFont val="Calibri"/>
        <family val="2"/>
        <scheme val="minor"/>
      </rPr>
      <t>INTERMEDIARIOS</t>
    </r>
  </si>
  <si>
    <t>Precio Venta Sugerido Cliente Final</t>
  </si>
  <si>
    <t>PRESUPUESTO DE VENTAS DELICROKANTE x PRESENTACION &amp; CANAL DE VENTA (AÑOS 1 AL 5)</t>
  </si>
  <si>
    <t>Consolidado de Ventas</t>
  </si>
  <si>
    <r>
      <t xml:space="preserve">Canal Nivel 1: </t>
    </r>
    <r>
      <rPr>
        <sz val="8"/>
        <color theme="1"/>
        <rFont val="Times New Roman"/>
        <family val="1"/>
      </rPr>
      <t>Distribuidores Mayoristas y Distribuidores Independientes</t>
    </r>
  </si>
  <si>
    <r>
      <t xml:space="preserve">Canal Nivel 2: 
</t>
    </r>
    <r>
      <rPr>
        <sz val="8"/>
        <color theme="1"/>
        <rFont val="Times New Roman"/>
        <family val="1"/>
      </rPr>
      <t>Tenderos</t>
    </r>
  </si>
  <si>
    <r>
      <t xml:space="preserve">Canal Nivel 3
PVD DCK: 
</t>
    </r>
    <r>
      <rPr>
        <sz val="9"/>
        <color theme="1"/>
        <rFont val="Times New Roman"/>
        <family val="1"/>
      </rPr>
      <t>Punto de Venta Directo DCK</t>
    </r>
  </si>
  <si>
    <r>
      <t xml:space="preserve">Canal Nivel 4
</t>
    </r>
    <r>
      <rPr>
        <sz val="10"/>
        <color theme="1"/>
        <rFont val="Times New Roman"/>
        <family val="1"/>
      </rPr>
      <t>"CMDCK" Carritos Maniceros DCK</t>
    </r>
  </si>
  <si>
    <r>
      <t xml:space="preserve">Canal Nivel 5
</t>
    </r>
    <r>
      <rPr>
        <sz val="7"/>
        <color theme="1"/>
        <rFont val="Times New Roman"/>
        <family val="1"/>
      </rPr>
      <t>ECOMMERCE, NVD (NEGOCIO VENTA DIGITAL), MARKET PLACES</t>
    </r>
  </si>
  <si>
    <t>Precio venta Promedio</t>
  </si>
  <si>
    <t>Cantidad</t>
  </si>
  <si>
    <t>$ Venta</t>
  </si>
  <si>
    <t>% Part Vta $</t>
  </si>
  <si>
    <t>AÑO 2022</t>
  </si>
  <si>
    <t xml:space="preserve">Ristra 10 Unds </t>
  </si>
  <si>
    <t>GRAN TOTAL AÑO</t>
  </si>
  <si>
    <t>AÑO 2023</t>
  </si>
  <si>
    <t>AÑO 2024</t>
  </si>
  <si>
    <t>AÑO 2025</t>
  </si>
  <si>
    <t>AÑO 2026</t>
  </si>
  <si>
    <t>Actividad</t>
  </si>
  <si>
    <t>Valor Unitario</t>
  </si>
  <si>
    <t>Valor Total</t>
  </si>
  <si>
    <t>Fuente</t>
  </si>
  <si>
    <t>PRESUPUESTO DE GASTOS DE COMERCIALIZACION</t>
  </si>
  <si>
    <t>Estrategia de Producto &amp; Servicio</t>
  </si>
  <si>
    <t>Periodicidad</t>
  </si>
  <si>
    <t>Mensual</t>
  </si>
  <si>
    <t>Detalle</t>
  </si>
  <si>
    <t xml:space="preserve"> Para entrega de productos domicilios y compra de algunos de los insumos y materias prima</t>
  </si>
  <si>
    <t>Estrategia de Promoción &amp; Comunicación</t>
  </si>
  <si>
    <t>Estrategia de Fuerza de Ventas</t>
  </si>
  <si>
    <t>Compra Carritos Maniceros DCK</t>
  </si>
  <si>
    <t>Anuncios Facebook y redirigir tráfico Landing page</t>
  </si>
  <si>
    <t>Brandeo carrito manicero DCK</t>
  </si>
  <si>
    <t>GASTOS UNICA VEZ</t>
  </si>
  <si>
    <t>GASTOS MENSUALES</t>
  </si>
  <si>
    <t>GASTOS TOTALES</t>
  </si>
  <si>
    <t>Inversión Inicial Socios</t>
  </si>
  <si>
    <t>Compra de Motocicleta con Parrilla</t>
  </si>
  <si>
    <t>Única Vez</t>
  </si>
  <si>
    <t>Compra de los carritos para la atención de este canal de ventas</t>
  </si>
  <si>
    <t>Inversión Inicial Socios (2 meses iniciales) + gasto fijo mensual posteriormente</t>
  </si>
  <si>
    <t>CONCEPTO</t>
  </si>
  <si>
    <t>SALARIO</t>
  </si>
  <si>
    <t>VALOR CON PRESTACIONES</t>
  </si>
  <si>
    <t>Supervisor</t>
  </si>
  <si>
    <t>ADMINISTRATIVA</t>
  </si>
  <si>
    <t>Domiciliario /Montador /Empacador</t>
  </si>
  <si>
    <t>Operario de Producción</t>
  </si>
  <si>
    <t>CARGO/
FUNCION</t>
  </si>
  <si>
    <t>AÑO 1: 2022</t>
  </si>
  <si>
    <t>PRODUCCIÓN/
SERVICIO</t>
  </si>
  <si>
    <t>AÑO 2: 2023</t>
  </si>
  <si>
    <t>AÑO 3: 2024</t>
  </si>
  <si>
    <t>AÑO 4: 2025</t>
  </si>
  <si>
    <t>AÑO 5: 2026</t>
  </si>
  <si>
    <t>GRAN TOTAL GASTOS SALARIALES</t>
  </si>
  <si>
    <t>PRESUPUESTO DE GASTOS DE NOMINA DETALLADO x AÑO &amp; CARGO</t>
  </si>
  <si>
    <t>Outsourcing página web, landing page y redes sociales:: Fee de creación y mantenimiento y actualizaciones mensuales. Las redes sociales son Twitter, Facebook, Instagram, Tik Tok, YouTube y Pinterest</t>
  </si>
  <si>
    <t>Campaña redes sociales para NVD (Negocio de Venta Digital, diversas redes como: Twitter, Facebook, Instagram, Tik Tok, YouTube y Pinterest</t>
  </si>
  <si>
    <t>Contratación trabajo y/o Campañas de SEO</t>
  </si>
  <si>
    <t>Estrategia de Distribución</t>
  </si>
  <si>
    <t>Tríptico/Plegable/Volante</t>
  </si>
  <si>
    <t>Pendón para punto de venta directo</t>
  </si>
  <si>
    <t>PLAN DE COMPRAS DELICROKANTE</t>
  </si>
  <si>
    <t>Brochure Marca &amp; Producto</t>
  </si>
  <si>
    <t>Brochure de presentación de la empresa con sus 5 presnetaciones, 4 sabores y formas de comercialización</t>
  </si>
  <si>
    <r>
      <t xml:space="preserve">Costo Empaque </t>
    </r>
    <r>
      <rPr>
        <sz val="8"/>
        <color theme="1"/>
        <rFont val="Calibri"/>
        <family val="2"/>
        <scheme val="minor"/>
      </rPr>
      <t>(Ristra
+
bolsa)</t>
    </r>
  </si>
  <si>
    <r>
      <t xml:space="preserve">PPTO VENTAS ANUAL 
DISTRIBUIDOR </t>
    </r>
    <r>
      <rPr>
        <b/>
        <sz val="11"/>
        <color rgb="FFFF0000"/>
        <rFont val="Times New Roman"/>
        <family val="1"/>
      </rPr>
      <t># 1</t>
    </r>
  </si>
  <si>
    <r>
      <t xml:space="preserve">PPTO VENTAS ANUAL 
DISTRIBUIDOR </t>
    </r>
    <r>
      <rPr>
        <b/>
        <sz val="11"/>
        <color rgb="FFFF0000"/>
        <rFont val="Times New Roman"/>
        <family val="1"/>
      </rPr>
      <t># 2</t>
    </r>
  </si>
  <si>
    <r>
      <t xml:space="preserve">PPTO VENTAS ANUAL 
DISTRIBUIDOR </t>
    </r>
    <r>
      <rPr>
        <b/>
        <sz val="11"/>
        <color rgb="FFFF0000"/>
        <rFont val="Times New Roman"/>
        <family val="1"/>
      </rPr>
      <t># 3</t>
    </r>
  </si>
  <si>
    <r>
      <t xml:space="preserve">PPTO VENTAS ANUAL 
DISTRIBUIDOR </t>
    </r>
    <r>
      <rPr>
        <b/>
        <sz val="11"/>
        <color rgb="FFFF0000"/>
        <rFont val="Times New Roman"/>
        <family val="1"/>
      </rPr>
      <t># 4</t>
    </r>
  </si>
  <si>
    <r>
      <t xml:space="preserve">PPTO VENTAS ANUAL 
DISTRIBUIDOR </t>
    </r>
    <r>
      <rPr>
        <b/>
        <sz val="11"/>
        <color rgb="FFFF0000"/>
        <rFont val="Times New Roman"/>
        <family val="1"/>
      </rPr>
      <t># 5</t>
    </r>
  </si>
  <si>
    <r>
      <t xml:space="preserve">PPTO VENTAS ANUAL 
DISTRIBUIDOR </t>
    </r>
    <r>
      <rPr>
        <b/>
        <sz val="11"/>
        <color rgb="FFFF0000"/>
        <rFont val="Times New Roman"/>
        <family val="1"/>
      </rPr>
      <t># 6</t>
    </r>
  </si>
  <si>
    <r>
      <t xml:space="preserve">PPTO VENTAS ANUAL 
DISTRIBUIDOR </t>
    </r>
    <r>
      <rPr>
        <b/>
        <sz val="11"/>
        <color rgb="FFFF0000"/>
        <rFont val="Times New Roman"/>
        <family val="1"/>
      </rPr>
      <t># 7</t>
    </r>
  </si>
  <si>
    <r>
      <t xml:space="preserve">PPTO VENTAS ANUAL 
DISTRIBUIDOR </t>
    </r>
    <r>
      <rPr>
        <b/>
        <sz val="11"/>
        <color rgb="FFFF0000"/>
        <rFont val="Times New Roman"/>
        <family val="1"/>
      </rPr>
      <t># 8</t>
    </r>
  </si>
  <si>
    <r>
      <t xml:space="preserve">PPTO VENTAS ANUAL 
DISTRIBUIDOR </t>
    </r>
    <r>
      <rPr>
        <b/>
        <sz val="11"/>
        <color rgb="FFFF0000"/>
        <rFont val="Times New Roman"/>
        <family val="1"/>
      </rPr>
      <t># 9</t>
    </r>
  </si>
  <si>
    <r>
      <t xml:space="preserve">PPTO VENTAS ANUAL 
DISTRIBUIDOR </t>
    </r>
    <r>
      <rPr>
        <b/>
        <sz val="11"/>
        <color rgb="FFFF0000"/>
        <rFont val="Times New Roman"/>
        <family val="1"/>
      </rPr>
      <t># 10</t>
    </r>
  </si>
  <si>
    <r>
      <t xml:space="preserve">PPTO VENTAS ANUAL 
DISTRIBUIDOR </t>
    </r>
    <r>
      <rPr>
        <b/>
        <sz val="11"/>
        <color rgb="FFFF0000"/>
        <rFont val="Times New Roman"/>
        <family val="1"/>
      </rPr>
      <t># 11</t>
    </r>
  </si>
  <si>
    <r>
      <t xml:space="preserve">PPTO VENTAS ANUAL 
DISTRIBUIDOR </t>
    </r>
    <r>
      <rPr>
        <b/>
        <sz val="11"/>
        <color rgb="FFFF0000"/>
        <rFont val="Times New Roman"/>
        <family val="1"/>
      </rPr>
      <t># 12</t>
    </r>
  </si>
  <si>
    <r>
      <t xml:space="preserve">PPTO VENTAS ANUAL 
DISTRIBUIDOR </t>
    </r>
    <r>
      <rPr>
        <b/>
        <sz val="11"/>
        <color rgb="FFFF0000"/>
        <rFont val="Times New Roman"/>
        <family val="1"/>
      </rPr>
      <t># 13</t>
    </r>
  </si>
  <si>
    <r>
      <t xml:space="preserve">PPTO VENTAS ANUAL 
DISTRIBUIDOR </t>
    </r>
    <r>
      <rPr>
        <b/>
        <sz val="11"/>
        <color rgb="FFFF0000"/>
        <rFont val="Times New Roman"/>
        <family val="1"/>
      </rPr>
      <t># 14</t>
    </r>
  </si>
  <si>
    <r>
      <t xml:space="preserve">PPTO VENTAS ANUAL 
DISTRIBUIDOR </t>
    </r>
    <r>
      <rPr>
        <b/>
        <sz val="11"/>
        <color rgb="FFFF0000"/>
        <rFont val="Times New Roman"/>
        <family val="1"/>
      </rPr>
      <t># 15</t>
    </r>
  </si>
  <si>
    <r>
      <t xml:space="preserve">PPTO VENTAS ANUAL 
DISTRIBUIDOR </t>
    </r>
    <r>
      <rPr>
        <b/>
        <sz val="11"/>
        <color rgb="FFFF0000"/>
        <rFont val="Times New Roman"/>
        <family val="1"/>
      </rPr>
      <t># 16</t>
    </r>
  </si>
  <si>
    <r>
      <t xml:space="preserve">PPTO VENTAS ANUAL 
DISTRIBUIDOR </t>
    </r>
    <r>
      <rPr>
        <b/>
        <sz val="11"/>
        <color rgb="FFFF0000"/>
        <rFont val="Times New Roman"/>
        <family val="1"/>
      </rPr>
      <t># 17</t>
    </r>
  </si>
  <si>
    <r>
      <t xml:space="preserve">PPTO VENTAS ANUAL 
DISTRIBUIDOR </t>
    </r>
    <r>
      <rPr>
        <b/>
        <sz val="11"/>
        <color rgb="FFFF0000"/>
        <rFont val="Times New Roman"/>
        <family val="1"/>
      </rPr>
      <t># 18</t>
    </r>
  </si>
  <si>
    <r>
      <t xml:space="preserve">PPTO VENTAS ANUAL 
DISTRIBUIDOR </t>
    </r>
    <r>
      <rPr>
        <b/>
        <sz val="11"/>
        <color rgb="FFFF0000"/>
        <rFont val="Times New Roman"/>
        <family val="1"/>
      </rPr>
      <t># 19</t>
    </r>
  </si>
  <si>
    <r>
      <t xml:space="preserve">PPTO VENTAS ANUAL 
DISTRIBUIDOR </t>
    </r>
    <r>
      <rPr>
        <b/>
        <sz val="11"/>
        <color rgb="FFFF0000"/>
        <rFont val="Times New Roman"/>
        <family val="1"/>
      </rPr>
      <t># 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</si>
</sst>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 #,##0_-;\-&quot;$&quot;\ * #,##0_-;_-&quot;$&quot;\ * &quot;-&quot;_-;_-@_-"/>
    <numFmt numFmtId="41" formatCode="_-* #,##0_-;\-* #,##0_-;_-* &quot;-&quot;_-;_-@_-"/>
    <numFmt numFmtId="44" formatCode="_-&quot;$&quot;\ * #,##0.00_-;\-&quot;$&quot;\ * #,##0.00_-;_-&quot;$&quot;\ * &quot;-&quot;??_-;_-@_-"/>
    <numFmt numFmtId="164" formatCode="&quot;$&quot;#,##0.00;[Red]\-&quot;$&quot;#,##0.00"/>
    <numFmt numFmtId="165" formatCode="_(&quot;$&quot;\ * #,##0.00_);_(&quot;$&quot;\ * \(#,##0.00\);_(&quot;$&quot;\ * &quot;-&quot;??_);_(@_)"/>
    <numFmt numFmtId="166" formatCode="_(* #,##0.00_);_(* \(#,##0.00\);_(* &quot;-&quot;??_);_(@_)"/>
    <numFmt numFmtId="167" formatCode="_(&quot;$&quot;\ * #,##0_);_(&quot;$&quot;\ * \(#,##0\);_(&quot;$&quot;\ * &quot;-&quot;??_);_(@_)"/>
    <numFmt numFmtId="168" formatCode="0.0%"/>
    <numFmt numFmtId="169" formatCode="_([$$-240A]\ * #,##0.00_);_([$$-240A]\ * \(#,##0.00\);_([$$-240A]\ * &quot;-&quot;??_);_(@_)"/>
    <numFmt numFmtId="170" formatCode="_ &quot;$&quot;\ * #,##0_ ;_ &quot;$&quot;\ * \-#,##0_ ;_ &quot;$&quot;\ * &quot;-&quot;??_ ;_ @_ "/>
    <numFmt numFmtId="171" formatCode="_(&quot;$&quot;\ * #,##0.0_);_(&quot;$&quot;\ * \(#,##0.0\);_(&quot;$&quot;\ * &quot;-&quot;?_);_(@_)"/>
    <numFmt numFmtId="172" formatCode="_(* #,##0_);_(* \(#,##0\);_(* &quot;-&quot;??_);_(@_)"/>
    <numFmt numFmtId="173" formatCode="_ &quot;$&quot;\ * #,##0.0_ ;_ &quot;$&quot;\ * \-#,##0.0_ ;_ &quot;$&quot;\ * &quot;-&quot;??_ ;_ @_ "/>
    <numFmt numFmtId="174" formatCode="_ * #,##0.00_ ;_ * \-#,##0.00_ ;_ * &quot;-&quot;??_ ;_ @_ "/>
    <numFmt numFmtId="175" formatCode="_-&quot;$&quot;* #,##0.0_-;\-&quot;$&quot;* #,##0.0_-;_-&quot;$&quot;* &quot;-&quot;??_-;_-@_-"/>
    <numFmt numFmtId="176" formatCode="&quot;$&quot;#,##0"/>
    <numFmt numFmtId="177" formatCode="&quot;$&quot;\ #,##0_);[Red]\(&quot;$&quot;\ #,##0\)"/>
    <numFmt numFmtId="178" formatCode="_-&quot;$&quot;* #,##0_-;\-&quot;$&quot;* #,##0_-;_-&quot;$&quot;* &quot;-&quot;??_-;_-@_-"/>
    <numFmt numFmtId="179" formatCode="_(&quot;$&quot;\ * #,##0.0_);_(&quot;$&quot;\ * \(#,##0.0\);_(&quot;$&quot;\ * &quot;-&quot;??_);_(@_)"/>
  </numFmts>
  <fonts count="85">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b/>
      <sz val="1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font>
    <font>
      <b/>
      <sz val="9"/>
      <color theme="1"/>
      <name val="Aharoni"/>
    </font>
    <font>
      <sz val="10"/>
      <color theme="1"/>
      <name val="Aharoni"/>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
      <b/>
      <sz val="11"/>
      <color rgb="FFFF0000"/>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b/>
      <u/>
      <sz val="11"/>
      <color theme="1"/>
      <name val="Calibri"/>
      <family val="2"/>
      <scheme val="minor"/>
    </font>
    <font>
      <b/>
      <sz val="8"/>
      <color theme="1"/>
      <name val="Calibri"/>
      <family val="2"/>
      <scheme val="minor"/>
    </font>
    <font>
      <b/>
      <sz val="10"/>
      <color rgb="FFFF0000"/>
      <name val="Calibri"/>
      <family val="2"/>
      <scheme val="minor"/>
    </font>
    <font>
      <b/>
      <sz val="8"/>
      <color rgb="FFFF0000"/>
      <name val="Calibri"/>
      <family val="2"/>
      <scheme val="minor"/>
    </font>
    <font>
      <sz val="9"/>
      <color theme="1"/>
      <name val="Calibri"/>
      <family val="2"/>
      <scheme val="minor"/>
    </font>
    <font>
      <sz val="8"/>
      <color theme="1"/>
      <name val="Calibri"/>
      <family val="2"/>
      <scheme val="minor"/>
    </font>
    <font>
      <b/>
      <sz val="10"/>
      <name val="Calibri"/>
      <family val="2"/>
      <scheme val="minor"/>
    </font>
    <font>
      <sz val="9.5"/>
      <color theme="1"/>
      <name val="Calibri"/>
      <family val="2"/>
      <scheme val="minor"/>
    </font>
    <font>
      <b/>
      <sz val="14"/>
      <color theme="1"/>
      <name val="Times New Roman"/>
      <family val="1"/>
    </font>
    <font>
      <sz val="11"/>
      <color theme="1"/>
      <name val="Times New Roman"/>
      <family val="1"/>
    </font>
    <font>
      <b/>
      <sz val="12"/>
      <color theme="1"/>
      <name val="Times New Roman"/>
      <family val="1"/>
    </font>
    <font>
      <b/>
      <sz val="10"/>
      <color rgb="FFFF0000"/>
      <name val="Times New Roman"/>
      <family val="1"/>
    </font>
    <font>
      <b/>
      <sz val="11"/>
      <color theme="1"/>
      <name val="Times New Roman"/>
      <family val="1"/>
    </font>
    <font>
      <sz val="8"/>
      <color theme="1"/>
      <name val="Times New Roman"/>
      <family val="1"/>
    </font>
    <font>
      <b/>
      <sz val="10"/>
      <color theme="1"/>
      <name val="Times New Roman"/>
      <family val="1"/>
    </font>
    <font>
      <sz val="9"/>
      <color theme="1"/>
      <name val="Times New Roman"/>
      <family val="1"/>
    </font>
    <font>
      <sz val="10"/>
      <color theme="1"/>
      <name val="Times New Roman"/>
      <family val="1"/>
    </font>
    <font>
      <sz val="7"/>
      <color theme="1"/>
      <name val="Times New Roman"/>
      <family val="1"/>
    </font>
    <font>
      <b/>
      <sz val="8"/>
      <color theme="1"/>
      <name val="Times New Roman"/>
      <family val="1"/>
    </font>
    <font>
      <b/>
      <sz val="9"/>
      <color theme="1"/>
      <name val="Times New Roman"/>
      <family val="1"/>
    </font>
    <font>
      <b/>
      <sz val="8"/>
      <color rgb="FF0070C0"/>
      <name val="Times New Roman"/>
      <family val="1"/>
    </font>
    <font>
      <b/>
      <sz val="8"/>
      <color rgb="FFFF0000"/>
      <name val="Times New Roman"/>
      <family val="1"/>
    </font>
    <font>
      <b/>
      <sz val="10"/>
      <color rgb="FF00B050"/>
      <name val="Times New Roman"/>
      <family val="1"/>
    </font>
    <font>
      <b/>
      <sz val="10"/>
      <color rgb="FF0070C0"/>
      <name val="Times New Roman"/>
      <family val="1"/>
    </font>
    <font>
      <b/>
      <sz val="11"/>
      <color rgb="FF002060"/>
      <name val="Times New Roman"/>
      <family val="1"/>
    </font>
    <font>
      <b/>
      <sz val="11"/>
      <color rgb="FF002060"/>
      <name val="Calibri"/>
      <family val="2"/>
      <scheme val="minor"/>
    </font>
    <font>
      <b/>
      <sz val="11"/>
      <color rgb="FFFF0000"/>
      <name val="Times New Roman"/>
      <family val="1"/>
    </font>
  </fonts>
  <fills count="22">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s>
  <borders count="36">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0">
    <xf numFmtId="0" fontId="0" fillId="0" borderId="0"/>
    <xf numFmtId="165" fontId="1" fillId="0" borderId="0" applyFont="0" applyFill="0" applyBorder="0" applyAlignment="0" applyProtection="0"/>
    <xf numFmtId="9"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0" fontId="36" fillId="0" borderId="0" applyNumberFormat="0" applyFill="0" applyBorder="0" applyAlignment="0" applyProtection="0"/>
    <xf numFmtId="0" fontId="20" fillId="0" borderId="0"/>
    <xf numFmtId="41"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cellStyleXfs>
  <cellXfs count="482">
    <xf numFmtId="0" fontId="0" fillId="0" borderId="0" xfId="0"/>
    <xf numFmtId="0" fontId="25" fillId="0" borderId="0" xfId="0" applyFont="1" applyFill="1" applyBorder="1" applyProtection="1">
      <protection hidden="1"/>
    </xf>
    <xf numFmtId="170" fontId="0" fillId="0" borderId="0" xfId="1" applyNumberFormat="1" applyFont="1" applyFill="1" applyProtection="1">
      <protection hidden="1"/>
    </xf>
    <xf numFmtId="170" fontId="0" fillId="0" borderId="7" xfId="1" applyNumberFormat="1" applyFont="1" applyFill="1" applyBorder="1" applyProtection="1">
      <protection hidden="1"/>
    </xf>
    <xf numFmtId="0" fontId="26" fillId="0" borderId="0" xfId="0" applyFont="1" applyFill="1" applyBorder="1" applyProtection="1">
      <protection hidden="1"/>
    </xf>
    <xf numFmtId="170" fontId="24" fillId="0" borderId="0" xfId="1" applyNumberFormat="1" applyFont="1" applyFill="1" applyProtection="1">
      <protection hidden="1"/>
    </xf>
    <xf numFmtId="170" fontId="24" fillId="0" borderId="1" xfId="1" applyNumberFormat="1" applyFont="1" applyFill="1" applyBorder="1" applyProtection="1">
      <protection hidden="1"/>
    </xf>
    <xf numFmtId="172" fontId="20" fillId="0" borderId="0" xfId="3" applyNumberFormat="1" applyFont="1" applyFill="1" applyProtection="1">
      <protection hidden="1"/>
    </xf>
    <xf numFmtId="0" fontId="0" fillId="0" borderId="0" xfId="0" applyFill="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172" fontId="27" fillId="0" borderId="0" xfId="3" applyNumberFormat="1" applyFont="1" applyFill="1" applyBorder="1" applyProtection="1">
      <protection hidden="1"/>
    </xf>
    <xf numFmtId="0" fontId="28" fillId="0" borderId="0" xfId="0" applyFont="1" applyFill="1" applyBorder="1" applyProtection="1">
      <protection hidden="1"/>
    </xf>
    <xf numFmtId="0" fontId="29" fillId="4" borderId="0" xfId="0" applyFont="1" applyFill="1" applyProtection="1">
      <protection locked="0"/>
    </xf>
    <xf numFmtId="165" fontId="29" fillId="4" borderId="0" xfId="1" applyFont="1" applyFill="1" applyProtection="1">
      <protection locked="0"/>
    </xf>
    <xf numFmtId="0" fontId="0" fillId="0" borderId="0" xfId="0"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7" fontId="6" fillId="0" borderId="0" xfId="1" applyNumberFormat="1" applyFont="1" applyProtection="1">
      <protection hidden="1"/>
    </xf>
    <xf numFmtId="9" fontId="0" fillId="0" borderId="0" xfId="2" applyFont="1" applyAlignment="1" applyProtection="1">
      <alignment horizontal="center"/>
      <protection hidden="1"/>
    </xf>
    <xf numFmtId="167" fontId="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12" fillId="0" borderId="4" xfId="0" applyFont="1" applyFill="1" applyBorder="1" applyProtection="1">
      <protection hidden="1"/>
    </xf>
    <xf numFmtId="0" fontId="13" fillId="0" borderId="5" xfId="0" applyFont="1" applyFill="1" applyBorder="1" applyAlignment="1" applyProtection="1">
      <alignment horizontal="center"/>
      <protection hidden="1"/>
    </xf>
    <xf numFmtId="0" fontId="13" fillId="0" borderId="6" xfId="0" applyFont="1" applyFill="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7" fontId="7" fillId="5" borderId="0" xfId="0" applyNumberFormat="1" applyFont="1" applyFill="1" applyProtection="1">
      <protection hidden="1"/>
    </xf>
    <xf numFmtId="9" fontId="7" fillId="5" borderId="0" xfId="2" applyFont="1" applyFill="1" applyAlignment="1" applyProtection="1">
      <alignment horizontal="center"/>
      <protection hidden="1"/>
    </xf>
    <xf numFmtId="165" fontId="2" fillId="0" borderId="0" xfId="0" applyNumberFormat="1" applyFont="1" applyProtection="1">
      <protection hidden="1"/>
    </xf>
    <xf numFmtId="167"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69"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0" fontId="16" fillId="0" borderId="0" xfId="0" applyFont="1" applyProtection="1">
      <protection hidden="1"/>
    </xf>
    <xf numFmtId="9" fontId="29" fillId="4" borderId="0" xfId="2" applyFont="1" applyFill="1" applyProtection="1">
      <protection locked="0"/>
    </xf>
    <xf numFmtId="168" fontId="30" fillId="6" borderId="0" xfId="2" applyNumberFormat="1" applyFont="1" applyFill="1" applyBorder="1" applyProtection="1">
      <protection locked="0"/>
    </xf>
    <xf numFmtId="168" fontId="30" fillId="6" borderId="14" xfId="2" applyNumberFormat="1" applyFont="1" applyFill="1" applyBorder="1" applyProtection="1">
      <protection locked="0"/>
    </xf>
    <xf numFmtId="168" fontId="30" fillId="6" borderId="3" xfId="2" applyNumberFormat="1" applyFont="1" applyFill="1" applyBorder="1" applyProtection="1">
      <protection locked="0"/>
    </xf>
    <xf numFmtId="168" fontId="30" fillId="6" borderId="12" xfId="2" applyNumberFormat="1" applyFont="1" applyFill="1" applyBorder="1" applyProtection="1">
      <protection locked="0"/>
    </xf>
    <xf numFmtId="168" fontId="30" fillId="6" borderId="5" xfId="2" applyNumberFormat="1" applyFont="1" applyFill="1" applyBorder="1" applyProtection="1">
      <protection locked="0"/>
    </xf>
    <xf numFmtId="166" fontId="29" fillId="4" borderId="0" xfId="4" applyFont="1" applyFill="1" applyProtection="1">
      <protection locked="0"/>
    </xf>
    <xf numFmtId="0" fontId="13" fillId="0" borderId="0" xfId="0" applyFont="1" applyAlignment="1" applyProtection="1">
      <alignment horizontal="center" vertical="center"/>
      <protection hidden="1"/>
    </xf>
    <xf numFmtId="0" fontId="26" fillId="5" borderId="0" xfId="0" applyFont="1" applyFill="1" applyBorder="1" applyProtection="1">
      <protection hidden="1"/>
    </xf>
    <xf numFmtId="0" fontId="0" fillId="5" borderId="0" xfId="0" applyFill="1" applyProtection="1">
      <protection hidden="1"/>
    </xf>
    <xf numFmtId="170"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0" fontId="2" fillId="0" borderId="1" xfId="0" applyFont="1" applyBorder="1" applyProtection="1">
      <protection hidden="1"/>
    </xf>
    <xf numFmtId="171" fontId="0" fillId="0" borderId="0" xfId="0" applyNumberFormat="1" applyProtection="1">
      <protection hidden="1"/>
    </xf>
    <xf numFmtId="0" fontId="23" fillId="0" borderId="0" xfId="0" applyFont="1" applyAlignment="1" applyProtection="1">
      <alignment horizontal="center" vertical="center"/>
      <protection hidden="1"/>
    </xf>
    <xf numFmtId="165" fontId="2" fillId="0" borderId="1" xfId="0" applyNumberFormat="1" applyFont="1" applyBorder="1" applyProtection="1">
      <protection hidden="1"/>
    </xf>
    <xf numFmtId="165" fontId="0" fillId="5" borderId="0" xfId="0" applyNumberFormat="1" applyFill="1" applyProtection="1">
      <protection hidden="1"/>
    </xf>
    <xf numFmtId="0" fontId="18" fillId="0" borderId="0" xfId="0" applyFont="1" applyProtection="1">
      <protection hidden="1"/>
    </xf>
    <xf numFmtId="165" fontId="18" fillId="0" borderId="0" xfId="0"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0" fontId="6" fillId="0" borderId="0" xfId="0" applyFont="1" applyAlignment="1" applyProtection="1">
      <protection hidden="1"/>
    </xf>
    <xf numFmtId="165" fontId="6" fillId="0" borderId="0" xfId="0" applyNumberFormat="1" applyFont="1" applyAlignment="1" applyProtection="1">
      <protection hidden="1"/>
    </xf>
    <xf numFmtId="9" fontId="6" fillId="0" borderId="0" xfId="0" applyNumberFormat="1" applyFont="1" applyProtection="1">
      <protection hidden="1"/>
    </xf>
    <xf numFmtId="165" fontId="6" fillId="0" borderId="0" xfId="0" applyNumberFormat="1" applyFont="1" applyProtection="1">
      <protection hidden="1"/>
    </xf>
    <xf numFmtId="166" fontId="6" fillId="0" borderId="0" xfId="0" applyNumberFormat="1" applyFont="1" applyProtection="1">
      <protection hidden="1"/>
    </xf>
    <xf numFmtId="166"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5" fontId="0" fillId="0" borderId="0" xfId="0" applyNumberFormat="1" applyAlignment="1" applyProtection="1">
      <protection hidden="1"/>
    </xf>
    <xf numFmtId="9" fontId="0" fillId="0" borderId="0" xfId="0" applyNumberFormat="1" applyProtection="1">
      <protection hidden="1"/>
    </xf>
    <xf numFmtId="166" fontId="35" fillId="0" borderId="0" xfId="4" applyFont="1" applyProtection="1">
      <protection hidden="1"/>
    </xf>
    <xf numFmtId="0" fontId="2" fillId="0" borderId="0" xfId="0" applyFont="1" applyProtection="1">
      <protection hidden="1"/>
    </xf>
    <xf numFmtId="166" fontId="2" fillId="0" borderId="0" xfId="4" applyFont="1" applyProtection="1">
      <protection hidden="1"/>
    </xf>
    <xf numFmtId="0" fontId="21" fillId="0" borderId="8" xfId="0" applyFont="1" applyBorder="1" applyProtection="1">
      <protection hidden="1"/>
    </xf>
    <xf numFmtId="164" fontId="0" fillId="0" borderId="0" xfId="0" applyNumberFormat="1" applyProtection="1">
      <protection hidden="1"/>
    </xf>
    <xf numFmtId="0" fontId="20" fillId="0" borderId="0" xfId="6"/>
    <xf numFmtId="174" fontId="20" fillId="0" borderId="0" xfId="6" applyNumberFormat="1"/>
    <xf numFmtId="164" fontId="20" fillId="0" borderId="0" xfId="6" applyNumberFormat="1"/>
    <xf numFmtId="0" fontId="18" fillId="0" borderId="0" xfId="0" applyNumberFormat="1" applyFont="1" applyProtection="1">
      <protection hidden="1"/>
    </xf>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0" fontId="0" fillId="0" borderId="0" xfId="0" applyNumberFormat="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Fill="1" applyBorder="1" applyAlignment="1">
      <alignment horizontal="center"/>
    </xf>
    <xf numFmtId="0" fontId="26" fillId="0" borderId="16" xfId="0" applyFont="1" applyFill="1" applyBorder="1" applyAlignment="1">
      <alignment horizontal="center"/>
    </xf>
    <xf numFmtId="0" fontId="2" fillId="0" borderId="13" xfId="0" applyFont="1" applyBorder="1" applyAlignment="1" applyProtection="1">
      <alignment horizontal="center"/>
      <protection hidden="1"/>
    </xf>
    <xf numFmtId="175" fontId="6" fillId="0" borderId="0" xfId="0" applyNumberFormat="1" applyFont="1" applyBorder="1"/>
    <xf numFmtId="175" fontId="6" fillId="0" borderId="14" xfId="0" applyNumberFormat="1" applyFont="1" applyBorder="1"/>
    <xf numFmtId="0" fontId="2" fillId="0" borderId="11" xfId="0" applyFont="1" applyBorder="1" applyAlignment="1" applyProtection="1">
      <alignment horizontal="center"/>
      <protection hidden="1"/>
    </xf>
    <xf numFmtId="0" fontId="18" fillId="4" borderId="0" xfId="0" applyFont="1" applyFill="1" applyProtection="1">
      <protection locked="0" hidden="1"/>
    </xf>
    <xf numFmtId="0" fontId="51" fillId="0" borderId="0" xfId="0" applyFont="1" applyProtection="1">
      <protection hidden="1"/>
    </xf>
    <xf numFmtId="165" fontId="18" fillId="0" borderId="0" xfId="1" applyFont="1" applyProtection="1">
      <protection hidden="1"/>
    </xf>
    <xf numFmtId="0" fontId="18" fillId="0" borderId="0" xfId="0" applyFont="1" applyAlignment="1" applyProtection="1">
      <alignment horizontal="center"/>
      <protection hidden="1"/>
    </xf>
    <xf numFmtId="165"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0" fontId="2" fillId="0" borderId="0" xfId="0" applyFont="1" applyFill="1" applyBorder="1" applyAlignment="1">
      <alignment horizontal="center" vertical="center" wrapText="1"/>
    </xf>
    <xf numFmtId="0" fontId="54" fillId="0" borderId="0" xfId="0" applyFont="1" applyAlignment="1">
      <alignment horizontal="center" vertical="center" wrapText="1"/>
    </xf>
    <xf numFmtId="0" fontId="5" fillId="0" borderId="0" xfId="0" applyFont="1" applyAlignment="1" applyProtection="1">
      <alignment horizontal="center" vertical="center" wrapText="1"/>
      <protection hidden="1"/>
    </xf>
    <xf numFmtId="0" fontId="31" fillId="6" borderId="0" xfId="0" applyFont="1" applyFill="1" applyAlignment="1" applyProtection="1">
      <alignment horizontal="center" vertical="center"/>
      <protection hidden="1"/>
    </xf>
    <xf numFmtId="0" fontId="30" fillId="6" borderId="0" xfId="0" applyFont="1" applyFill="1" applyAlignment="1" applyProtection="1">
      <alignment horizontal="center" vertical="center"/>
      <protection locked="0"/>
    </xf>
    <xf numFmtId="0" fontId="5" fillId="0" borderId="0" xfId="0" applyFont="1" applyAlignment="1" applyProtection="1">
      <alignment horizontal="center" wrapText="1"/>
      <protection hidden="1"/>
    </xf>
    <xf numFmtId="0" fontId="57" fillId="0" borderId="0" xfId="0" applyFont="1"/>
    <xf numFmtId="0" fontId="56" fillId="5" borderId="4" xfId="0" applyFont="1" applyFill="1" applyBorder="1" applyAlignment="1">
      <alignment horizontal="center"/>
    </xf>
    <xf numFmtId="0" fontId="56" fillId="5" borderId="17" xfId="0" applyFont="1" applyFill="1" applyBorder="1" applyAlignment="1">
      <alignment horizontal="center"/>
    </xf>
    <xf numFmtId="0" fontId="57" fillId="5" borderId="9" xfId="0" applyFont="1" applyFill="1" applyBorder="1"/>
    <xf numFmtId="0" fontId="57" fillId="5" borderId="3" xfId="0" applyFont="1" applyFill="1" applyBorder="1"/>
    <xf numFmtId="0" fontId="57" fillId="5" borderId="9" xfId="0" applyFont="1" applyFill="1" applyBorder="1" applyAlignment="1">
      <alignment horizontal="left" wrapText="1"/>
    </xf>
    <xf numFmtId="0" fontId="56" fillId="0" borderId="0" xfId="0" applyFont="1" applyAlignment="1">
      <alignment horizontal="right"/>
    </xf>
    <xf numFmtId="3" fontId="56" fillId="0" borderId="0" xfId="0" applyNumberFormat="1" applyFont="1"/>
    <xf numFmtId="167" fontId="29" fillId="4" borderId="0" xfId="1" applyNumberFormat="1" applyFont="1" applyFill="1" applyProtection="1">
      <protection locked="0"/>
    </xf>
    <xf numFmtId="172" fontId="29" fillId="4" borderId="0" xfId="4" applyNumberFormat="1" applyFont="1" applyFill="1" applyProtection="1">
      <protection locked="0"/>
    </xf>
    <xf numFmtId="172" fontId="29" fillId="4" borderId="0" xfId="4" applyNumberFormat="1" applyFont="1" applyFill="1" applyAlignment="1" applyProtection="1">
      <alignment horizontal="center"/>
      <protection locked="0"/>
    </xf>
    <xf numFmtId="176" fontId="42" fillId="0" borderId="3" xfId="0" applyNumberFormat="1" applyFont="1" applyBorder="1" applyProtection="1">
      <protection hidden="1"/>
    </xf>
    <xf numFmtId="176" fontId="42" fillId="0" borderId="12" xfId="0" applyNumberFormat="1" applyFont="1" applyBorder="1" applyProtection="1">
      <protection hidden="1"/>
    </xf>
    <xf numFmtId="177" fontId="39" fillId="5" borderId="6" xfId="0" applyNumberFormat="1" applyFont="1" applyFill="1" applyBorder="1" applyProtection="1">
      <protection hidden="1"/>
    </xf>
    <xf numFmtId="167" fontId="21" fillId="0" borderId="0" xfId="0" applyNumberFormat="1" applyFont="1" applyProtection="1">
      <protection hidden="1"/>
    </xf>
    <xf numFmtId="167" fontId="6" fillId="0" borderId="0" xfId="0" applyNumberFormat="1" applyFont="1" applyProtection="1">
      <protection hidden="1"/>
    </xf>
    <xf numFmtId="167" fontId="49" fillId="7" borderId="1" xfId="1" applyNumberFormat="1" applyFont="1" applyFill="1" applyBorder="1" applyProtection="1">
      <protection hidden="1"/>
    </xf>
    <xf numFmtId="167" fontId="21" fillId="5" borderId="0" xfId="0" applyNumberFormat="1" applyFont="1" applyFill="1" applyProtection="1">
      <protection hidden="1"/>
    </xf>
    <xf numFmtId="167" fontId="29" fillId="4" borderId="0" xfId="1" applyNumberFormat="1" applyFont="1" applyFill="1" applyAlignment="1" applyProtection="1">
      <alignment horizontal="center"/>
      <protection locked="0"/>
    </xf>
    <xf numFmtId="167" fontId="33" fillId="0" borderId="0" xfId="0" applyNumberFormat="1" applyFont="1" applyProtection="1">
      <protection hidden="1"/>
    </xf>
    <xf numFmtId="178" fontId="6" fillId="0" borderId="0" xfId="0" applyNumberFormat="1" applyFont="1" applyFill="1" applyBorder="1" applyProtection="1">
      <protection hidden="1"/>
    </xf>
    <xf numFmtId="178" fontId="6" fillId="0" borderId="14" xfId="0" applyNumberFormat="1" applyFont="1" applyFill="1" applyBorder="1" applyProtection="1">
      <protection hidden="1"/>
    </xf>
    <xf numFmtId="178" fontId="6" fillId="0" borderId="3" xfId="0" applyNumberFormat="1" applyFont="1" applyFill="1" applyBorder="1" applyProtection="1">
      <protection hidden="1"/>
    </xf>
    <xf numFmtId="178" fontId="6" fillId="0" borderId="12" xfId="0" applyNumberFormat="1" applyFont="1" applyFill="1" applyBorder="1" applyProtection="1">
      <protection hidden="1"/>
    </xf>
    <xf numFmtId="9" fontId="29" fillId="4" borderId="0" xfId="2" applyNumberFormat="1" applyFont="1" applyFill="1" applyProtection="1">
      <protection locked="0"/>
    </xf>
    <xf numFmtId="167" fontId="35" fillId="0" borderId="0" xfId="1" applyNumberFormat="1" applyFont="1" applyProtection="1">
      <protection hidden="1"/>
    </xf>
    <xf numFmtId="167" fontId="35" fillId="0" borderId="0" xfId="4" applyNumberFormat="1" applyFont="1" applyProtection="1">
      <protection hidden="1"/>
    </xf>
    <xf numFmtId="0" fontId="57" fillId="5" borderId="3" xfId="0" applyFont="1" applyFill="1" applyBorder="1" applyAlignment="1">
      <alignment horizontal="left" wrapText="1"/>
    </xf>
    <xf numFmtId="42" fontId="57" fillId="5" borderId="9" xfId="8" applyFont="1" applyFill="1" applyBorder="1"/>
    <xf numFmtId="42" fontId="57" fillId="5" borderId="0" xfId="8" applyFont="1" applyFill="1" applyBorder="1"/>
    <xf numFmtId="42" fontId="57" fillId="5" borderId="3" xfId="8" applyFont="1" applyFill="1" applyBorder="1"/>
    <xf numFmtId="42" fontId="57" fillId="5" borderId="10" xfId="8" applyFont="1" applyFill="1" applyBorder="1"/>
    <xf numFmtId="42" fontId="57" fillId="5" borderId="14" xfId="8" applyFont="1" applyFill="1" applyBorder="1"/>
    <xf numFmtId="41" fontId="6" fillId="0" borderId="0" xfId="7" applyFont="1" applyAlignment="1" applyProtection="1">
      <alignment horizontal="center"/>
      <protection hidden="1"/>
    </xf>
    <xf numFmtId="0" fontId="0" fillId="0" borderId="0" xfId="0" applyAlignment="1" applyProtection="1">
      <alignment vertical="center"/>
      <protection hidden="1"/>
    </xf>
    <xf numFmtId="0" fontId="7" fillId="0" borderId="0" xfId="0" applyFont="1" applyAlignment="1" applyProtection="1">
      <alignment horizontal="center" vertical="center"/>
      <protection hidden="1"/>
    </xf>
    <xf numFmtId="0" fontId="18" fillId="0" borderId="0" xfId="0" applyFont="1" applyAlignment="1" applyProtection="1">
      <alignment vertical="center"/>
      <protection hidden="1"/>
    </xf>
    <xf numFmtId="0" fontId="16" fillId="0" borderId="0" xfId="0" applyFont="1" applyAlignment="1" applyProtection="1">
      <alignment vertical="center"/>
      <protection hidden="1"/>
    </xf>
    <xf numFmtId="165" fontId="29" fillId="4" borderId="0" xfId="1" applyFont="1" applyFill="1" applyAlignment="1" applyProtection="1">
      <alignment vertical="center"/>
      <protection locked="0"/>
    </xf>
    <xf numFmtId="167" fontId="29" fillId="4" borderId="0" xfId="1" applyNumberFormat="1" applyFont="1" applyFill="1" applyAlignment="1" applyProtection="1">
      <alignment vertical="center"/>
      <protection locked="0"/>
    </xf>
    <xf numFmtId="165" fontId="18" fillId="0" borderId="0" xfId="0" applyNumberFormat="1" applyFont="1" applyAlignment="1" applyProtection="1">
      <alignment vertical="center"/>
      <protection hidden="1"/>
    </xf>
    <xf numFmtId="0" fontId="48" fillId="0" borderId="0" xfId="0" applyFont="1" applyAlignment="1" applyProtection="1">
      <alignment vertical="center"/>
      <protection hidden="1"/>
    </xf>
    <xf numFmtId="0" fontId="7" fillId="0" borderId="0" xfId="0" applyFont="1" applyAlignment="1" applyProtection="1">
      <alignment vertical="center"/>
      <protection hidden="1"/>
    </xf>
    <xf numFmtId="167" fontId="21" fillId="0" borderId="0" xfId="0" applyNumberFormat="1" applyFont="1" applyAlignment="1" applyProtection="1">
      <alignment vertical="center"/>
      <protection hidden="1"/>
    </xf>
    <xf numFmtId="0" fontId="3" fillId="0" borderId="0" xfId="0" applyFont="1" applyAlignment="1" applyProtection="1">
      <alignment horizontal="left" vertical="center" wrapText="1"/>
      <protection hidden="1"/>
    </xf>
    <xf numFmtId="0" fontId="6" fillId="0" borderId="0" xfId="0" applyFont="1" applyAlignment="1" applyProtection="1">
      <alignment vertical="center"/>
      <protection hidden="1"/>
    </xf>
    <xf numFmtId="0" fontId="3" fillId="0" borderId="0" xfId="0" applyFont="1" applyAlignment="1" applyProtection="1">
      <alignment vertical="center"/>
      <protection hidden="1"/>
    </xf>
    <xf numFmtId="0" fontId="47" fillId="0" borderId="0" xfId="0" applyFont="1" applyAlignment="1" applyProtection="1">
      <alignment vertical="center" wrapText="1"/>
      <protection hidden="1"/>
    </xf>
    <xf numFmtId="167" fontId="0" fillId="0" borderId="0" xfId="1" applyNumberFormat="1" applyFont="1" applyAlignment="1" applyProtection="1">
      <alignment vertical="center"/>
      <protection hidden="1"/>
    </xf>
    <xf numFmtId="0" fontId="19" fillId="0" borderId="0" xfId="0" applyFont="1" applyAlignment="1" applyProtection="1">
      <alignment vertical="center" wrapText="1"/>
      <protection hidden="1"/>
    </xf>
    <xf numFmtId="0" fontId="46" fillId="0" borderId="0" xfId="0" applyFont="1" applyAlignment="1" applyProtection="1">
      <alignment vertical="center"/>
      <protection hidden="1"/>
    </xf>
    <xf numFmtId="0" fontId="47" fillId="0" borderId="0" xfId="0" applyFont="1" applyAlignment="1" applyProtection="1">
      <alignment vertical="center" wrapText="1"/>
      <protection locked="0"/>
    </xf>
    <xf numFmtId="167" fontId="0" fillId="0" borderId="0" xfId="0" applyNumberFormat="1" applyAlignment="1" applyProtection="1">
      <alignment vertical="center"/>
      <protection hidden="1"/>
    </xf>
    <xf numFmtId="0" fontId="2" fillId="0" borderId="0" xfId="0" applyFont="1" applyAlignment="1" applyProtection="1">
      <alignment vertical="center"/>
      <protection hidden="1"/>
    </xf>
    <xf numFmtId="167" fontId="2" fillId="0" borderId="0" xfId="0" applyNumberFormat="1" applyFont="1" applyAlignment="1" applyProtection="1">
      <alignment vertical="center"/>
      <protection hidden="1"/>
    </xf>
    <xf numFmtId="0" fontId="19" fillId="0" borderId="0" xfId="0" applyFont="1" applyAlignment="1" applyProtection="1">
      <alignment vertical="center" wrapText="1"/>
      <protection locked="0"/>
    </xf>
    <xf numFmtId="0" fontId="2" fillId="0" borderId="0" xfId="0" applyFont="1" applyAlignment="1" applyProtection="1">
      <alignment horizontal="center" vertical="center"/>
      <protection hidden="1"/>
    </xf>
    <xf numFmtId="0" fontId="2" fillId="7" borderId="1" xfId="0" applyFont="1" applyFill="1" applyBorder="1" applyProtection="1">
      <protection hidden="1"/>
    </xf>
    <xf numFmtId="167" fontId="0" fillId="7" borderId="1" xfId="0" applyNumberFormat="1" applyFill="1" applyBorder="1" applyProtection="1">
      <protection hidden="1"/>
    </xf>
    <xf numFmtId="167" fontId="0" fillId="0" borderId="1" xfId="0" applyNumberFormat="1" applyBorder="1" applyProtection="1">
      <protection hidden="1"/>
    </xf>
    <xf numFmtId="0" fontId="2" fillId="12" borderId="1" xfId="0" applyFont="1" applyFill="1" applyBorder="1" applyProtection="1">
      <protection hidden="1"/>
    </xf>
    <xf numFmtId="167" fontId="0" fillId="12" borderId="1" xfId="0" applyNumberFormat="1" applyFill="1" applyBorder="1" applyProtection="1">
      <protection hidden="1"/>
    </xf>
    <xf numFmtId="0" fontId="2" fillId="10" borderId="2" xfId="0" applyFont="1" applyFill="1" applyBorder="1" applyProtection="1">
      <protection hidden="1"/>
    </xf>
    <xf numFmtId="167" fontId="2" fillId="10" borderId="2" xfId="0" applyNumberFormat="1" applyFont="1" applyFill="1" applyBorder="1" applyProtection="1">
      <protection hidden="1"/>
    </xf>
    <xf numFmtId="0" fontId="0" fillId="0" borderId="0" xfId="0" applyAlignment="1">
      <alignment vertical="center"/>
    </xf>
    <xf numFmtId="0" fontId="0" fillId="0" borderId="0" xfId="0" applyFont="1" applyBorder="1" applyAlignment="1">
      <alignment vertical="center"/>
    </xf>
    <xf numFmtId="0" fontId="0" fillId="9" borderId="19" xfId="0" applyFont="1" applyFill="1" applyBorder="1" applyAlignment="1">
      <alignment horizontal="center" vertical="center"/>
    </xf>
    <xf numFmtId="0" fontId="57" fillId="9" borderId="19" xfId="0" applyFont="1" applyFill="1" applyBorder="1" applyAlignment="1">
      <alignment horizontal="center" vertical="center" wrapText="1"/>
    </xf>
    <xf numFmtId="0" fontId="2" fillId="0" borderId="0" xfId="0" applyFont="1" applyAlignment="1">
      <alignment vertical="center"/>
    </xf>
    <xf numFmtId="0" fontId="2" fillId="0" borderId="0" xfId="0" applyFont="1" applyFill="1" applyBorder="1" applyAlignment="1">
      <alignment vertical="center"/>
    </xf>
    <xf numFmtId="9" fontId="1" fillId="9" borderId="19" xfId="2" applyFont="1" applyFill="1" applyBorder="1" applyAlignment="1">
      <alignment horizontal="center" vertical="center" wrapText="1"/>
    </xf>
    <xf numFmtId="0" fontId="2" fillId="0" borderId="17" xfId="0" applyFont="1" applyFill="1" applyBorder="1" applyAlignment="1">
      <alignment horizontal="center" vertical="center"/>
    </xf>
    <xf numFmtId="0" fontId="0" fillId="9" borderId="25" xfId="0" applyFont="1" applyFill="1" applyBorder="1" applyAlignment="1">
      <alignment horizontal="center" vertical="center" wrapText="1"/>
    </xf>
    <xf numFmtId="9" fontId="1" fillId="9" borderId="25" xfId="2" applyFont="1" applyFill="1" applyBorder="1" applyAlignment="1">
      <alignment horizontal="center" vertical="center" wrapText="1"/>
    </xf>
    <xf numFmtId="3" fontId="0" fillId="11" borderId="19" xfId="0" applyNumberFormat="1" applyFill="1" applyBorder="1" applyAlignment="1">
      <alignment horizontal="center" vertical="center"/>
    </xf>
    <xf numFmtId="9" fontId="0" fillId="11" borderId="19" xfId="2" applyFont="1" applyFill="1" applyBorder="1" applyAlignment="1">
      <alignment horizontal="center" vertical="center"/>
    </xf>
    <xf numFmtId="3" fontId="0" fillId="9" borderId="19" xfId="0" applyNumberFormat="1" applyFill="1" applyBorder="1" applyAlignment="1">
      <alignment horizontal="center" vertical="center"/>
    </xf>
    <xf numFmtId="9" fontId="0" fillId="9" borderId="19" xfId="2" applyFont="1" applyFill="1" applyBorder="1" applyAlignment="1">
      <alignment horizontal="center" vertical="center" wrapText="1"/>
    </xf>
    <xf numFmtId="0" fontId="56" fillId="9" borderId="17" xfId="0" applyFont="1" applyFill="1" applyBorder="1" applyAlignment="1">
      <alignment horizontal="center" vertical="center" wrapText="1"/>
    </xf>
    <xf numFmtId="0" fontId="55" fillId="9" borderId="17" xfId="0" applyFont="1" applyFill="1" applyBorder="1" applyAlignment="1">
      <alignment horizontal="center" vertical="center" wrapText="1"/>
    </xf>
    <xf numFmtId="3" fontId="0" fillId="3" borderId="19" xfId="0" applyNumberFormat="1" applyFill="1" applyBorder="1" applyAlignment="1">
      <alignment horizontal="center" vertical="center"/>
    </xf>
    <xf numFmtId="9" fontId="0" fillId="3" borderId="19" xfId="2" applyFont="1" applyFill="1" applyBorder="1" applyAlignment="1">
      <alignment horizontal="center" vertical="center" wrapText="1"/>
    </xf>
    <xf numFmtId="0" fontId="61" fillId="0" borderId="0" xfId="0" applyFont="1" applyAlignment="1">
      <alignment horizontal="center" vertical="center" wrapText="1"/>
    </xf>
    <xf numFmtId="0" fontId="60" fillId="0" borderId="0" xfId="0" applyFont="1" applyAlignment="1">
      <alignment horizontal="right" vertical="center"/>
    </xf>
    <xf numFmtId="9" fontId="0" fillId="3" borderId="19" xfId="2" applyFont="1" applyFill="1" applyBorder="1" applyAlignment="1">
      <alignment horizontal="center" vertical="center"/>
    </xf>
    <xf numFmtId="9" fontId="0" fillId="13" borderId="19" xfId="2" applyFont="1" applyFill="1" applyBorder="1" applyAlignment="1">
      <alignment horizontal="center" vertical="center" wrapText="1"/>
    </xf>
    <xf numFmtId="9" fontId="57" fillId="13" borderId="19" xfId="2" applyFont="1" applyFill="1" applyBorder="1" applyAlignment="1">
      <alignment horizontal="center" vertical="center" wrapText="1"/>
    </xf>
    <xf numFmtId="0" fontId="59" fillId="9" borderId="17" xfId="0" applyFont="1" applyFill="1" applyBorder="1" applyAlignment="1">
      <alignment horizontal="center" vertical="center" wrapText="1"/>
    </xf>
    <xf numFmtId="0" fontId="55" fillId="0" borderId="18" xfId="0" applyFont="1" applyFill="1" applyBorder="1" applyAlignment="1">
      <alignment horizontal="left" vertical="center" wrapText="1"/>
    </xf>
    <xf numFmtId="0" fontId="55" fillId="0" borderId="20" xfId="0" applyFont="1" applyFill="1" applyBorder="1" applyAlignment="1">
      <alignment horizontal="left" vertical="center"/>
    </xf>
    <xf numFmtId="0" fontId="55" fillId="0" borderId="24" xfId="0" applyFont="1" applyFill="1" applyBorder="1" applyAlignment="1">
      <alignment horizontal="left" vertical="center" wrapText="1"/>
    </xf>
    <xf numFmtId="172" fontId="62" fillId="13" borderId="19" xfId="4" applyNumberFormat="1" applyFont="1" applyFill="1" applyBorder="1" applyAlignment="1">
      <alignment horizontal="center" vertical="center" wrapText="1"/>
    </xf>
    <xf numFmtId="3" fontId="57" fillId="9" borderId="25" xfId="0" applyNumberFormat="1" applyFont="1" applyFill="1" applyBorder="1" applyAlignment="1">
      <alignment horizontal="center" vertical="center" wrapText="1"/>
    </xf>
    <xf numFmtId="3" fontId="57" fillId="9" borderId="19" xfId="0" applyNumberFormat="1" applyFont="1" applyFill="1" applyBorder="1" applyAlignment="1">
      <alignment horizontal="center" vertical="center" wrapText="1"/>
    </xf>
    <xf numFmtId="0" fontId="60" fillId="0" borderId="0" xfId="0" applyFont="1" applyAlignment="1">
      <alignment horizontal="left" vertical="center"/>
    </xf>
    <xf numFmtId="179" fontId="64" fillId="0" borderId="0" xfId="1" applyNumberFormat="1" applyFont="1" applyAlignment="1">
      <alignment horizontal="center" vertical="center" wrapText="1"/>
    </xf>
    <xf numFmtId="0" fontId="2" fillId="10" borderId="17" xfId="0" applyFont="1" applyFill="1" applyBorder="1" applyAlignment="1">
      <alignment horizontal="center" vertical="center" textRotation="90"/>
    </xf>
    <xf numFmtId="0" fontId="56" fillId="10" borderId="17" xfId="0" applyFont="1" applyFill="1" applyBorder="1" applyAlignment="1">
      <alignment horizontal="center" vertical="center" textRotation="90" wrapText="1"/>
    </xf>
    <xf numFmtId="3" fontId="0" fillId="11" borderId="25" xfId="0" applyNumberFormat="1" applyFill="1" applyBorder="1" applyAlignment="1">
      <alignment horizontal="center" vertical="center"/>
    </xf>
    <xf numFmtId="0" fontId="59" fillId="11" borderId="17" xfId="0" applyFont="1" applyFill="1" applyBorder="1" applyAlignment="1">
      <alignment horizontal="center" vertical="center" wrapText="1"/>
    </xf>
    <xf numFmtId="9" fontId="0" fillId="11" borderId="25" xfId="2" applyFont="1" applyFill="1" applyBorder="1" applyAlignment="1">
      <alignment horizontal="center" vertical="center"/>
    </xf>
    <xf numFmtId="3" fontId="0" fillId="9" borderId="25" xfId="0" applyNumberFormat="1" applyFill="1" applyBorder="1" applyAlignment="1">
      <alignment horizontal="center" vertical="center"/>
    </xf>
    <xf numFmtId="9" fontId="0" fillId="9" borderId="25" xfId="2" applyFont="1" applyFill="1" applyBorder="1" applyAlignment="1">
      <alignment horizontal="center" vertical="center" wrapText="1"/>
    </xf>
    <xf numFmtId="172" fontId="62" fillId="13" borderId="25" xfId="4" applyNumberFormat="1" applyFont="1" applyFill="1" applyBorder="1" applyAlignment="1">
      <alignment horizontal="center" vertical="center" wrapText="1"/>
    </xf>
    <xf numFmtId="0" fontId="59" fillId="13" borderId="17" xfId="0" applyFont="1" applyFill="1" applyBorder="1" applyAlignment="1">
      <alignment horizontal="center" vertical="center" wrapText="1"/>
    </xf>
    <xf numFmtId="9" fontId="57" fillId="13" borderId="25" xfId="2" applyFont="1" applyFill="1" applyBorder="1" applyAlignment="1">
      <alignment horizontal="center" vertical="center" wrapText="1"/>
    </xf>
    <xf numFmtId="9" fontId="0" fillId="13" borderId="25" xfId="2" applyFont="1" applyFill="1" applyBorder="1" applyAlignment="1">
      <alignment horizontal="center" vertical="center" wrapText="1"/>
    </xf>
    <xf numFmtId="0" fontId="55" fillId="13" borderId="17" xfId="0" applyFont="1" applyFill="1" applyBorder="1" applyAlignment="1">
      <alignment horizontal="center" vertical="center" wrapText="1"/>
    </xf>
    <xf numFmtId="3" fontId="0" fillId="3" borderId="25" xfId="0" applyNumberFormat="1" applyFill="1" applyBorder="1" applyAlignment="1">
      <alignment horizontal="center" vertical="center"/>
    </xf>
    <xf numFmtId="0" fontId="55" fillId="3" borderId="17" xfId="0" applyFont="1" applyFill="1" applyBorder="1" applyAlignment="1">
      <alignment horizontal="center" vertical="center" wrapText="1"/>
    </xf>
    <xf numFmtId="9" fontId="0" fillId="3" borderId="25" xfId="2" applyFont="1" applyFill="1" applyBorder="1" applyAlignment="1">
      <alignment horizontal="center" vertical="center"/>
    </xf>
    <xf numFmtId="9" fontId="0" fillId="3" borderId="25" xfId="2" applyFont="1" applyFill="1" applyBorder="1" applyAlignment="1">
      <alignment horizontal="center" vertical="center" wrapText="1"/>
    </xf>
    <xf numFmtId="0" fontId="58" fillId="0" borderId="0" xfId="0" applyFont="1" applyAlignment="1">
      <alignment vertical="center"/>
    </xf>
    <xf numFmtId="0" fontId="59" fillId="3" borderId="17" xfId="0" applyFont="1" applyFill="1" applyBorder="1" applyAlignment="1">
      <alignment horizontal="center" vertical="center" wrapText="1"/>
    </xf>
    <xf numFmtId="0" fontId="55" fillId="15" borderId="17" xfId="0" applyFont="1" applyFill="1" applyBorder="1" applyAlignment="1">
      <alignment horizontal="center" vertical="center" wrapText="1"/>
    </xf>
    <xf numFmtId="9" fontId="0" fillId="15" borderId="25" xfId="2" applyFont="1" applyFill="1" applyBorder="1" applyAlignment="1">
      <alignment horizontal="center" vertical="center" wrapText="1"/>
    </xf>
    <xf numFmtId="3" fontId="0" fillId="15" borderId="25" xfId="0" applyNumberFormat="1" applyFill="1" applyBorder="1" applyAlignment="1">
      <alignment horizontal="center" vertical="center"/>
    </xf>
    <xf numFmtId="3" fontId="0" fillId="15" borderId="19" xfId="0" applyNumberFormat="1" applyFill="1" applyBorder="1" applyAlignment="1">
      <alignment horizontal="center" vertical="center"/>
    </xf>
    <xf numFmtId="0" fontId="59" fillId="15" borderId="17" xfId="0" applyFont="1" applyFill="1" applyBorder="1" applyAlignment="1">
      <alignment horizontal="center" vertical="center" wrapText="1"/>
    </xf>
    <xf numFmtId="0" fontId="0" fillId="0" borderId="0" xfId="0" applyFont="1" applyProtection="1">
      <protection hidden="1"/>
    </xf>
    <xf numFmtId="165" fontId="0" fillId="0" borderId="0" xfId="0" applyNumberFormat="1" applyFont="1" applyProtection="1">
      <protection hidden="1"/>
    </xf>
    <xf numFmtId="166" fontId="0" fillId="0" borderId="0" xfId="0" applyNumberFormat="1" applyFont="1" applyProtection="1">
      <protection hidden="1"/>
    </xf>
    <xf numFmtId="0" fontId="0" fillId="0" borderId="0" xfId="0" applyFont="1" applyAlignment="1" applyProtection="1">
      <alignment horizontal="right"/>
      <protection hidden="1"/>
    </xf>
    <xf numFmtId="0" fontId="67" fillId="0" borderId="0" xfId="0" applyFont="1" applyAlignment="1">
      <alignment vertical="center"/>
    </xf>
    <xf numFmtId="0" fontId="66" fillId="0" borderId="0" xfId="0" applyFont="1" applyAlignment="1">
      <alignment horizontal="center" vertical="center" wrapText="1"/>
    </xf>
    <xf numFmtId="0" fontId="69" fillId="0" borderId="0" xfId="0" applyFont="1" applyAlignment="1">
      <alignment horizontal="left" vertical="center"/>
    </xf>
    <xf numFmtId="0" fontId="70" fillId="0" borderId="17" xfId="0" applyFont="1" applyBorder="1" applyAlignment="1">
      <alignment horizontal="center" vertical="center" textRotation="90"/>
    </xf>
    <xf numFmtId="0" fontId="72" fillId="0" borderId="17" xfId="0" applyFont="1" applyBorder="1" applyAlignment="1">
      <alignment horizontal="center" vertical="center"/>
    </xf>
    <xf numFmtId="0" fontId="76" fillId="0" borderId="17" xfId="0" applyFont="1" applyBorder="1" applyAlignment="1">
      <alignment horizontal="center" vertical="center" textRotation="90" wrapText="1"/>
    </xf>
    <xf numFmtId="0" fontId="72" fillId="5" borderId="17" xfId="0" applyFont="1" applyFill="1" applyBorder="1" applyAlignment="1">
      <alignment horizontal="center" vertical="center" textRotation="90" wrapText="1"/>
    </xf>
    <xf numFmtId="0" fontId="68" fillId="5" borderId="17" xfId="0" applyFont="1" applyFill="1" applyBorder="1" applyAlignment="1">
      <alignment horizontal="center" vertical="center" textRotation="90" wrapText="1"/>
    </xf>
    <xf numFmtId="0" fontId="77" fillId="5" borderId="17" xfId="0" applyFont="1" applyFill="1" applyBorder="1" applyAlignment="1">
      <alignment horizontal="center" vertical="center" textRotation="90" wrapText="1"/>
    </xf>
    <xf numFmtId="0" fontId="72" fillId="16" borderId="17" xfId="0" applyFont="1" applyFill="1" applyBorder="1" applyAlignment="1">
      <alignment horizontal="center" vertical="center" textRotation="90" wrapText="1"/>
    </xf>
    <xf numFmtId="0" fontId="68" fillId="16" borderId="17" xfId="0" applyFont="1" applyFill="1" applyBorder="1" applyAlignment="1">
      <alignment horizontal="center" vertical="center" textRotation="90" wrapText="1"/>
    </xf>
    <xf numFmtId="0" fontId="77" fillId="16" borderId="17" xfId="0" applyFont="1" applyFill="1" applyBorder="1" applyAlignment="1">
      <alignment horizontal="center" vertical="center" textRotation="90" wrapText="1"/>
    </xf>
    <xf numFmtId="0" fontId="72" fillId="17" borderId="17" xfId="0" applyFont="1" applyFill="1" applyBorder="1" applyAlignment="1">
      <alignment horizontal="center" vertical="center" textRotation="90" wrapText="1"/>
    </xf>
    <xf numFmtId="0" fontId="68" fillId="17" borderId="17" xfId="0" applyFont="1" applyFill="1" applyBorder="1" applyAlignment="1">
      <alignment horizontal="center" vertical="center" textRotation="90" wrapText="1"/>
    </xf>
    <xf numFmtId="0" fontId="77" fillId="17" borderId="17" xfId="0" applyFont="1" applyFill="1" applyBorder="1" applyAlignment="1">
      <alignment horizontal="center" vertical="center" textRotation="90" wrapText="1"/>
    </xf>
    <xf numFmtId="0" fontId="72" fillId="18" borderId="17" xfId="0" applyFont="1" applyFill="1" applyBorder="1" applyAlignment="1">
      <alignment horizontal="center" vertical="center" textRotation="90" wrapText="1"/>
    </xf>
    <xf numFmtId="0" fontId="68" fillId="18" borderId="17" xfId="0" applyFont="1" applyFill="1" applyBorder="1" applyAlignment="1">
      <alignment horizontal="center" vertical="center" textRotation="90" wrapText="1"/>
    </xf>
    <xf numFmtId="0" fontId="77" fillId="18" borderId="17" xfId="0" applyFont="1" applyFill="1" applyBorder="1" applyAlignment="1">
      <alignment horizontal="center" vertical="center" textRotation="90" wrapText="1"/>
    </xf>
    <xf numFmtId="0" fontId="72" fillId="19" borderId="17" xfId="0" applyFont="1" applyFill="1" applyBorder="1" applyAlignment="1">
      <alignment horizontal="center" vertical="center" textRotation="90" wrapText="1"/>
    </xf>
    <xf numFmtId="0" fontId="68" fillId="19" borderId="17" xfId="0" applyFont="1" applyFill="1" applyBorder="1" applyAlignment="1">
      <alignment horizontal="center" vertical="center" textRotation="90" wrapText="1"/>
    </xf>
    <xf numFmtId="0" fontId="77" fillId="19" borderId="17" xfId="0" applyFont="1" applyFill="1" applyBorder="1" applyAlignment="1">
      <alignment horizontal="center" vertical="center" textRotation="90" wrapText="1"/>
    </xf>
    <xf numFmtId="0" fontId="72" fillId="3" borderId="17" xfId="0" applyFont="1" applyFill="1" applyBorder="1" applyAlignment="1">
      <alignment horizontal="center" vertical="center" textRotation="90" wrapText="1"/>
    </xf>
    <xf numFmtId="0" fontId="68" fillId="3" borderId="17" xfId="0" applyFont="1" applyFill="1" applyBorder="1" applyAlignment="1">
      <alignment horizontal="center" vertical="center" textRotation="90" wrapText="1"/>
    </xf>
    <xf numFmtId="0" fontId="77" fillId="3" borderId="17" xfId="0" applyFont="1" applyFill="1" applyBorder="1" applyAlignment="1">
      <alignment horizontal="center" vertical="center" textRotation="90" wrapText="1"/>
    </xf>
    <xf numFmtId="0" fontId="73" fillId="0" borderId="15" xfId="0" applyFont="1" applyBorder="1" applyAlignment="1">
      <alignment horizontal="left" vertical="center" wrapText="1"/>
    </xf>
    <xf numFmtId="167" fontId="77" fillId="0" borderId="16" xfId="1" applyNumberFormat="1" applyFont="1" applyFill="1" applyBorder="1" applyAlignment="1">
      <alignment horizontal="left" vertical="center" wrapText="1"/>
    </xf>
    <xf numFmtId="3" fontId="71" fillId="5" borderId="26" xfId="0" applyNumberFormat="1" applyFont="1" applyFill="1" applyBorder="1" applyAlignment="1">
      <alignment horizontal="center" vertical="center"/>
    </xf>
    <xf numFmtId="167" fontId="71" fillId="5" borderId="15" xfId="1" applyNumberFormat="1" applyFont="1" applyFill="1" applyBorder="1" applyAlignment="1">
      <alignment horizontal="center" vertical="center"/>
    </xf>
    <xf numFmtId="9" fontId="71" fillId="5" borderId="16" xfId="2" applyFont="1" applyFill="1" applyBorder="1" applyAlignment="1">
      <alignment horizontal="center" vertical="center"/>
    </xf>
    <xf numFmtId="3" fontId="71" fillId="16" borderId="26" xfId="0" applyNumberFormat="1" applyFont="1" applyFill="1" applyBorder="1" applyAlignment="1">
      <alignment horizontal="center" vertical="center"/>
    </xf>
    <xf numFmtId="167" fontId="71" fillId="16" borderId="15" xfId="1" applyNumberFormat="1" applyFont="1" applyFill="1" applyBorder="1" applyAlignment="1">
      <alignment horizontal="center" vertical="center"/>
    </xf>
    <xf numFmtId="9" fontId="71" fillId="16" borderId="16" xfId="2" applyFont="1" applyFill="1" applyBorder="1" applyAlignment="1">
      <alignment horizontal="center" vertical="center"/>
    </xf>
    <xf numFmtId="3" fontId="71" fillId="17" borderId="26" xfId="0" applyNumberFormat="1" applyFont="1" applyFill="1" applyBorder="1" applyAlignment="1">
      <alignment horizontal="center" vertical="center"/>
    </xf>
    <xf numFmtId="167" fontId="71" fillId="17" borderId="15" xfId="1" applyNumberFormat="1" applyFont="1" applyFill="1" applyBorder="1" applyAlignment="1">
      <alignment horizontal="center" vertical="center"/>
    </xf>
    <xf numFmtId="9" fontId="71" fillId="17" borderId="16" xfId="2" applyFont="1" applyFill="1" applyBorder="1" applyAlignment="1">
      <alignment horizontal="center" vertical="center"/>
    </xf>
    <xf numFmtId="3" fontId="71" fillId="18" borderId="26" xfId="0" applyNumberFormat="1" applyFont="1" applyFill="1" applyBorder="1" applyAlignment="1">
      <alignment horizontal="center" vertical="center"/>
    </xf>
    <xf numFmtId="167" fontId="71" fillId="18" borderId="15" xfId="1" applyNumberFormat="1" applyFont="1" applyFill="1" applyBorder="1" applyAlignment="1">
      <alignment horizontal="center" vertical="center"/>
    </xf>
    <xf numFmtId="9" fontId="71" fillId="18" borderId="16" xfId="2" applyFont="1" applyFill="1" applyBorder="1" applyAlignment="1">
      <alignment horizontal="center" vertical="center"/>
    </xf>
    <xf numFmtId="3" fontId="71" fillId="19" borderId="26" xfId="0" applyNumberFormat="1" applyFont="1" applyFill="1" applyBorder="1" applyAlignment="1">
      <alignment horizontal="center" vertical="center"/>
    </xf>
    <xf numFmtId="167" fontId="71" fillId="19" borderId="15" xfId="1" applyNumberFormat="1" applyFont="1" applyFill="1" applyBorder="1" applyAlignment="1">
      <alignment horizontal="center" vertical="center"/>
    </xf>
    <xf numFmtId="9" fontId="71" fillId="19" borderId="16" xfId="2" applyFont="1" applyFill="1" applyBorder="1" applyAlignment="1">
      <alignment horizontal="center" vertical="center"/>
    </xf>
    <xf numFmtId="3" fontId="71" fillId="3" borderId="26" xfId="0" applyNumberFormat="1" applyFont="1" applyFill="1" applyBorder="1" applyAlignment="1">
      <alignment horizontal="center" vertical="center"/>
    </xf>
    <xf numFmtId="167" fontId="71" fillId="3" borderId="15" xfId="1" applyNumberFormat="1" applyFont="1" applyFill="1" applyBorder="1" applyAlignment="1">
      <alignment horizontal="center" vertical="center"/>
    </xf>
    <xf numFmtId="9" fontId="71" fillId="3" borderId="16" xfId="2" applyFont="1" applyFill="1" applyBorder="1" applyAlignment="1">
      <alignment horizontal="center" vertical="center"/>
    </xf>
    <xf numFmtId="0" fontId="73" fillId="0" borderId="19" xfId="0" applyFont="1" applyBorder="1" applyAlignment="1">
      <alignment horizontal="left" vertical="center" wrapText="1"/>
    </xf>
    <xf numFmtId="167" fontId="77" fillId="0" borderId="28" xfId="1" applyNumberFormat="1" applyFont="1" applyFill="1" applyBorder="1" applyAlignment="1">
      <alignment horizontal="left" vertical="center" wrapText="1"/>
    </xf>
    <xf numFmtId="3" fontId="71" fillId="5" borderId="27" xfId="0" applyNumberFormat="1" applyFont="1" applyFill="1" applyBorder="1" applyAlignment="1">
      <alignment horizontal="center" vertical="center"/>
    </xf>
    <xf numFmtId="167" fontId="71" fillId="5" borderId="19" xfId="1" applyNumberFormat="1" applyFont="1" applyFill="1" applyBorder="1" applyAlignment="1">
      <alignment horizontal="center" vertical="center"/>
    </xf>
    <xf numFmtId="9" fontId="71" fillId="5" borderId="28" xfId="2" applyFont="1" applyFill="1" applyBorder="1" applyAlignment="1">
      <alignment horizontal="center" vertical="center"/>
    </xf>
    <xf numFmtId="3" fontId="71" fillId="16" borderId="29" xfId="0" applyNumberFormat="1" applyFont="1" applyFill="1" applyBorder="1" applyAlignment="1">
      <alignment horizontal="center" vertical="center"/>
    </xf>
    <xf numFmtId="167" fontId="71" fillId="16" borderId="25" xfId="1" applyNumberFormat="1" applyFont="1" applyFill="1" applyBorder="1" applyAlignment="1">
      <alignment horizontal="center" vertical="center"/>
    </xf>
    <xf numFmtId="9" fontId="71" fillId="16" borderId="30" xfId="2" applyFont="1" applyFill="1" applyBorder="1" applyAlignment="1">
      <alignment horizontal="center" vertical="center"/>
    </xf>
    <xf numFmtId="3" fontId="71" fillId="17" borderId="29" xfId="0" applyNumberFormat="1" applyFont="1" applyFill="1" applyBorder="1" applyAlignment="1">
      <alignment horizontal="center" vertical="center"/>
    </xf>
    <xf numFmtId="167" fontId="71" fillId="17" borderId="25" xfId="1" applyNumberFormat="1" applyFont="1" applyFill="1" applyBorder="1" applyAlignment="1">
      <alignment horizontal="center" vertical="center"/>
    </xf>
    <xf numFmtId="9" fontId="71" fillId="17" borderId="30" xfId="2" applyFont="1" applyFill="1" applyBorder="1" applyAlignment="1">
      <alignment horizontal="center" vertical="center"/>
    </xf>
    <xf numFmtId="3" fontId="71" fillId="18" borderId="29" xfId="0" applyNumberFormat="1" applyFont="1" applyFill="1" applyBorder="1" applyAlignment="1">
      <alignment horizontal="center" vertical="center"/>
    </xf>
    <xf numFmtId="167" fontId="71" fillId="18" borderId="25" xfId="1" applyNumberFormat="1" applyFont="1" applyFill="1" applyBorder="1" applyAlignment="1">
      <alignment horizontal="center" vertical="center"/>
    </xf>
    <xf numFmtId="9" fontId="71" fillId="18" borderId="30" xfId="2" applyFont="1" applyFill="1" applyBorder="1" applyAlignment="1">
      <alignment horizontal="center" vertical="center"/>
    </xf>
    <xf numFmtId="3" fontId="71" fillId="19" borderId="29" xfId="0" applyNumberFormat="1" applyFont="1" applyFill="1" applyBorder="1" applyAlignment="1">
      <alignment horizontal="center" vertical="center"/>
    </xf>
    <xf numFmtId="167" fontId="71" fillId="19" borderId="25" xfId="1" applyNumberFormat="1" applyFont="1" applyFill="1" applyBorder="1" applyAlignment="1">
      <alignment horizontal="center" vertical="center"/>
    </xf>
    <xf numFmtId="9" fontId="71" fillId="19" borderId="30" xfId="2" applyFont="1" applyFill="1" applyBorder="1" applyAlignment="1">
      <alignment horizontal="center" vertical="center"/>
    </xf>
    <xf numFmtId="3" fontId="71" fillId="3" borderId="29" xfId="0" applyNumberFormat="1" applyFont="1" applyFill="1" applyBorder="1" applyAlignment="1">
      <alignment horizontal="center" vertical="center"/>
    </xf>
    <xf numFmtId="167" fontId="71" fillId="3" borderId="25" xfId="1" applyNumberFormat="1" applyFont="1" applyFill="1" applyBorder="1" applyAlignment="1">
      <alignment horizontal="center" vertical="center"/>
    </xf>
    <xf numFmtId="9" fontId="71" fillId="3" borderId="30" xfId="2" applyFont="1" applyFill="1" applyBorder="1" applyAlignment="1">
      <alignment horizontal="center" vertical="center"/>
    </xf>
    <xf numFmtId="3" fontId="78" fillId="5" borderId="31" xfId="0" applyNumberFormat="1" applyFont="1" applyFill="1" applyBorder="1" applyAlignment="1">
      <alignment horizontal="center" vertical="center"/>
    </xf>
    <xf numFmtId="167" fontId="78" fillId="5" borderId="32" xfId="1" applyNumberFormat="1" applyFont="1" applyFill="1" applyBorder="1" applyAlignment="1">
      <alignment horizontal="center" vertical="center"/>
    </xf>
    <xf numFmtId="9" fontId="79" fillId="5" borderId="33" xfId="2" applyFont="1" applyFill="1" applyBorder="1" applyAlignment="1">
      <alignment horizontal="center" vertical="center"/>
    </xf>
    <xf numFmtId="3" fontId="78" fillId="16" borderId="31" xfId="0" applyNumberFormat="1" applyFont="1" applyFill="1" applyBorder="1" applyAlignment="1">
      <alignment horizontal="center" vertical="center"/>
    </xf>
    <xf numFmtId="167" fontId="78" fillId="16" borderId="32" xfId="1" applyNumberFormat="1" applyFont="1" applyFill="1" applyBorder="1" applyAlignment="1">
      <alignment horizontal="center" vertical="center"/>
    </xf>
    <xf numFmtId="9" fontId="79" fillId="16" borderId="33" xfId="2" applyFont="1" applyFill="1" applyBorder="1" applyAlignment="1">
      <alignment horizontal="center" vertical="center"/>
    </xf>
    <xf numFmtId="3" fontId="78" fillId="17" borderId="31" xfId="0" applyNumberFormat="1" applyFont="1" applyFill="1" applyBorder="1" applyAlignment="1">
      <alignment horizontal="center" vertical="center"/>
    </xf>
    <xf numFmtId="167" fontId="78" fillId="17" borderId="32" xfId="1" applyNumberFormat="1" applyFont="1" applyFill="1" applyBorder="1" applyAlignment="1">
      <alignment horizontal="center" vertical="center"/>
    </xf>
    <xf numFmtId="9" fontId="79" fillId="17" borderId="33" xfId="2" applyFont="1" applyFill="1" applyBorder="1" applyAlignment="1">
      <alignment horizontal="center" vertical="center"/>
    </xf>
    <xf numFmtId="3" fontId="78" fillId="18" borderId="31" xfId="0" applyNumberFormat="1" applyFont="1" applyFill="1" applyBorder="1" applyAlignment="1">
      <alignment horizontal="center" vertical="center"/>
    </xf>
    <xf numFmtId="167" fontId="78" fillId="18" borderId="32" xfId="1" applyNumberFormat="1" applyFont="1" applyFill="1" applyBorder="1" applyAlignment="1">
      <alignment horizontal="center" vertical="center"/>
    </xf>
    <xf numFmtId="9" fontId="79" fillId="18" borderId="33" xfId="2" applyFont="1" applyFill="1" applyBorder="1" applyAlignment="1">
      <alignment horizontal="center" vertical="center"/>
    </xf>
    <xf numFmtId="3" fontId="78" fillId="19" borderId="31" xfId="0" applyNumberFormat="1" applyFont="1" applyFill="1" applyBorder="1" applyAlignment="1">
      <alignment horizontal="center" vertical="center"/>
    </xf>
    <xf numFmtId="167" fontId="78" fillId="19" borderId="32" xfId="1" applyNumberFormat="1" applyFont="1" applyFill="1" applyBorder="1" applyAlignment="1">
      <alignment horizontal="center" vertical="center"/>
    </xf>
    <xf numFmtId="9" fontId="79" fillId="19" borderId="33" xfId="2" applyFont="1" applyFill="1" applyBorder="1" applyAlignment="1">
      <alignment horizontal="center" vertical="center"/>
    </xf>
    <xf numFmtId="3" fontId="78" fillId="3" borderId="31" xfId="0" applyNumberFormat="1" applyFont="1" applyFill="1" applyBorder="1" applyAlignment="1">
      <alignment horizontal="center" vertical="center"/>
    </xf>
    <xf numFmtId="167" fontId="78" fillId="3" borderId="32" xfId="1" applyNumberFormat="1" applyFont="1" applyFill="1" applyBorder="1" applyAlignment="1">
      <alignment horizontal="center" vertical="center"/>
    </xf>
    <xf numFmtId="9" fontId="79" fillId="3" borderId="33" xfId="2" applyFont="1" applyFill="1" applyBorder="1" applyAlignment="1">
      <alignment horizontal="center" vertical="center"/>
    </xf>
    <xf numFmtId="0" fontId="70" fillId="0" borderId="0" xfId="0" applyFont="1" applyAlignment="1">
      <alignment vertical="center"/>
    </xf>
    <xf numFmtId="0" fontId="74" fillId="0" borderId="0" xfId="0" applyFont="1" applyAlignment="1">
      <alignment vertical="center"/>
    </xf>
    <xf numFmtId="0" fontId="74" fillId="0" borderId="19" xfId="0" applyFont="1" applyBorder="1" applyAlignment="1">
      <alignment vertical="center" wrapText="1"/>
    </xf>
    <xf numFmtId="0" fontId="74" fillId="0" borderId="19" xfId="0" applyFont="1" applyBorder="1" applyAlignment="1">
      <alignment horizontal="center" vertical="center"/>
    </xf>
    <xf numFmtId="0" fontId="72" fillId="0" borderId="0" xfId="0" applyFont="1" applyAlignment="1">
      <alignment vertical="center"/>
    </xf>
    <xf numFmtId="0" fontId="72" fillId="8" borderId="17" xfId="0" applyFont="1" applyFill="1" applyBorder="1" applyAlignment="1">
      <alignment horizontal="center" vertical="center"/>
    </xf>
    <xf numFmtId="0" fontId="74" fillId="0" borderId="0" xfId="0" applyFont="1" applyAlignment="1">
      <alignment horizontal="center" vertical="center"/>
    </xf>
    <xf numFmtId="0" fontId="74" fillId="0" borderId="19" xfId="0" applyFont="1" applyBorder="1" applyAlignment="1">
      <alignment horizontal="center" vertical="center" wrapText="1"/>
    </xf>
    <xf numFmtId="167" fontId="74" fillId="0" borderId="19" xfId="1" applyNumberFormat="1" applyFont="1" applyBorder="1" applyAlignment="1">
      <alignment horizontal="center" vertical="center"/>
    </xf>
    <xf numFmtId="0" fontId="68" fillId="0" borderId="0" xfId="0" applyFont="1" applyAlignment="1">
      <alignment vertical="center"/>
    </xf>
    <xf numFmtId="167" fontId="72" fillId="0" borderId="19" xfId="0" applyNumberFormat="1" applyFont="1" applyBorder="1" applyAlignment="1">
      <alignment horizontal="center" vertical="center"/>
    </xf>
    <xf numFmtId="0" fontId="80" fillId="0" borderId="0" xfId="0" applyFont="1" applyAlignment="1">
      <alignment horizontal="left" vertical="center"/>
    </xf>
    <xf numFmtId="0" fontId="80" fillId="0" borderId="0" xfId="0" applyFont="1" applyAlignment="1">
      <alignment horizontal="center" vertical="center"/>
    </xf>
    <xf numFmtId="167" fontId="80" fillId="0" borderId="19" xfId="0" applyNumberFormat="1" applyFont="1" applyBorder="1" applyAlignment="1">
      <alignment horizontal="center" vertical="center"/>
    </xf>
    <xf numFmtId="0" fontId="81" fillId="0" borderId="0" xfId="0" applyFont="1" applyAlignment="1">
      <alignment horizontal="left" vertical="center"/>
    </xf>
    <xf numFmtId="0" fontId="81" fillId="0" borderId="0" xfId="0" applyFont="1" applyAlignment="1">
      <alignment horizontal="center" vertical="center"/>
    </xf>
    <xf numFmtId="167" fontId="81" fillId="0" borderId="19" xfId="0" applyNumberFormat="1" applyFont="1" applyBorder="1" applyAlignment="1">
      <alignment horizontal="center" vertical="center"/>
    </xf>
    <xf numFmtId="167" fontId="81" fillId="20" borderId="19" xfId="0" applyNumberFormat="1" applyFont="1" applyFill="1" applyBorder="1" applyAlignment="1">
      <alignment horizontal="center" vertical="center"/>
    </xf>
    <xf numFmtId="167" fontId="80" fillId="20" borderId="19" xfId="0" applyNumberFormat="1" applyFont="1" applyFill="1" applyBorder="1" applyAlignment="1">
      <alignment horizontal="center" vertical="center"/>
    </xf>
    <xf numFmtId="0" fontId="72" fillId="0" borderId="0" xfId="0" applyFont="1" applyAlignment="1">
      <alignment horizontal="left" vertical="center"/>
    </xf>
    <xf numFmtId="0" fontId="73" fillId="0" borderId="19" xfId="0" applyFont="1" applyBorder="1" applyAlignment="1">
      <alignment horizontal="center" vertical="center" wrapText="1"/>
    </xf>
    <xf numFmtId="0" fontId="82" fillId="0" borderId="0" xfId="0" applyFont="1" applyAlignment="1">
      <alignment horizontal="center" vertical="center"/>
    </xf>
    <xf numFmtId="0" fontId="67" fillId="0" borderId="0" xfId="0" applyFont="1" applyFill="1" applyBorder="1" applyAlignment="1">
      <alignment vertical="center"/>
    </xf>
    <xf numFmtId="0" fontId="0" fillId="0" borderId="0" xfId="0" applyFont="1" applyAlignment="1">
      <alignment vertical="center"/>
    </xf>
    <xf numFmtId="0" fontId="0" fillId="0" borderId="0" xfId="0" applyFont="1" applyFill="1" applyBorder="1" applyAlignment="1">
      <alignment vertical="center"/>
    </xf>
    <xf numFmtId="0" fontId="83" fillId="0" borderId="0" xfId="0" applyFont="1" applyAlignment="1">
      <alignment horizontal="center" vertical="center"/>
    </xf>
    <xf numFmtId="0" fontId="56" fillId="20" borderId="19" xfId="0" applyFont="1" applyFill="1" applyBorder="1" applyAlignment="1" applyProtection="1">
      <alignment horizontal="center" vertical="center"/>
      <protection hidden="1"/>
    </xf>
    <xf numFmtId="0" fontId="56" fillId="20" borderId="19" xfId="0" applyFont="1" applyFill="1" applyBorder="1" applyAlignment="1" applyProtection="1">
      <alignment horizontal="center" vertical="center" wrapText="1"/>
      <protection hidden="1"/>
    </xf>
    <xf numFmtId="0" fontId="56" fillId="0" borderId="0" xfId="0" applyFont="1" applyFill="1" applyBorder="1" applyAlignment="1" applyProtection="1">
      <alignment horizontal="center" vertical="center"/>
      <protection hidden="1"/>
    </xf>
    <xf numFmtId="0" fontId="55" fillId="20" borderId="19" xfId="0" applyFont="1" applyFill="1" applyBorder="1" applyAlignment="1" applyProtection="1">
      <alignment horizontal="center" vertical="center" wrapText="1"/>
      <protection hidden="1"/>
    </xf>
    <xf numFmtId="0" fontId="0" fillId="0" borderId="0" xfId="0" applyFont="1" applyAlignment="1" applyProtection="1">
      <alignment vertical="center"/>
      <protection hidden="1"/>
    </xf>
    <xf numFmtId="0" fontId="0" fillId="0" borderId="0" xfId="0" applyFont="1" applyFill="1" applyBorder="1" applyAlignment="1" applyProtection="1">
      <alignment vertical="center"/>
      <protection hidden="1"/>
    </xf>
    <xf numFmtId="0" fontId="56" fillId="0" borderId="0" xfId="0" applyFont="1" applyAlignment="1" applyProtection="1">
      <alignment vertical="center"/>
      <protection hidden="1"/>
    </xf>
    <xf numFmtId="0" fontId="57" fillId="0" borderId="0" xfId="0" applyFont="1" applyAlignment="1" applyProtection="1">
      <alignment horizontal="center" vertical="center"/>
      <protection hidden="1"/>
    </xf>
    <xf numFmtId="167" fontId="56" fillId="0" borderId="0" xfId="1" applyNumberFormat="1" applyFont="1" applyAlignment="1" applyProtection="1">
      <alignment vertical="center"/>
      <protection hidden="1"/>
    </xf>
    <xf numFmtId="167" fontId="56" fillId="0" borderId="0" xfId="1" applyNumberFormat="1" applyFont="1" applyFill="1" applyBorder="1" applyAlignment="1" applyProtection="1">
      <alignment vertical="center"/>
      <protection hidden="1"/>
    </xf>
    <xf numFmtId="167" fontId="56" fillId="8" borderId="0" xfId="1" applyNumberFormat="1" applyFont="1" applyFill="1" applyAlignment="1" applyProtection="1">
      <alignment vertical="center"/>
      <protection locked="0"/>
    </xf>
    <xf numFmtId="0" fontId="57" fillId="0" borderId="0" xfId="0" applyFont="1" applyAlignment="1" applyProtection="1">
      <alignment vertical="center"/>
      <protection hidden="1"/>
    </xf>
    <xf numFmtId="0" fontId="57" fillId="0" borderId="0" xfId="0" applyFont="1" applyFill="1" applyBorder="1" applyAlignment="1" applyProtection="1">
      <alignment vertical="center"/>
      <protection hidden="1"/>
    </xf>
    <xf numFmtId="167" fontId="57" fillId="0" borderId="0" xfId="1" applyNumberFormat="1" applyFont="1" applyAlignment="1" applyProtection="1">
      <alignment vertical="center"/>
      <protection hidden="1"/>
    </xf>
    <xf numFmtId="0" fontId="57" fillId="0" borderId="0" xfId="0" applyFont="1" applyAlignment="1" applyProtection="1">
      <alignment horizontal="center" vertical="center" wrapText="1"/>
      <protection hidden="1"/>
    </xf>
    <xf numFmtId="0" fontId="56" fillId="0" borderId="0" xfId="0" applyFont="1" applyAlignment="1" applyProtection="1">
      <alignment vertical="center" wrapText="1"/>
      <protection hidden="1"/>
    </xf>
    <xf numFmtId="0" fontId="56" fillId="0" borderId="0" xfId="0" applyFont="1" applyFill="1" applyAlignment="1" applyProtection="1">
      <alignment vertical="center" wrapText="1"/>
      <protection hidden="1"/>
    </xf>
    <xf numFmtId="0" fontId="0" fillId="0" borderId="0" xfId="0" applyFont="1" applyFill="1" applyAlignment="1" applyProtection="1">
      <alignment horizontal="center" vertical="center" wrapText="1"/>
      <protection hidden="1"/>
    </xf>
    <xf numFmtId="167" fontId="56" fillId="0" borderId="0" xfId="1" applyNumberFormat="1" applyFont="1" applyFill="1" applyAlignment="1" applyProtection="1">
      <alignment vertical="center"/>
      <protection hidden="1"/>
    </xf>
    <xf numFmtId="167" fontId="56" fillId="0" borderId="0" xfId="1" applyNumberFormat="1" applyFont="1" applyFill="1" applyAlignment="1" applyProtection="1">
      <alignment vertical="center"/>
      <protection locked="0"/>
    </xf>
    <xf numFmtId="0" fontId="0" fillId="0" borderId="0" xfId="0" applyFont="1" applyFill="1" applyAlignment="1">
      <alignment vertical="center"/>
    </xf>
    <xf numFmtId="0" fontId="56" fillId="16" borderId="0" xfId="0" applyFont="1" applyFill="1" applyAlignment="1" applyProtection="1">
      <alignment vertical="center"/>
      <protection hidden="1"/>
    </xf>
    <xf numFmtId="167" fontId="56" fillId="16" borderId="0" xfId="0" applyNumberFormat="1" applyFont="1" applyFill="1" applyAlignment="1" applyProtection="1">
      <alignment vertical="center"/>
      <protection hidden="1"/>
    </xf>
    <xf numFmtId="167" fontId="56" fillId="0" borderId="0" xfId="0" applyNumberFormat="1" applyFont="1" applyFill="1" applyBorder="1" applyAlignment="1" applyProtection="1">
      <alignment vertical="center"/>
      <protection hidden="1"/>
    </xf>
    <xf numFmtId="9" fontId="82" fillId="0" borderId="0" xfId="0" applyNumberFormat="1" applyFont="1" applyAlignment="1">
      <alignment horizontal="center" vertical="center"/>
    </xf>
    <xf numFmtId="168" fontId="82" fillId="0" borderId="0" xfId="0" applyNumberFormat="1" applyFont="1" applyAlignment="1">
      <alignment horizontal="center" vertical="center"/>
    </xf>
    <xf numFmtId="0" fontId="56" fillId="21" borderId="19" xfId="0" applyFont="1" applyFill="1" applyBorder="1" applyAlignment="1" applyProtection="1">
      <alignment horizontal="center" vertical="center" wrapText="1"/>
      <protection hidden="1"/>
    </xf>
    <xf numFmtId="0" fontId="72" fillId="0" borderId="19" xfId="0" applyFont="1" applyBorder="1" applyAlignment="1">
      <alignment vertical="center" wrapText="1"/>
    </xf>
    <xf numFmtId="0" fontId="77" fillId="8" borderId="17" xfId="0" applyFont="1" applyFill="1" applyBorder="1" applyAlignment="1">
      <alignment horizontal="center" vertical="center"/>
    </xf>
    <xf numFmtId="0" fontId="57" fillId="5" borderId="0" xfId="0" applyFont="1" applyFill="1"/>
    <xf numFmtId="0" fontId="57" fillId="5" borderId="0" xfId="0" applyFont="1" applyFill="1" applyAlignment="1">
      <alignment horizontal="left" wrapText="1"/>
    </xf>
    <xf numFmtId="0" fontId="57" fillId="5" borderId="0" xfId="0" applyFont="1" applyFill="1" applyAlignment="1">
      <alignment horizontal="left" vertical="center" wrapText="1"/>
    </xf>
    <xf numFmtId="167" fontId="0" fillId="0" borderId="0" xfId="0" applyNumberFormat="1" applyFont="1" applyAlignment="1">
      <alignment vertical="center"/>
    </xf>
    <xf numFmtId="0" fontId="66" fillId="0" borderId="0" xfId="0" applyFont="1" applyAlignment="1">
      <alignment horizontal="center" vertical="center" wrapText="1"/>
    </xf>
    <xf numFmtId="0" fontId="10" fillId="0" borderId="21"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42" fontId="56" fillId="5" borderId="21" xfId="8" applyFont="1" applyFill="1" applyBorder="1" applyAlignment="1">
      <alignment horizontal="center" vertical="center" wrapText="1"/>
    </xf>
    <xf numFmtId="42" fontId="56" fillId="5" borderId="23" xfId="8" applyFont="1" applyFill="1" applyBorder="1" applyAlignment="1">
      <alignment horizontal="center" vertical="center" wrapText="1"/>
    </xf>
    <xf numFmtId="0" fontId="10" fillId="0" borderId="22" xfId="0" applyFont="1" applyBorder="1" applyAlignment="1" applyProtection="1">
      <alignment horizontal="center" vertical="center" wrapText="1"/>
      <protection hidden="1"/>
    </xf>
    <xf numFmtId="42" fontId="56" fillId="5" borderId="22" xfId="8" applyFont="1" applyFill="1" applyBorder="1" applyAlignment="1">
      <alignment horizontal="center" vertical="center" wrapText="1"/>
    </xf>
    <xf numFmtId="0" fontId="56" fillId="0" borderId="0" xfId="0" applyFont="1" applyAlignment="1">
      <alignment horizontal="center"/>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vertical="center" wrapText="1"/>
      <protection hidden="1"/>
    </xf>
    <xf numFmtId="0" fontId="3" fillId="2" borderId="8" xfId="0" applyFont="1" applyFill="1" applyBorder="1" applyAlignment="1" applyProtection="1">
      <alignment horizontal="left" vertical="center" wrapText="1"/>
      <protection hidden="1"/>
    </xf>
    <xf numFmtId="0" fontId="3" fillId="2" borderId="9" xfId="0" applyFont="1" applyFill="1" applyBorder="1" applyAlignment="1" applyProtection="1">
      <alignment horizontal="left" vertical="center" wrapText="1"/>
      <protection hidden="1"/>
    </xf>
    <xf numFmtId="0" fontId="3" fillId="2" borderId="10" xfId="0" applyFont="1" applyFill="1" applyBorder="1" applyAlignment="1" applyProtection="1">
      <alignment horizontal="left" vertical="center" wrapText="1"/>
      <protection hidden="1"/>
    </xf>
    <xf numFmtId="0" fontId="3" fillId="2" borderId="11" xfId="0" applyFont="1" applyFill="1" applyBorder="1" applyAlignment="1" applyProtection="1">
      <alignment horizontal="left" vertical="center" wrapText="1"/>
      <protection hidden="1"/>
    </xf>
    <xf numFmtId="0" fontId="3" fillId="2" borderId="3" xfId="0" applyFont="1" applyFill="1" applyBorder="1" applyAlignment="1" applyProtection="1">
      <alignment horizontal="left" vertical="center" wrapText="1"/>
      <protection hidden="1"/>
    </xf>
    <xf numFmtId="0" fontId="3" fillId="2" borderId="12" xfId="0" applyFont="1" applyFill="1" applyBorder="1" applyAlignment="1" applyProtection="1">
      <alignment horizontal="left" vertical="center" wrapText="1"/>
      <protection hidden="1"/>
    </xf>
    <xf numFmtId="0" fontId="4" fillId="0" borderId="0" xfId="0" applyFont="1" applyBorder="1" applyAlignment="1" applyProtection="1">
      <alignment horizontal="center"/>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9"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3" fontId="0" fillId="10" borderId="19" xfId="0" applyNumberFormat="1" applyFill="1" applyBorder="1" applyAlignment="1">
      <alignment horizontal="center" vertical="center"/>
    </xf>
    <xf numFmtId="0" fontId="21" fillId="14" borderId="4" xfId="0" applyFont="1" applyFill="1" applyBorder="1" applyAlignment="1">
      <alignment horizontal="center" vertical="center" wrapText="1"/>
    </xf>
    <xf numFmtId="0" fontId="21" fillId="14" borderId="5" xfId="0" applyFont="1" applyFill="1" applyBorder="1" applyAlignment="1">
      <alignment horizontal="center" vertical="center" wrapText="1"/>
    </xf>
    <xf numFmtId="0" fontId="21" fillId="14" borderId="6" xfId="0" applyFont="1" applyFill="1" applyBorder="1" applyAlignment="1">
      <alignment horizontal="center" vertical="center" wrapText="1"/>
    </xf>
    <xf numFmtId="3" fontId="0" fillId="10" borderId="25" xfId="0" applyNumberFormat="1" applyFill="1" applyBorder="1" applyAlignment="1">
      <alignment horizontal="center" vertical="center"/>
    </xf>
    <xf numFmtId="0" fontId="22" fillId="0" borderId="0" xfId="0" applyFont="1" applyBorder="1" applyAlignment="1">
      <alignment horizontal="center" vertical="center" wrapText="1"/>
    </xf>
    <xf numFmtId="0" fontId="2" fillId="8" borderId="0"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22" fillId="8" borderId="6" xfId="0" applyFont="1" applyFill="1" applyBorder="1" applyAlignment="1">
      <alignment horizontal="center" vertical="center" wrapText="1"/>
    </xf>
    <xf numFmtId="0" fontId="57" fillId="10" borderId="4" xfId="0" applyFont="1" applyFill="1" applyBorder="1" applyAlignment="1">
      <alignment horizontal="center" vertical="center" wrapText="1"/>
    </xf>
    <xf numFmtId="0" fontId="57" fillId="10" borderId="5"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56" fillId="9" borderId="4" xfId="0" applyFont="1" applyFill="1" applyBorder="1" applyAlignment="1">
      <alignment horizontal="center" vertical="center" wrapText="1"/>
    </xf>
    <xf numFmtId="0" fontId="56" fillId="9" borderId="6"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2" fillId="13" borderId="6" xfId="0" applyFont="1" applyFill="1" applyBorder="1" applyAlignment="1">
      <alignment horizontal="center" vertical="center" wrapText="1"/>
    </xf>
    <xf numFmtId="0" fontId="21" fillId="7" borderId="4" xfId="0" applyFont="1" applyFill="1" applyBorder="1" applyAlignment="1">
      <alignment horizontal="center" vertical="center" wrapText="1"/>
    </xf>
    <xf numFmtId="0" fontId="21" fillId="7" borderId="5" xfId="0" applyFont="1" applyFill="1" applyBorder="1" applyAlignment="1">
      <alignment horizontal="center" vertical="center" wrapText="1"/>
    </xf>
    <xf numFmtId="0" fontId="21" fillId="7" borderId="6" xfId="0" applyFont="1" applyFill="1" applyBorder="1" applyAlignment="1">
      <alignment horizontal="center" vertical="center" wrapText="1"/>
    </xf>
    <xf numFmtId="0" fontId="56" fillId="15" borderId="4" xfId="0" applyFont="1" applyFill="1" applyBorder="1" applyAlignment="1">
      <alignment horizontal="center" vertical="center" wrapText="1"/>
    </xf>
    <xf numFmtId="0" fontId="56" fillId="15" borderId="6" xfId="0" applyFont="1" applyFill="1" applyBorder="1" applyAlignment="1">
      <alignment horizontal="center" vertical="center" wrapText="1"/>
    </xf>
    <xf numFmtId="0" fontId="66" fillId="0" borderId="0" xfId="0" applyFont="1" applyAlignment="1">
      <alignment horizontal="center" vertical="center" wrapText="1"/>
    </xf>
    <xf numFmtId="0" fontId="68" fillId="14" borderId="4" xfId="0" applyFont="1" applyFill="1" applyBorder="1" applyAlignment="1">
      <alignment horizontal="center" vertical="center" wrapText="1"/>
    </xf>
    <xf numFmtId="0" fontId="68" fillId="14" borderId="5" xfId="0" applyFont="1" applyFill="1" applyBorder="1" applyAlignment="1">
      <alignment horizontal="center" vertical="center" wrapText="1"/>
    </xf>
    <xf numFmtId="0" fontId="68" fillId="14" borderId="6" xfId="0" applyFont="1" applyFill="1" applyBorder="1" applyAlignment="1">
      <alignment horizontal="center" vertical="center" wrapText="1"/>
    </xf>
    <xf numFmtId="0" fontId="68" fillId="7" borderId="4" xfId="0" applyFont="1" applyFill="1" applyBorder="1" applyAlignment="1">
      <alignment horizontal="center" vertical="center" wrapText="1"/>
    </xf>
    <xf numFmtId="0" fontId="68" fillId="7" borderId="5" xfId="0" applyFont="1" applyFill="1" applyBorder="1" applyAlignment="1">
      <alignment horizontal="center" vertical="center" wrapText="1"/>
    </xf>
    <xf numFmtId="0" fontId="68" fillId="7" borderId="6" xfId="0" applyFont="1" applyFill="1" applyBorder="1" applyAlignment="1">
      <alignment horizontal="center" vertical="center" wrapText="1"/>
    </xf>
    <xf numFmtId="0" fontId="70" fillId="5" borderId="4" xfId="0" applyFont="1" applyFill="1" applyBorder="1" applyAlignment="1">
      <alignment horizontal="center" vertical="center" wrapText="1"/>
    </xf>
    <xf numFmtId="0" fontId="70" fillId="5" borderId="5" xfId="0" applyFont="1" applyFill="1" applyBorder="1" applyAlignment="1">
      <alignment horizontal="center" vertical="center" wrapText="1"/>
    </xf>
    <xf numFmtId="0" fontId="70" fillId="5" borderId="6" xfId="0" applyFont="1" applyFill="1" applyBorder="1" applyAlignment="1">
      <alignment horizontal="center" vertical="center" wrapText="1"/>
    </xf>
    <xf numFmtId="0" fontId="70" fillId="16" borderId="4" xfId="0" applyFont="1" applyFill="1" applyBorder="1" applyAlignment="1">
      <alignment horizontal="center" vertical="center" wrapText="1"/>
    </xf>
    <xf numFmtId="0" fontId="70" fillId="16" borderId="5" xfId="0" applyFont="1" applyFill="1" applyBorder="1" applyAlignment="1">
      <alignment horizontal="center" vertical="center" wrapText="1"/>
    </xf>
    <xf numFmtId="0" fontId="70" fillId="16" borderId="6" xfId="0" applyFont="1" applyFill="1" applyBorder="1" applyAlignment="1">
      <alignment horizontal="center" vertical="center" wrapText="1"/>
    </xf>
    <xf numFmtId="0" fontId="70" fillId="17" borderId="4" xfId="0" applyFont="1" applyFill="1" applyBorder="1" applyAlignment="1">
      <alignment horizontal="center" vertical="center" wrapText="1"/>
    </xf>
    <xf numFmtId="0" fontId="70" fillId="17" borderId="5" xfId="0" applyFont="1" applyFill="1" applyBorder="1" applyAlignment="1">
      <alignment horizontal="center" vertical="center" wrapText="1"/>
    </xf>
    <xf numFmtId="0" fontId="70" fillId="17" borderId="6" xfId="0" applyFont="1" applyFill="1" applyBorder="1" applyAlignment="1">
      <alignment horizontal="center" vertical="center" wrapText="1"/>
    </xf>
    <xf numFmtId="0" fontId="72" fillId="18" borderId="4" xfId="0" applyFont="1" applyFill="1" applyBorder="1" applyAlignment="1">
      <alignment horizontal="center" vertical="center" wrapText="1"/>
    </xf>
    <xf numFmtId="0" fontId="72" fillId="18" borderId="5" xfId="0" applyFont="1" applyFill="1" applyBorder="1" applyAlignment="1">
      <alignment horizontal="center" vertical="center" wrapText="1"/>
    </xf>
    <xf numFmtId="0" fontId="72" fillId="18" borderId="6" xfId="0" applyFont="1" applyFill="1" applyBorder="1" applyAlignment="1">
      <alignment horizontal="center" vertical="center" wrapText="1"/>
    </xf>
    <xf numFmtId="0" fontId="70" fillId="13" borderId="4" xfId="0" applyFont="1" applyFill="1" applyBorder="1" applyAlignment="1">
      <alignment horizontal="center" vertical="center" wrapText="1"/>
    </xf>
    <xf numFmtId="0" fontId="70" fillId="13" borderId="5" xfId="0" applyFont="1" applyFill="1" applyBorder="1" applyAlignment="1">
      <alignment horizontal="center" vertical="center" wrapText="1"/>
    </xf>
    <xf numFmtId="0" fontId="70" fillId="13" borderId="6" xfId="0" applyFont="1" applyFill="1" applyBorder="1" applyAlignment="1">
      <alignment horizontal="center" vertical="center" wrapText="1"/>
    </xf>
    <xf numFmtId="0" fontId="70" fillId="3" borderId="4" xfId="0" applyFont="1" applyFill="1" applyBorder="1" applyAlignment="1">
      <alignment horizontal="center" vertical="center" wrapText="1"/>
    </xf>
    <xf numFmtId="0" fontId="70" fillId="3" borderId="5" xfId="0" applyFont="1" applyFill="1" applyBorder="1" applyAlignment="1">
      <alignment horizontal="center" vertical="center" wrapText="1"/>
    </xf>
    <xf numFmtId="0" fontId="70" fillId="3" borderId="6" xfId="0" applyFont="1" applyFill="1" applyBorder="1" applyAlignment="1">
      <alignment horizontal="center" vertical="center" wrapText="1"/>
    </xf>
    <xf numFmtId="0" fontId="77" fillId="0" borderId="26" xfId="0" applyFont="1" applyBorder="1" applyAlignment="1">
      <alignment horizontal="center" vertical="center" textRotation="90" wrapText="1"/>
    </xf>
    <xf numFmtId="0" fontId="77" fillId="0" borderId="27" xfId="0" applyFont="1" applyBorder="1" applyAlignment="1">
      <alignment horizontal="center" vertical="center" textRotation="90" wrapText="1"/>
    </xf>
    <xf numFmtId="0" fontId="77" fillId="0" borderId="31" xfId="0" applyFont="1" applyBorder="1" applyAlignment="1">
      <alignment horizontal="center" vertical="center" textRotation="90" wrapText="1"/>
    </xf>
    <xf numFmtId="0" fontId="76" fillId="0" borderId="32" xfId="0" applyFont="1" applyBorder="1" applyAlignment="1">
      <alignment horizontal="center" vertical="center" wrapText="1"/>
    </xf>
    <xf numFmtId="0" fontId="76" fillId="0" borderId="33" xfId="0" applyFont="1" applyBorder="1" applyAlignment="1">
      <alignment horizontal="center" vertical="center" wrapText="1"/>
    </xf>
    <xf numFmtId="0" fontId="70" fillId="0" borderId="34" xfId="0" applyFont="1" applyBorder="1" applyAlignment="1">
      <alignment horizontal="center" vertical="center" wrapText="1"/>
    </xf>
    <xf numFmtId="0" fontId="70" fillId="0" borderId="35" xfId="0" applyFont="1" applyBorder="1" applyAlignment="1">
      <alignment horizontal="center" vertical="center" wrapText="1"/>
    </xf>
    <xf numFmtId="0" fontId="70" fillId="0" borderId="25" xfId="0" applyFont="1" applyBorder="1" applyAlignment="1">
      <alignment horizontal="center" vertical="center" wrapText="1"/>
    </xf>
    <xf numFmtId="167" fontId="67" fillId="0" borderId="0" xfId="0" applyNumberFormat="1" applyFont="1" applyAlignment="1">
      <alignment vertical="center"/>
    </xf>
    <xf numFmtId="0" fontId="70" fillId="19" borderId="4" xfId="0" applyFont="1" applyFill="1" applyBorder="1" applyAlignment="1">
      <alignment horizontal="center" vertical="center" wrapText="1"/>
    </xf>
    <xf numFmtId="0" fontId="70" fillId="19" borderId="5" xfId="0" applyFont="1" applyFill="1" applyBorder="1" applyAlignment="1">
      <alignment horizontal="center" vertical="center" wrapText="1"/>
    </xf>
    <xf numFmtId="0" fontId="70" fillId="19" borderId="6" xfId="0" applyFont="1" applyFill="1" applyBorder="1" applyAlignment="1">
      <alignment horizontal="center" vertical="center" wrapText="1"/>
    </xf>
  </cellXfs>
  <cellStyles count="10">
    <cellStyle name="Hipervínculo" xfId="5" builtinId="8"/>
    <cellStyle name="Millares" xfId="4" builtinId="3"/>
    <cellStyle name="Millares [0]" xfId="7" builtinId="6"/>
    <cellStyle name="Millares_Modelo Financiero ACME Final 2" xfId="3" xr:uid="{00000000-0005-0000-0000-000003000000}"/>
    <cellStyle name="Moneda" xfId="1" builtinId="4"/>
    <cellStyle name="Moneda [0]" xfId="8" builtinId="7"/>
    <cellStyle name="Moneda 2" xfId="9" xr:uid="{00000000-0005-0000-0000-000006000000}"/>
    <cellStyle name="Normal" xfId="0" builtinId="0"/>
    <cellStyle name="Normal 2" xfId="6" xr:uid="{00000000-0005-0000-0000-000008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83447.124174484416</c:v>
                </c:pt>
                <c:pt idx="2">
                  <c:v>166894.24834896883</c:v>
                </c:pt>
              </c:numCache>
            </c:numRef>
          </c:cat>
          <c:val>
            <c:numRef>
              <c:f>'5'!$C$33:$C$35</c:f>
              <c:numCache>
                <c:formatCode>_("$"\ * #,##0.00_);_("$"\ * \(#,##0.00\);_("$"\ * "-"??_);_(@_)</c:formatCode>
                <c:ptCount val="3"/>
                <c:pt idx="0">
                  <c:v>93938000</c:v>
                </c:pt>
                <c:pt idx="1">
                  <c:v>93938000</c:v>
                </c:pt>
                <c:pt idx="2">
                  <c:v>93938000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83447.124174484416</c:v>
                </c:pt>
                <c:pt idx="2">
                  <c:v>166894.24834896883</c:v>
                </c:pt>
              </c:numCache>
            </c:numRef>
          </c:cat>
          <c:val>
            <c:numRef>
              <c:f>'5'!$D$33:$D$35</c:f>
              <c:numCache>
                <c:formatCode>_("$"\ * #,##0.00_);_("$"\ * \(#,##0.00\);_("$"\ * "-"??_);_(@_)</c:formatCode>
                <c:ptCount val="3"/>
                <c:pt idx="0" formatCode="General">
                  <c:v>0</c:v>
                </c:pt>
                <c:pt idx="1">
                  <c:v>335492857.14285713</c:v>
                </c:pt>
                <c:pt idx="2">
                  <c:v>670985714.28571427</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83447.124174484416</c:v>
                </c:pt>
                <c:pt idx="2">
                  <c:v>166894.24834896883</c:v>
                </c:pt>
              </c:numCache>
            </c:numRef>
          </c:cat>
          <c:val>
            <c:numRef>
              <c:f>'5'!$F$33:$F$35</c:f>
              <c:numCache>
                <c:formatCode>_("$"\ * #,##0.00_);_("$"\ * \(#,##0.00\);_("$"\ * "-"??_);_(@_)</c:formatCode>
                <c:ptCount val="3"/>
                <c:pt idx="0">
                  <c:v>93938000</c:v>
                </c:pt>
                <c:pt idx="1">
                  <c:v>335492857.14285713</c:v>
                </c:pt>
                <c:pt idx="2">
                  <c:v>577047714.28571427</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829794928"/>
        <c:axId val="-1829794384"/>
      </c:lineChart>
      <c:catAx>
        <c:axId val="-1829794928"/>
        <c:scaling>
          <c:orientation val="minMax"/>
        </c:scaling>
        <c:delete val="0"/>
        <c:axPos val="b"/>
        <c:numFmt formatCode="General" sourceLinked="1"/>
        <c:majorTickMark val="out"/>
        <c:minorTickMark val="none"/>
        <c:tickLblPos val="nextTo"/>
        <c:crossAx val="-1829794384"/>
        <c:crosses val="autoZero"/>
        <c:auto val="1"/>
        <c:lblAlgn val="ctr"/>
        <c:lblOffset val="100"/>
        <c:noMultiLvlLbl val="0"/>
      </c:catAx>
      <c:valAx>
        <c:axId val="-1829794384"/>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82979492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13</xdr:row>
      <xdr:rowOff>71437</xdr:rowOff>
    </xdr:from>
    <xdr:to>
      <xdr:col>7</xdr:col>
      <xdr:colOff>295275</xdr:colOff>
      <xdr:row>19</xdr:row>
      <xdr:rowOff>80962</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10151269" y="2488406"/>
          <a:ext cx="704850" cy="1390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youtube.com/watch?v=m2meVNuuANI"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B1:E48"/>
  <sheetViews>
    <sheetView showGridLines="0" topLeftCell="A31" zoomScale="110" zoomScaleNormal="110" workbookViewId="0">
      <selection activeCell="A49" sqref="A49:XFD49"/>
    </sheetView>
  </sheetViews>
  <sheetFormatPr baseColWidth="10" defaultColWidth="11" defaultRowHeight="12.75"/>
  <cols>
    <col min="1" max="1" width="1.5703125" style="121" customWidth="1"/>
    <col min="2" max="2" width="17.42578125" style="121" customWidth="1"/>
    <col min="3" max="3" width="34.7109375" style="121" customWidth="1"/>
    <col min="4" max="4" width="12.42578125" style="121" bestFit="1" customWidth="1"/>
    <col min="5" max="5" width="12.140625" style="121" bestFit="1" customWidth="1"/>
    <col min="6" max="16384" width="11" style="121"/>
  </cols>
  <sheetData>
    <row r="1" spans="2:5" ht="13.5" thickBot="1">
      <c r="C1" s="392" t="s">
        <v>320</v>
      </c>
      <c r="D1" s="392"/>
    </row>
    <row r="2" spans="2:5" ht="13.5" thickBot="1">
      <c r="B2" s="122" t="s">
        <v>189</v>
      </c>
      <c r="C2" s="122" t="s">
        <v>178</v>
      </c>
      <c r="D2" s="122" t="s">
        <v>179</v>
      </c>
      <c r="E2" s="123" t="s">
        <v>180</v>
      </c>
    </row>
    <row r="3" spans="2:5">
      <c r="B3" s="386" t="s">
        <v>46</v>
      </c>
      <c r="C3" s="124" t="s">
        <v>183</v>
      </c>
      <c r="D3" s="152">
        <v>12200000</v>
      </c>
      <c r="E3" s="388">
        <f>SUM(D3:D25)</f>
        <v>19215000</v>
      </c>
    </row>
    <row r="4" spans="2:5">
      <c r="B4" s="390"/>
      <c r="C4" s="381" t="s">
        <v>229</v>
      </c>
      <c r="D4" s="153">
        <v>2500000</v>
      </c>
      <c r="E4" s="391"/>
    </row>
    <row r="5" spans="2:5">
      <c r="B5" s="390"/>
      <c r="C5" s="382" t="s">
        <v>221</v>
      </c>
      <c r="D5" s="153">
        <v>660000</v>
      </c>
      <c r="E5" s="391"/>
    </row>
    <row r="6" spans="2:5">
      <c r="B6" s="390"/>
      <c r="C6" s="382" t="s">
        <v>217</v>
      </c>
      <c r="D6" s="153">
        <v>500000</v>
      </c>
      <c r="E6" s="391"/>
    </row>
    <row r="7" spans="2:5">
      <c r="B7" s="390"/>
      <c r="C7" s="381" t="s">
        <v>199</v>
      </c>
      <c r="D7" s="153">
        <v>500000</v>
      </c>
      <c r="E7" s="391"/>
    </row>
    <row r="8" spans="2:5">
      <c r="B8" s="390"/>
      <c r="C8" s="381" t="s">
        <v>185</v>
      </c>
      <c r="D8" s="153">
        <v>480000</v>
      </c>
      <c r="E8" s="391"/>
    </row>
    <row r="9" spans="2:5">
      <c r="B9" s="390"/>
      <c r="C9" s="381" t="s">
        <v>184</v>
      </c>
      <c r="D9" s="153">
        <v>400000</v>
      </c>
      <c r="E9" s="391"/>
    </row>
    <row r="10" spans="2:5" ht="25.5">
      <c r="B10" s="390"/>
      <c r="C10" s="382" t="s">
        <v>202</v>
      </c>
      <c r="D10" s="153">
        <v>300000</v>
      </c>
      <c r="E10" s="391"/>
    </row>
    <row r="11" spans="2:5">
      <c r="B11" s="390"/>
      <c r="C11" s="381" t="s">
        <v>205</v>
      </c>
      <c r="D11" s="153">
        <v>280000</v>
      </c>
      <c r="E11" s="391"/>
    </row>
    <row r="12" spans="2:5">
      <c r="B12" s="390"/>
      <c r="C12" s="382" t="s">
        <v>218</v>
      </c>
      <c r="D12" s="153">
        <v>250000</v>
      </c>
      <c r="E12" s="391"/>
    </row>
    <row r="13" spans="2:5">
      <c r="B13" s="390"/>
      <c r="C13" s="382" t="s">
        <v>203</v>
      </c>
      <c r="D13" s="153">
        <v>200000</v>
      </c>
      <c r="E13" s="391"/>
    </row>
    <row r="14" spans="2:5">
      <c r="B14" s="390"/>
      <c r="C14" s="381" t="s">
        <v>219</v>
      </c>
      <c r="D14" s="153">
        <v>150000</v>
      </c>
      <c r="E14" s="391"/>
    </row>
    <row r="15" spans="2:5">
      <c r="B15" s="390"/>
      <c r="C15" s="381" t="s">
        <v>210</v>
      </c>
      <c r="D15" s="153">
        <v>140000</v>
      </c>
      <c r="E15" s="391"/>
    </row>
    <row r="16" spans="2:5">
      <c r="B16" s="390"/>
      <c r="C16" s="381" t="s">
        <v>186</v>
      </c>
      <c r="D16" s="153">
        <v>130000</v>
      </c>
      <c r="E16" s="391"/>
    </row>
    <row r="17" spans="2:5">
      <c r="B17" s="390"/>
      <c r="C17" s="381" t="s">
        <v>200</v>
      </c>
      <c r="D17" s="153">
        <v>100000</v>
      </c>
      <c r="E17" s="391"/>
    </row>
    <row r="18" spans="2:5">
      <c r="B18" s="390"/>
      <c r="C18" s="382" t="s">
        <v>209</v>
      </c>
      <c r="D18" s="153">
        <v>80000</v>
      </c>
      <c r="E18" s="391"/>
    </row>
    <row r="19" spans="2:5">
      <c r="B19" s="390"/>
      <c r="C19" s="382" t="s">
        <v>204</v>
      </c>
      <c r="D19" s="153">
        <v>75000</v>
      </c>
      <c r="E19" s="391"/>
    </row>
    <row r="20" spans="2:5">
      <c r="B20" s="390"/>
      <c r="C20" s="381" t="s">
        <v>187</v>
      </c>
      <c r="D20" s="153">
        <v>75000</v>
      </c>
      <c r="E20" s="391"/>
    </row>
    <row r="21" spans="2:5">
      <c r="B21" s="390"/>
      <c r="C21" s="382" t="s">
        <v>211</v>
      </c>
      <c r="D21" s="153">
        <v>60000</v>
      </c>
      <c r="E21" s="391"/>
    </row>
    <row r="22" spans="2:5">
      <c r="B22" s="390"/>
      <c r="C22" s="382" t="s">
        <v>207</v>
      </c>
      <c r="D22" s="153">
        <v>45000</v>
      </c>
      <c r="E22" s="391"/>
    </row>
    <row r="23" spans="2:5">
      <c r="B23" s="390"/>
      <c r="C23" s="381" t="s">
        <v>201</v>
      </c>
      <c r="D23" s="153">
        <v>40000</v>
      </c>
      <c r="E23" s="391"/>
    </row>
    <row r="24" spans="2:5">
      <c r="B24" s="390"/>
      <c r="C24" s="381" t="s">
        <v>206</v>
      </c>
      <c r="D24" s="153">
        <v>40000</v>
      </c>
      <c r="E24" s="391"/>
    </row>
    <row r="25" spans="2:5" ht="13.5" thickBot="1">
      <c r="B25" s="387"/>
      <c r="C25" s="382" t="s">
        <v>212</v>
      </c>
      <c r="D25" s="153">
        <v>10000</v>
      </c>
      <c r="E25" s="391"/>
    </row>
    <row r="26" spans="2:5">
      <c r="B26" s="386" t="s">
        <v>44</v>
      </c>
      <c r="C26" s="126" t="s">
        <v>215</v>
      </c>
      <c r="D26" s="152">
        <v>500000</v>
      </c>
      <c r="E26" s="388">
        <f>SUM(D26:D35)</f>
        <v>2365000</v>
      </c>
    </row>
    <row r="27" spans="2:5">
      <c r="B27" s="390"/>
      <c r="C27" s="381" t="s">
        <v>190</v>
      </c>
      <c r="D27" s="153">
        <v>500000</v>
      </c>
      <c r="E27" s="391"/>
    </row>
    <row r="28" spans="2:5" ht="25.5">
      <c r="B28" s="390"/>
      <c r="C28" s="382" t="s">
        <v>208</v>
      </c>
      <c r="D28" s="153">
        <v>250000</v>
      </c>
      <c r="E28" s="391"/>
    </row>
    <row r="29" spans="2:5">
      <c r="B29" s="390"/>
      <c r="C29" s="381" t="s">
        <v>191</v>
      </c>
      <c r="D29" s="153">
        <v>250000</v>
      </c>
      <c r="E29" s="391"/>
    </row>
    <row r="30" spans="2:5">
      <c r="B30" s="390"/>
      <c r="C30" s="381" t="s">
        <v>193</v>
      </c>
      <c r="D30" s="153">
        <v>235000</v>
      </c>
      <c r="E30" s="391"/>
    </row>
    <row r="31" spans="2:5">
      <c r="B31" s="390"/>
      <c r="C31" s="381" t="s">
        <v>223</v>
      </c>
      <c r="D31" s="150">
        <v>200000</v>
      </c>
      <c r="E31" s="391"/>
    </row>
    <row r="32" spans="2:5">
      <c r="B32" s="390"/>
      <c r="C32" s="382" t="s">
        <v>214</v>
      </c>
      <c r="D32" s="150">
        <v>150000</v>
      </c>
      <c r="E32" s="391"/>
    </row>
    <row r="33" spans="2:5">
      <c r="B33" s="390"/>
      <c r="C33" s="382" t="s">
        <v>216</v>
      </c>
      <c r="D33" s="150">
        <v>100000</v>
      </c>
      <c r="E33" s="391"/>
    </row>
    <row r="34" spans="2:5">
      <c r="B34" s="390"/>
      <c r="C34" s="381" t="s">
        <v>192</v>
      </c>
      <c r="D34" s="150">
        <v>100000</v>
      </c>
      <c r="E34" s="391"/>
    </row>
    <row r="35" spans="2:5" ht="13.5" thickBot="1">
      <c r="B35" s="387"/>
      <c r="C35" s="148" t="s">
        <v>213</v>
      </c>
      <c r="D35" s="151">
        <v>80000</v>
      </c>
      <c r="E35" s="389"/>
    </row>
    <row r="36" spans="2:5">
      <c r="B36" s="386" t="s">
        <v>45</v>
      </c>
      <c r="C36" s="124" t="s">
        <v>220</v>
      </c>
      <c r="D36" s="149">
        <v>750000</v>
      </c>
      <c r="E36" s="388">
        <f>SUM(D36:D39)</f>
        <v>1260000</v>
      </c>
    </row>
    <row r="37" spans="2:5">
      <c r="B37" s="390"/>
      <c r="C37" s="381" t="s">
        <v>196</v>
      </c>
      <c r="D37" s="150">
        <v>200000</v>
      </c>
      <c r="E37" s="391"/>
    </row>
    <row r="38" spans="2:5">
      <c r="B38" s="390"/>
      <c r="C38" s="381" t="s">
        <v>194</v>
      </c>
      <c r="D38" s="150">
        <v>160000</v>
      </c>
      <c r="E38" s="391"/>
    </row>
    <row r="39" spans="2:5" ht="13.5" thickBot="1">
      <c r="B39" s="387"/>
      <c r="C39" s="381" t="s">
        <v>197</v>
      </c>
      <c r="D39" s="150">
        <v>150000</v>
      </c>
      <c r="E39" s="391"/>
    </row>
    <row r="40" spans="2:5">
      <c r="B40" s="386" t="s">
        <v>47</v>
      </c>
      <c r="C40" s="124" t="s">
        <v>182</v>
      </c>
      <c r="D40" s="149">
        <v>3939000</v>
      </c>
      <c r="E40" s="388">
        <f>SUM(D40:D41)</f>
        <v>4139000</v>
      </c>
    </row>
    <row r="41" spans="2:5" ht="13.5" thickBot="1">
      <c r="B41" s="387"/>
      <c r="C41" s="125" t="s">
        <v>198</v>
      </c>
      <c r="D41" s="151">
        <v>200000</v>
      </c>
      <c r="E41" s="389"/>
    </row>
    <row r="42" spans="2:5">
      <c r="B42" s="386" t="s">
        <v>49</v>
      </c>
      <c r="C42" s="124" t="s">
        <v>195</v>
      </c>
      <c r="D42" s="149">
        <v>2200000</v>
      </c>
      <c r="E42" s="388">
        <f>SUM(D42:D47)</f>
        <v>3300000</v>
      </c>
    </row>
    <row r="43" spans="2:5" ht="38.25">
      <c r="B43" s="390"/>
      <c r="C43" s="383" t="s">
        <v>224</v>
      </c>
      <c r="D43" s="150">
        <v>300000</v>
      </c>
      <c r="E43" s="391"/>
    </row>
    <row r="44" spans="2:5" ht="15" customHeight="1">
      <c r="B44" s="390"/>
      <c r="C44" s="381" t="s">
        <v>222</v>
      </c>
      <c r="D44" s="150">
        <v>300000</v>
      </c>
      <c r="E44" s="391"/>
    </row>
    <row r="45" spans="2:5" ht="15" customHeight="1">
      <c r="B45" s="390"/>
      <c r="C45" s="381" t="s">
        <v>181</v>
      </c>
      <c r="D45" s="150">
        <v>250000</v>
      </c>
      <c r="E45" s="391"/>
    </row>
    <row r="46" spans="2:5" ht="15" customHeight="1">
      <c r="B46" s="390"/>
      <c r="C46" s="381" t="s">
        <v>227</v>
      </c>
      <c r="D46" s="150">
        <v>150000</v>
      </c>
      <c r="E46" s="391"/>
    </row>
    <row r="47" spans="2:5" ht="15" customHeight="1" thickBot="1">
      <c r="B47" s="387"/>
      <c r="C47" s="125" t="s">
        <v>188</v>
      </c>
      <c r="D47" s="151">
        <v>100000</v>
      </c>
      <c r="E47" s="389"/>
    </row>
    <row r="48" spans="2:5">
      <c r="C48" s="127" t="s">
        <v>180</v>
      </c>
      <c r="D48" s="128">
        <f>SUM(D3:D47)</f>
        <v>30279000</v>
      </c>
    </row>
  </sheetData>
  <mergeCells count="11">
    <mergeCell ref="C1:D1"/>
    <mergeCell ref="B3:B25"/>
    <mergeCell ref="E3:E25"/>
    <mergeCell ref="B26:B35"/>
    <mergeCell ref="E26:E35"/>
    <mergeCell ref="B40:B41"/>
    <mergeCell ref="E40:E41"/>
    <mergeCell ref="B42:B47"/>
    <mergeCell ref="E42:E47"/>
    <mergeCell ref="B36:B39"/>
    <mergeCell ref="E36:E3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B6228-26DC-4B37-A404-F773F921083A}">
  <sheetPr>
    <tabColor rgb="FF002060"/>
  </sheetPr>
  <dimension ref="B1:CI38"/>
  <sheetViews>
    <sheetView showGridLines="0" tabSelected="1" zoomScaleNormal="100" workbookViewId="0">
      <pane xSplit="4" ySplit="4" topLeftCell="E5" activePane="bottomRight" state="frozen"/>
      <selection pane="topRight" activeCell="E1" sqref="E1"/>
      <selection pane="bottomLeft" activeCell="A6" sqref="A6"/>
      <selection pane="bottomRight" activeCell="R6" sqref="R6"/>
    </sheetView>
  </sheetViews>
  <sheetFormatPr baseColWidth="10" defaultColWidth="11.42578125" defaultRowHeight="15"/>
  <cols>
    <col min="1" max="1" width="0.7109375" style="244" customWidth="1"/>
    <col min="2" max="2" width="3.28515625" style="244" customWidth="1"/>
    <col min="3" max="3" width="13" style="244" customWidth="1"/>
    <col min="4" max="4" width="7" style="244" customWidth="1"/>
    <col min="5" max="5" width="5.7109375" style="244" bestFit="1" customWidth="1"/>
    <col min="6" max="6" width="12" style="244" bestFit="1" customWidth="1"/>
    <col min="7" max="7" width="5" style="244" customWidth="1"/>
    <col min="8" max="8" width="0.5703125" style="244" customWidth="1"/>
    <col min="9" max="9" width="5.7109375" style="244" bestFit="1" customWidth="1"/>
    <col min="10" max="10" width="11.140625" style="244" bestFit="1" customWidth="1"/>
    <col min="11" max="11" width="5" style="244" customWidth="1"/>
    <col min="12" max="12" width="0.5703125" style="244" customWidth="1"/>
    <col min="13" max="13" width="5.7109375" style="244" bestFit="1" customWidth="1"/>
    <col min="14" max="14" width="11.140625" style="244" bestFit="1" customWidth="1"/>
    <col min="15" max="15" width="5" style="244" customWidth="1"/>
    <col min="16" max="16" width="0.5703125" style="244" customWidth="1"/>
    <col min="17" max="17" width="5.7109375" style="244" bestFit="1" customWidth="1"/>
    <col min="18" max="18" width="11.140625" style="244" bestFit="1" customWidth="1"/>
    <col min="19" max="19" width="5" style="244" customWidth="1"/>
    <col min="20" max="20" width="0.5703125" style="244" customWidth="1"/>
    <col min="21" max="21" width="5.7109375" style="244" bestFit="1" customWidth="1"/>
    <col min="22" max="22" width="11.140625" style="244" bestFit="1" customWidth="1"/>
    <col min="23" max="23" width="5" style="244" customWidth="1"/>
    <col min="24" max="24" width="0.5703125" style="244" customWidth="1"/>
    <col min="25" max="25" width="5.7109375" style="244" bestFit="1" customWidth="1"/>
    <col min="26" max="26" width="11.140625" style="244" bestFit="1" customWidth="1"/>
    <col min="27" max="27" width="5" style="244" customWidth="1"/>
    <col min="28" max="28" width="0.5703125" style="244" customWidth="1"/>
    <col min="29" max="29" width="5.7109375" style="244" bestFit="1" customWidth="1"/>
    <col min="30" max="30" width="11.140625" style="244" bestFit="1" customWidth="1"/>
    <col min="31" max="31" width="5" style="244" customWidth="1"/>
    <col min="32" max="32" width="0.5703125" style="244" customWidth="1"/>
    <col min="33" max="33" width="5.7109375" style="244" bestFit="1" customWidth="1"/>
    <col min="34" max="34" width="11.140625" style="244" bestFit="1" customWidth="1"/>
    <col min="35" max="35" width="5" style="244" customWidth="1"/>
    <col min="36" max="36" width="0.5703125" style="244" customWidth="1"/>
    <col min="37" max="37" width="5.7109375" style="244" bestFit="1" customWidth="1"/>
    <col min="38" max="38" width="11.140625" style="244" bestFit="1" customWidth="1"/>
    <col min="39" max="39" width="5" style="244" customWidth="1"/>
    <col min="40" max="40" width="0.5703125" style="244" customWidth="1"/>
    <col min="41" max="41" width="5.7109375" style="244" bestFit="1" customWidth="1"/>
    <col min="42" max="42" width="11.140625" style="244" bestFit="1" customWidth="1"/>
    <col min="43" max="43" width="5" style="244" customWidth="1"/>
    <col min="44" max="44" width="0.5703125" style="244" customWidth="1"/>
    <col min="45" max="45" width="5.7109375" style="244" bestFit="1" customWidth="1"/>
    <col min="46" max="46" width="11.140625" style="244" bestFit="1" customWidth="1"/>
    <col min="47" max="47" width="5" style="244" customWidth="1"/>
    <col min="48" max="48" width="0.5703125" style="244" customWidth="1"/>
    <col min="49" max="49" width="5.7109375" style="244" bestFit="1" customWidth="1"/>
    <col min="50" max="50" width="11.140625" style="244" bestFit="1" customWidth="1"/>
    <col min="51" max="51" width="5" style="244" customWidth="1"/>
    <col min="52" max="52" width="0.5703125" style="244" customWidth="1"/>
    <col min="53" max="53" width="5.7109375" style="244" bestFit="1" customWidth="1"/>
    <col min="54" max="54" width="11.140625" style="244" bestFit="1" customWidth="1"/>
    <col min="55" max="55" width="5" style="244" customWidth="1"/>
    <col min="56" max="56" width="0.5703125" style="244" customWidth="1"/>
    <col min="57" max="57" width="5.7109375" style="244" bestFit="1" customWidth="1"/>
    <col min="58" max="58" width="11.140625" style="244" bestFit="1" customWidth="1"/>
    <col min="59" max="59" width="5" style="244" customWidth="1"/>
    <col min="60" max="60" width="0.5703125" style="244" customWidth="1"/>
    <col min="61" max="61" width="5.7109375" style="244" bestFit="1" customWidth="1"/>
    <col min="62" max="62" width="11.140625" style="244" bestFit="1" customWidth="1"/>
    <col min="63" max="63" width="5" style="244" customWidth="1"/>
    <col min="64" max="64" width="0.5703125" style="244" customWidth="1"/>
    <col min="65" max="65" width="5.7109375" style="244" bestFit="1" customWidth="1"/>
    <col min="66" max="66" width="11.140625" style="244" bestFit="1" customWidth="1"/>
    <col min="67" max="67" width="5" style="244" customWidth="1"/>
    <col min="68" max="68" width="0.5703125" style="244" customWidth="1"/>
    <col min="69" max="69" width="5.7109375" style="244" bestFit="1" customWidth="1"/>
    <col min="70" max="70" width="11.140625" style="244" bestFit="1" customWidth="1"/>
    <col min="71" max="71" width="5" style="244" customWidth="1"/>
    <col min="72" max="72" width="0.5703125" style="244" customWidth="1"/>
    <col min="73" max="73" width="5.7109375" style="244" bestFit="1" customWidth="1"/>
    <col min="74" max="74" width="11.140625" style="244" bestFit="1" customWidth="1"/>
    <col min="75" max="75" width="5" style="244" customWidth="1"/>
    <col min="76" max="76" width="0.5703125" style="244" customWidth="1"/>
    <col min="77" max="77" width="5.7109375" style="244" bestFit="1" customWidth="1"/>
    <col min="78" max="78" width="11.140625" style="244" bestFit="1" customWidth="1"/>
    <col min="79" max="79" width="5" style="244" customWidth="1"/>
    <col min="80" max="80" width="0.5703125" style="244" customWidth="1"/>
    <col min="81" max="81" width="5.7109375" style="244" bestFit="1" customWidth="1"/>
    <col min="82" max="82" width="11.140625" style="244" bestFit="1" customWidth="1"/>
    <col min="83" max="83" width="5" style="244" customWidth="1"/>
    <col min="84" max="84" width="0.5703125" style="244" customWidth="1"/>
    <col min="85" max="85" width="5.7109375" style="244" bestFit="1" customWidth="1"/>
    <col min="86" max="86" width="11.140625" style="244" bestFit="1" customWidth="1"/>
    <col min="87" max="87" width="5" style="244" customWidth="1"/>
    <col min="88" max="16384" width="11.42578125" style="244"/>
  </cols>
  <sheetData>
    <row r="1" spans="2:87" ht="19.5" customHeight="1">
      <c r="B1" s="445" t="s">
        <v>257</v>
      </c>
      <c r="C1" s="445"/>
      <c r="D1" s="445"/>
      <c r="E1" s="445"/>
      <c r="F1" s="445"/>
      <c r="G1" s="445"/>
      <c r="I1" s="244">
        <f>I10/12</f>
        <v>227.35416666666666</v>
      </c>
      <c r="N1" s="478"/>
    </row>
    <row r="2" spans="2:87" ht="3.75" customHeight="1" thickBot="1">
      <c r="B2" s="385"/>
      <c r="C2" s="385"/>
      <c r="D2" s="385"/>
      <c r="E2" s="385"/>
      <c r="F2" s="385"/>
      <c r="G2" s="385"/>
      <c r="I2" s="385"/>
      <c r="J2" s="385"/>
      <c r="K2" s="385"/>
      <c r="M2" s="385"/>
      <c r="N2" s="385"/>
      <c r="O2" s="385"/>
      <c r="Q2" s="385"/>
      <c r="R2" s="385"/>
      <c r="S2" s="385"/>
      <c r="U2" s="385"/>
      <c r="V2" s="385"/>
      <c r="W2" s="385"/>
      <c r="Y2" s="385"/>
      <c r="Z2" s="385"/>
      <c r="AA2" s="385"/>
      <c r="AC2" s="385"/>
      <c r="AD2" s="385"/>
      <c r="AE2" s="385"/>
      <c r="AG2" s="385"/>
      <c r="AH2" s="385"/>
      <c r="AI2" s="385"/>
      <c r="AK2" s="385"/>
      <c r="AL2" s="385"/>
      <c r="AM2" s="385"/>
      <c r="AO2" s="385"/>
      <c r="AP2" s="385"/>
      <c r="AQ2" s="385"/>
      <c r="AS2" s="385"/>
      <c r="AT2" s="385"/>
      <c r="AU2" s="385"/>
      <c r="AW2" s="385"/>
      <c r="AX2" s="385"/>
      <c r="AY2" s="385"/>
      <c r="BA2" s="385"/>
      <c r="BB2" s="385"/>
      <c r="BC2" s="385"/>
      <c r="BE2" s="385"/>
      <c r="BF2" s="385"/>
      <c r="BG2" s="385"/>
      <c r="BI2" s="385"/>
      <c r="BJ2" s="385"/>
      <c r="BK2" s="385"/>
      <c r="BM2" s="385"/>
      <c r="BN2" s="385"/>
      <c r="BO2" s="385"/>
      <c r="BQ2" s="385"/>
      <c r="BR2" s="385"/>
      <c r="BS2" s="385"/>
      <c r="BU2" s="385"/>
      <c r="BV2" s="385"/>
      <c r="BW2" s="385"/>
      <c r="BY2" s="385"/>
      <c r="BZ2" s="385"/>
      <c r="CA2" s="385"/>
      <c r="CC2" s="385"/>
      <c r="CD2" s="385"/>
      <c r="CE2" s="385"/>
      <c r="CG2" s="385"/>
      <c r="CH2" s="385"/>
      <c r="CI2" s="385"/>
    </row>
    <row r="3" spans="2:87" ht="49.5" customHeight="1" thickBot="1">
      <c r="C3" s="246"/>
      <c r="D3" s="246"/>
      <c r="E3" s="479" t="s">
        <v>259</v>
      </c>
      <c r="F3" s="480"/>
      <c r="G3" s="481"/>
      <c r="I3" s="455" t="s">
        <v>324</v>
      </c>
      <c r="J3" s="456"/>
      <c r="K3" s="457"/>
      <c r="M3" s="455" t="s">
        <v>325</v>
      </c>
      <c r="N3" s="456"/>
      <c r="O3" s="457"/>
      <c r="Q3" s="455" t="s">
        <v>326</v>
      </c>
      <c r="R3" s="456"/>
      <c r="S3" s="457"/>
      <c r="U3" s="455" t="s">
        <v>327</v>
      </c>
      <c r="V3" s="456"/>
      <c r="W3" s="457"/>
      <c r="Y3" s="455" t="s">
        <v>328</v>
      </c>
      <c r="Z3" s="456"/>
      <c r="AA3" s="457"/>
      <c r="AC3" s="455" t="s">
        <v>329</v>
      </c>
      <c r="AD3" s="456"/>
      <c r="AE3" s="457"/>
      <c r="AG3" s="455" t="s">
        <v>330</v>
      </c>
      <c r="AH3" s="456"/>
      <c r="AI3" s="457"/>
      <c r="AK3" s="455" t="s">
        <v>331</v>
      </c>
      <c r="AL3" s="456"/>
      <c r="AM3" s="457"/>
      <c r="AO3" s="455" t="s">
        <v>332</v>
      </c>
      <c r="AP3" s="456"/>
      <c r="AQ3" s="457"/>
      <c r="AS3" s="455" t="s">
        <v>333</v>
      </c>
      <c r="AT3" s="456"/>
      <c r="AU3" s="457"/>
      <c r="AW3" s="455" t="s">
        <v>334</v>
      </c>
      <c r="AX3" s="456"/>
      <c r="AY3" s="457"/>
      <c r="BA3" s="455" t="s">
        <v>335</v>
      </c>
      <c r="BB3" s="456"/>
      <c r="BC3" s="457"/>
      <c r="BE3" s="455" t="s">
        <v>336</v>
      </c>
      <c r="BF3" s="456"/>
      <c r="BG3" s="457"/>
      <c r="BI3" s="455" t="s">
        <v>337</v>
      </c>
      <c r="BJ3" s="456"/>
      <c r="BK3" s="457"/>
      <c r="BM3" s="455" t="s">
        <v>338</v>
      </c>
      <c r="BN3" s="456"/>
      <c r="BO3" s="457"/>
      <c r="BQ3" s="455" t="s">
        <v>339</v>
      </c>
      <c r="BR3" s="456"/>
      <c r="BS3" s="457"/>
      <c r="BU3" s="455" t="s">
        <v>340</v>
      </c>
      <c r="BV3" s="456"/>
      <c r="BW3" s="457"/>
      <c r="BY3" s="455" t="s">
        <v>341</v>
      </c>
      <c r="BZ3" s="456"/>
      <c r="CA3" s="457"/>
      <c r="CC3" s="455" t="s">
        <v>342</v>
      </c>
      <c r="CD3" s="456"/>
      <c r="CE3" s="457"/>
      <c r="CG3" s="455" t="s">
        <v>343</v>
      </c>
      <c r="CH3" s="456"/>
      <c r="CI3" s="457"/>
    </row>
    <row r="4" spans="2:87" ht="57.75" customHeight="1" thickBot="1">
      <c r="B4" s="247" t="s">
        <v>10</v>
      </c>
      <c r="C4" s="248" t="s">
        <v>165</v>
      </c>
      <c r="D4" s="249" t="s">
        <v>264</v>
      </c>
      <c r="E4" s="262" t="s">
        <v>265</v>
      </c>
      <c r="F4" s="263" t="s">
        <v>266</v>
      </c>
      <c r="G4" s="264" t="s">
        <v>267</v>
      </c>
      <c r="I4" s="253" t="s">
        <v>265</v>
      </c>
      <c r="J4" s="254" t="s">
        <v>266</v>
      </c>
      <c r="K4" s="255" t="s">
        <v>267</v>
      </c>
      <c r="M4" s="253" t="s">
        <v>265</v>
      </c>
      <c r="N4" s="254" t="s">
        <v>266</v>
      </c>
      <c r="O4" s="255" t="s">
        <v>267</v>
      </c>
      <c r="Q4" s="253" t="s">
        <v>265</v>
      </c>
      <c r="R4" s="254" t="s">
        <v>266</v>
      </c>
      <c r="S4" s="255" t="s">
        <v>267</v>
      </c>
      <c r="U4" s="253" t="s">
        <v>265</v>
      </c>
      <c r="V4" s="254" t="s">
        <v>266</v>
      </c>
      <c r="W4" s="255" t="s">
        <v>267</v>
      </c>
      <c r="Y4" s="253" t="s">
        <v>265</v>
      </c>
      <c r="Z4" s="254" t="s">
        <v>266</v>
      </c>
      <c r="AA4" s="255" t="s">
        <v>267</v>
      </c>
      <c r="AC4" s="253" t="s">
        <v>265</v>
      </c>
      <c r="AD4" s="254" t="s">
        <v>266</v>
      </c>
      <c r="AE4" s="255" t="s">
        <v>267</v>
      </c>
      <c r="AG4" s="253" t="s">
        <v>265</v>
      </c>
      <c r="AH4" s="254" t="s">
        <v>266</v>
      </c>
      <c r="AI4" s="255" t="s">
        <v>267</v>
      </c>
      <c r="AK4" s="253" t="s">
        <v>265</v>
      </c>
      <c r="AL4" s="254" t="s">
        <v>266</v>
      </c>
      <c r="AM4" s="255" t="s">
        <v>267</v>
      </c>
      <c r="AO4" s="253" t="s">
        <v>265</v>
      </c>
      <c r="AP4" s="254" t="s">
        <v>266</v>
      </c>
      <c r="AQ4" s="255" t="s">
        <v>267</v>
      </c>
      <c r="AS4" s="253" t="s">
        <v>265</v>
      </c>
      <c r="AT4" s="254" t="s">
        <v>266</v>
      </c>
      <c r="AU4" s="255" t="s">
        <v>267</v>
      </c>
      <c r="AW4" s="253" t="s">
        <v>265</v>
      </c>
      <c r="AX4" s="254" t="s">
        <v>266</v>
      </c>
      <c r="AY4" s="255" t="s">
        <v>267</v>
      </c>
      <c r="BA4" s="253" t="s">
        <v>265</v>
      </c>
      <c r="BB4" s="254" t="s">
        <v>266</v>
      </c>
      <c r="BC4" s="255" t="s">
        <v>267</v>
      </c>
      <c r="BE4" s="253" t="s">
        <v>265</v>
      </c>
      <c r="BF4" s="254" t="s">
        <v>266</v>
      </c>
      <c r="BG4" s="255" t="s">
        <v>267</v>
      </c>
      <c r="BI4" s="253" t="s">
        <v>265</v>
      </c>
      <c r="BJ4" s="254" t="s">
        <v>266</v>
      </c>
      <c r="BK4" s="255" t="s">
        <v>267</v>
      </c>
      <c r="BM4" s="253" t="s">
        <v>265</v>
      </c>
      <c r="BN4" s="254" t="s">
        <v>266</v>
      </c>
      <c r="BO4" s="255" t="s">
        <v>267</v>
      </c>
      <c r="BQ4" s="253" t="s">
        <v>265</v>
      </c>
      <c r="BR4" s="254" t="s">
        <v>266</v>
      </c>
      <c r="BS4" s="255" t="s">
        <v>267</v>
      </c>
      <c r="BU4" s="253" t="s">
        <v>265</v>
      </c>
      <c r="BV4" s="254" t="s">
        <v>266</v>
      </c>
      <c r="BW4" s="255" t="s">
        <v>267</v>
      </c>
      <c r="BY4" s="253" t="s">
        <v>265</v>
      </c>
      <c r="BZ4" s="254" t="s">
        <v>266</v>
      </c>
      <c r="CA4" s="255" t="s">
        <v>267</v>
      </c>
      <c r="CC4" s="253" t="s">
        <v>265</v>
      </c>
      <c r="CD4" s="254" t="s">
        <v>266</v>
      </c>
      <c r="CE4" s="255" t="s">
        <v>267</v>
      </c>
      <c r="CG4" s="253" t="s">
        <v>265</v>
      </c>
      <c r="CH4" s="254" t="s">
        <v>266</v>
      </c>
      <c r="CI4" s="255" t="s">
        <v>267</v>
      </c>
    </row>
    <row r="5" spans="2:87">
      <c r="B5" s="470" t="s">
        <v>268</v>
      </c>
      <c r="C5" s="268" t="s">
        <v>269</v>
      </c>
      <c r="D5" s="269">
        <v>4400</v>
      </c>
      <c r="E5" s="282">
        <v>16625</v>
      </c>
      <c r="F5" s="283">
        <v>73150000</v>
      </c>
      <c r="G5" s="284">
        <v>0.35</v>
      </c>
      <c r="I5" s="273">
        <f>J5/$D5</f>
        <v>831.25</v>
      </c>
      <c r="J5" s="274">
        <f>$F5/20</f>
        <v>3657500</v>
      </c>
      <c r="K5" s="275">
        <f>J5/J10</f>
        <v>0.43061708045740188</v>
      </c>
      <c r="M5" s="273">
        <f>N5/$D5</f>
        <v>831.25</v>
      </c>
      <c r="N5" s="274">
        <f>$F5/20</f>
        <v>3657500</v>
      </c>
      <c r="O5" s="275">
        <f>N5/N10</f>
        <v>0.43061708045740188</v>
      </c>
      <c r="Q5" s="273">
        <f>R5/$D5</f>
        <v>831.25</v>
      </c>
      <c r="R5" s="274">
        <f>$F5/20</f>
        <v>3657500</v>
      </c>
      <c r="S5" s="275">
        <f>R5/R10</f>
        <v>0.43061708045740188</v>
      </c>
      <c r="U5" s="273">
        <f>V5/$D5</f>
        <v>831.25</v>
      </c>
      <c r="V5" s="274">
        <f>$F5/20</f>
        <v>3657500</v>
      </c>
      <c r="W5" s="275">
        <f>V5/V10</f>
        <v>0.43061708045740188</v>
      </c>
      <c r="Y5" s="273">
        <f>Z5/$D5</f>
        <v>831.25</v>
      </c>
      <c r="Z5" s="274">
        <f>$F5/20</f>
        <v>3657500</v>
      </c>
      <c r="AA5" s="275">
        <f>Z5/Z10</f>
        <v>0.43061708045740188</v>
      </c>
      <c r="AC5" s="273">
        <f>AD5/$D5</f>
        <v>831.25</v>
      </c>
      <c r="AD5" s="274">
        <f>$F5/20</f>
        <v>3657500</v>
      </c>
      <c r="AE5" s="275">
        <f>AD5/AD10</f>
        <v>0.43061708045740188</v>
      </c>
      <c r="AG5" s="273">
        <f>AH5/$D5</f>
        <v>831.25</v>
      </c>
      <c r="AH5" s="274">
        <f>$F5/20</f>
        <v>3657500</v>
      </c>
      <c r="AI5" s="275">
        <f>AH5/AH10</f>
        <v>0.43061708045740188</v>
      </c>
      <c r="AK5" s="273">
        <f>AL5/$D5</f>
        <v>831.25</v>
      </c>
      <c r="AL5" s="274">
        <f>$F5/20</f>
        <v>3657500</v>
      </c>
      <c r="AM5" s="275">
        <f>AL5/AL10</f>
        <v>0.43061708045740188</v>
      </c>
      <c r="AO5" s="273">
        <f>AP5/$D5</f>
        <v>831.25</v>
      </c>
      <c r="AP5" s="274">
        <f>$F5/20</f>
        <v>3657500</v>
      </c>
      <c r="AQ5" s="275">
        <f>AP5/AP10</f>
        <v>0.43061708045740188</v>
      </c>
      <c r="AS5" s="273">
        <f>AT5/$D5</f>
        <v>831.25</v>
      </c>
      <c r="AT5" s="274">
        <f>$F5/20</f>
        <v>3657500</v>
      </c>
      <c r="AU5" s="275">
        <f>AT5/AT10</f>
        <v>0.43061708045740188</v>
      </c>
      <c r="AW5" s="273">
        <f>AX5/$D5</f>
        <v>831.25</v>
      </c>
      <c r="AX5" s="274">
        <f>$F5/20</f>
        <v>3657500</v>
      </c>
      <c r="AY5" s="275">
        <f>AX5/AX10</f>
        <v>0.43061708045740188</v>
      </c>
      <c r="BA5" s="273">
        <f>BB5/$D5</f>
        <v>831.25</v>
      </c>
      <c r="BB5" s="274">
        <f>$F5/20</f>
        <v>3657500</v>
      </c>
      <c r="BC5" s="275">
        <f>BB5/BB10</f>
        <v>0.43061708045740188</v>
      </c>
      <c r="BE5" s="273">
        <f>BF5/$D5</f>
        <v>831.25</v>
      </c>
      <c r="BF5" s="274">
        <f>$F5/20</f>
        <v>3657500</v>
      </c>
      <c r="BG5" s="275">
        <f>BF5/BF10</f>
        <v>0.43061708045740188</v>
      </c>
      <c r="BI5" s="273">
        <f>BJ5/$D5</f>
        <v>831.25</v>
      </c>
      <c r="BJ5" s="274">
        <f>$F5/20</f>
        <v>3657500</v>
      </c>
      <c r="BK5" s="275">
        <f>BJ5/BJ10</f>
        <v>0.43061708045740188</v>
      </c>
      <c r="BM5" s="273">
        <f>BN5/$D5</f>
        <v>831.25</v>
      </c>
      <c r="BN5" s="274">
        <f>$F5/20</f>
        <v>3657500</v>
      </c>
      <c r="BO5" s="275">
        <f>BN5/BN10</f>
        <v>0.43061708045740188</v>
      </c>
      <c r="BQ5" s="273">
        <f>BR5/$D5</f>
        <v>831.25</v>
      </c>
      <c r="BR5" s="274">
        <f>$F5/20</f>
        <v>3657500</v>
      </c>
      <c r="BS5" s="275">
        <f>BR5/BR10</f>
        <v>0.43061708045740188</v>
      </c>
      <c r="BU5" s="273">
        <f>BV5/$D5</f>
        <v>831.25</v>
      </c>
      <c r="BV5" s="274">
        <f>$F5/20</f>
        <v>3657500</v>
      </c>
      <c r="BW5" s="275">
        <f>BV5/BV10</f>
        <v>0.43061708045740188</v>
      </c>
      <c r="BY5" s="273">
        <f>BZ5/$D5</f>
        <v>831.25</v>
      </c>
      <c r="BZ5" s="274">
        <f>$F5/20</f>
        <v>3657500</v>
      </c>
      <c r="CA5" s="275">
        <f>BZ5/BZ10</f>
        <v>0.43061708045740188</v>
      </c>
      <c r="CC5" s="273">
        <f>CD5/$D5</f>
        <v>831.25</v>
      </c>
      <c r="CD5" s="274">
        <f>$F5/20</f>
        <v>3657500</v>
      </c>
      <c r="CE5" s="275">
        <f>CD5/CD10</f>
        <v>0.43061708045740188</v>
      </c>
      <c r="CG5" s="273">
        <f>CH5/$D5</f>
        <v>831.25</v>
      </c>
      <c r="CH5" s="274">
        <f>$F5/20</f>
        <v>3657500</v>
      </c>
      <c r="CI5" s="275">
        <f>CH5/CH10</f>
        <v>0.43061708045740188</v>
      </c>
    </row>
    <row r="6" spans="2:87">
      <c r="B6" s="471"/>
      <c r="C6" s="288" t="s">
        <v>175</v>
      </c>
      <c r="D6" s="289">
        <v>1400</v>
      </c>
      <c r="E6" s="302">
        <v>15259.999999999998</v>
      </c>
      <c r="F6" s="303">
        <v>21363999.999999996</v>
      </c>
      <c r="G6" s="304">
        <v>0.34999999999999992</v>
      </c>
      <c r="I6" s="293">
        <f>J6/$D6</f>
        <v>762.99999999999989</v>
      </c>
      <c r="J6" s="294">
        <f>$F6/20</f>
        <v>1068199.9999999998</v>
      </c>
      <c r="K6" s="295">
        <f>J6/J10</f>
        <v>0.1257649119192335</v>
      </c>
      <c r="M6" s="293">
        <f>N6/$D6</f>
        <v>762.99999999999989</v>
      </c>
      <c r="N6" s="294">
        <f>$F6/20</f>
        <v>1068199.9999999998</v>
      </c>
      <c r="O6" s="295">
        <f>N6/N10</f>
        <v>0.1257649119192335</v>
      </c>
      <c r="Q6" s="293">
        <f>R6/$D6</f>
        <v>762.99999999999989</v>
      </c>
      <c r="R6" s="294">
        <f>$F6/20</f>
        <v>1068199.9999999998</v>
      </c>
      <c r="S6" s="295">
        <f>R6/R10</f>
        <v>0.1257649119192335</v>
      </c>
      <c r="U6" s="293">
        <f>V6/$D6</f>
        <v>762.99999999999989</v>
      </c>
      <c r="V6" s="294">
        <f>$F6/20</f>
        <v>1068199.9999999998</v>
      </c>
      <c r="W6" s="295">
        <f>V6/V10</f>
        <v>0.1257649119192335</v>
      </c>
      <c r="Y6" s="293">
        <f>Z6/$D6</f>
        <v>762.99999999999989</v>
      </c>
      <c r="Z6" s="294">
        <f>$F6/20</f>
        <v>1068199.9999999998</v>
      </c>
      <c r="AA6" s="295">
        <f>Z6/Z10</f>
        <v>0.1257649119192335</v>
      </c>
      <c r="AC6" s="293">
        <f>AD6/$D6</f>
        <v>762.99999999999989</v>
      </c>
      <c r="AD6" s="294">
        <f>$F6/20</f>
        <v>1068199.9999999998</v>
      </c>
      <c r="AE6" s="295">
        <f>AD6/AD10</f>
        <v>0.1257649119192335</v>
      </c>
      <c r="AG6" s="293">
        <f>AH6/$D6</f>
        <v>762.99999999999989</v>
      </c>
      <c r="AH6" s="294">
        <f>$F6/20</f>
        <v>1068199.9999999998</v>
      </c>
      <c r="AI6" s="295">
        <f>AH6/AH10</f>
        <v>0.1257649119192335</v>
      </c>
      <c r="AK6" s="293">
        <f>AL6/$D6</f>
        <v>762.99999999999989</v>
      </c>
      <c r="AL6" s="294">
        <f>$F6/20</f>
        <v>1068199.9999999998</v>
      </c>
      <c r="AM6" s="295">
        <f>AL6/AL10</f>
        <v>0.1257649119192335</v>
      </c>
      <c r="AO6" s="293">
        <f>AP6/$D6</f>
        <v>762.99999999999989</v>
      </c>
      <c r="AP6" s="294">
        <f>$F6/20</f>
        <v>1068199.9999999998</v>
      </c>
      <c r="AQ6" s="295">
        <f>AP6/AP10</f>
        <v>0.1257649119192335</v>
      </c>
      <c r="AS6" s="293">
        <f>AT6/$D6</f>
        <v>762.99999999999989</v>
      </c>
      <c r="AT6" s="294">
        <f>$F6/20</f>
        <v>1068199.9999999998</v>
      </c>
      <c r="AU6" s="295">
        <f>AT6/AT10</f>
        <v>0.1257649119192335</v>
      </c>
      <c r="AW6" s="293">
        <f>AX6/$D6</f>
        <v>762.99999999999989</v>
      </c>
      <c r="AX6" s="294">
        <f>$F6/20</f>
        <v>1068199.9999999998</v>
      </c>
      <c r="AY6" s="295">
        <f>AX6/AX10</f>
        <v>0.1257649119192335</v>
      </c>
      <c r="BA6" s="293">
        <f>BB6/$D6</f>
        <v>762.99999999999989</v>
      </c>
      <c r="BB6" s="294">
        <f>$F6/20</f>
        <v>1068199.9999999998</v>
      </c>
      <c r="BC6" s="295">
        <f>BB6/BB10</f>
        <v>0.1257649119192335</v>
      </c>
      <c r="BE6" s="293">
        <f>BF6/$D6</f>
        <v>762.99999999999989</v>
      </c>
      <c r="BF6" s="294">
        <f>$F6/20</f>
        <v>1068199.9999999998</v>
      </c>
      <c r="BG6" s="295">
        <f>BF6/BF10</f>
        <v>0.1257649119192335</v>
      </c>
      <c r="BI6" s="293">
        <f>BJ6/$D6</f>
        <v>762.99999999999989</v>
      </c>
      <c r="BJ6" s="294">
        <f>$F6/20</f>
        <v>1068199.9999999998</v>
      </c>
      <c r="BK6" s="295">
        <f>BJ6/BJ10</f>
        <v>0.1257649119192335</v>
      </c>
      <c r="BM6" s="293">
        <f>BN6/$D6</f>
        <v>762.99999999999989</v>
      </c>
      <c r="BN6" s="294">
        <f>$F6/20</f>
        <v>1068199.9999999998</v>
      </c>
      <c r="BO6" s="295">
        <f>BN6/BN10</f>
        <v>0.1257649119192335</v>
      </c>
      <c r="BQ6" s="293">
        <f>BR6/$D6</f>
        <v>762.99999999999989</v>
      </c>
      <c r="BR6" s="294">
        <f>$F6/20</f>
        <v>1068199.9999999998</v>
      </c>
      <c r="BS6" s="295">
        <f>BR6/BR10</f>
        <v>0.1257649119192335</v>
      </c>
      <c r="BU6" s="293">
        <f>BV6/$D6</f>
        <v>762.99999999999989</v>
      </c>
      <c r="BV6" s="294">
        <f>$F6/20</f>
        <v>1068199.9999999998</v>
      </c>
      <c r="BW6" s="295">
        <f>BV6/BV10</f>
        <v>0.1257649119192335</v>
      </c>
      <c r="BY6" s="293">
        <f>BZ6/$D6</f>
        <v>762.99999999999989</v>
      </c>
      <c r="BZ6" s="294">
        <f>$F6/20</f>
        <v>1068199.9999999998</v>
      </c>
      <c r="CA6" s="295">
        <f>BZ6/BZ10</f>
        <v>0.1257649119192335</v>
      </c>
      <c r="CC6" s="293">
        <f>CD6/$D6</f>
        <v>762.99999999999989</v>
      </c>
      <c r="CD6" s="294">
        <f>$F6/20</f>
        <v>1068199.9999999998</v>
      </c>
      <c r="CE6" s="295">
        <f>CD6/CD10</f>
        <v>0.1257649119192335</v>
      </c>
      <c r="CG6" s="293">
        <f>CH6/$D6</f>
        <v>762.99999999999989</v>
      </c>
      <c r="CH6" s="294">
        <f>$F6/20</f>
        <v>1068199.9999999998</v>
      </c>
      <c r="CI6" s="295">
        <f>CH6/CH10</f>
        <v>0.1257649119192335</v>
      </c>
    </row>
    <row r="7" spans="2:87">
      <c r="B7" s="471"/>
      <c r="C7" s="288" t="s">
        <v>176</v>
      </c>
      <c r="D7" s="289">
        <v>2800</v>
      </c>
      <c r="E7" s="302">
        <v>6125</v>
      </c>
      <c r="F7" s="303">
        <v>17150000</v>
      </c>
      <c r="G7" s="304">
        <v>0.35</v>
      </c>
      <c r="I7" s="293">
        <f t="shared" ref="I6:I9" si="0">J7/$D7</f>
        <v>306.25</v>
      </c>
      <c r="J7" s="294">
        <f>$F7/20</f>
        <v>857500</v>
      </c>
      <c r="K7" s="295">
        <f>J7/J10</f>
        <v>0.10095807149479757</v>
      </c>
      <c r="M7" s="293">
        <f t="shared" ref="M7:M10" si="1">N7/$D7</f>
        <v>306.25</v>
      </c>
      <c r="N7" s="294">
        <f>$F7/20</f>
        <v>857500</v>
      </c>
      <c r="O7" s="295">
        <f>N7/N10</f>
        <v>0.10095807149479757</v>
      </c>
      <c r="Q7" s="293">
        <f t="shared" ref="Q7:Q10" si="2">R7/$D7</f>
        <v>306.25</v>
      </c>
      <c r="R7" s="294">
        <f>$F7/20</f>
        <v>857500</v>
      </c>
      <c r="S7" s="295">
        <f>R7/R10</f>
        <v>0.10095807149479757</v>
      </c>
      <c r="U7" s="293">
        <f t="shared" ref="U7:U10" si="3">V7/$D7</f>
        <v>306.25</v>
      </c>
      <c r="V7" s="294">
        <f>$F7/20</f>
        <v>857500</v>
      </c>
      <c r="W7" s="295">
        <f>V7/V10</f>
        <v>0.10095807149479757</v>
      </c>
      <c r="Y7" s="293">
        <f t="shared" ref="Y7:Y10" si="4">Z7/$D7</f>
        <v>306.25</v>
      </c>
      <c r="Z7" s="294">
        <f>$F7/20</f>
        <v>857500</v>
      </c>
      <c r="AA7" s="295">
        <f>Z7/Z10</f>
        <v>0.10095807149479757</v>
      </c>
      <c r="AC7" s="293">
        <f t="shared" ref="AC7:AC10" si="5">AD7/$D7</f>
        <v>306.25</v>
      </c>
      <c r="AD7" s="294">
        <f>$F7/20</f>
        <v>857500</v>
      </c>
      <c r="AE7" s="295">
        <f>AD7/AD10</f>
        <v>0.10095807149479757</v>
      </c>
      <c r="AG7" s="293">
        <f t="shared" ref="AG7:AG10" si="6">AH7/$D7</f>
        <v>306.25</v>
      </c>
      <c r="AH7" s="294">
        <f>$F7/20</f>
        <v>857500</v>
      </c>
      <c r="AI7" s="295">
        <f>AH7/AH10</f>
        <v>0.10095807149479757</v>
      </c>
      <c r="AK7" s="293">
        <f t="shared" ref="AK7:AK10" si="7">AL7/$D7</f>
        <v>306.25</v>
      </c>
      <c r="AL7" s="294">
        <f>$F7/20</f>
        <v>857500</v>
      </c>
      <c r="AM7" s="295">
        <f>AL7/AL10</f>
        <v>0.10095807149479757</v>
      </c>
      <c r="AO7" s="293">
        <f t="shared" ref="AO7:AO10" si="8">AP7/$D7</f>
        <v>306.25</v>
      </c>
      <c r="AP7" s="294">
        <f>$F7/20</f>
        <v>857500</v>
      </c>
      <c r="AQ7" s="295">
        <f>AP7/AP10</f>
        <v>0.10095807149479757</v>
      </c>
      <c r="AS7" s="293">
        <f t="shared" ref="AS7:AS10" si="9">AT7/$D7</f>
        <v>306.25</v>
      </c>
      <c r="AT7" s="294">
        <f>$F7/20</f>
        <v>857500</v>
      </c>
      <c r="AU7" s="295">
        <f>AT7/AT10</f>
        <v>0.10095807149479757</v>
      </c>
      <c r="AW7" s="293">
        <f t="shared" ref="AW7:AW10" si="10">AX7/$D7</f>
        <v>306.25</v>
      </c>
      <c r="AX7" s="294">
        <f>$F7/20</f>
        <v>857500</v>
      </c>
      <c r="AY7" s="295">
        <f>AX7/AX10</f>
        <v>0.10095807149479757</v>
      </c>
      <c r="BA7" s="293">
        <f t="shared" ref="BA7:BA10" si="11">BB7/$D7</f>
        <v>306.25</v>
      </c>
      <c r="BB7" s="294">
        <f>$F7/20</f>
        <v>857500</v>
      </c>
      <c r="BC7" s="295">
        <f>BB7/BB10</f>
        <v>0.10095807149479757</v>
      </c>
      <c r="BE7" s="293">
        <f t="shared" ref="BE7:BE10" si="12">BF7/$D7</f>
        <v>306.25</v>
      </c>
      <c r="BF7" s="294">
        <f>$F7/20</f>
        <v>857500</v>
      </c>
      <c r="BG7" s="295">
        <f>BF7/BF10</f>
        <v>0.10095807149479757</v>
      </c>
      <c r="BI7" s="293">
        <f t="shared" ref="BI7:BI10" si="13">BJ7/$D7</f>
        <v>306.25</v>
      </c>
      <c r="BJ7" s="294">
        <f>$F7/20</f>
        <v>857500</v>
      </c>
      <c r="BK7" s="295">
        <f>BJ7/BJ10</f>
        <v>0.10095807149479757</v>
      </c>
      <c r="BM7" s="293">
        <f t="shared" ref="BM7:BM10" si="14">BN7/$D7</f>
        <v>306.25</v>
      </c>
      <c r="BN7" s="294">
        <f>$F7/20</f>
        <v>857500</v>
      </c>
      <c r="BO7" s="295">
        <f>BN7/BN10</f>
        <v>0.10095807149479757</v>
      </c>
      <c r="BQ7" s="293">
        <f t="shared" ref="BQ7:BQ10" si="15">BR7/$D7</f>
        <v>306.25</v>
      </c>
      <c r="BR7" s="294">
        <f>$F7/20</f>
        <v>857500</v>
      </c>
      <c r="BS7" s="295">
        <f>BR7/BR10</f>
        <v>0.10095807149479757</v>
      </c>
      <c r="BU7" s="293">
        <f t="shared" ref="BU7:BU10" si="16">BV7/$D7</f>
        <v>306.25</v>
      </c>
      <c r="BV7" s="294">
        <f>$F7/20</f>
        <v>857500</v>
      </c>
      <c r="BW7" s="295">
        <f>BV7/BV10</f>
        <v>0.10095807149479757</v>
      </c>
      <c r="BY7" s="293">
        <f t="shared" ref="BY7:BY10" si="17">BZ7/$D7</f>
        <v>306.25</v>
      </c>
      <c r="BZ7" s="294">
        <f>$F7/20</f>
        <v>857500</v>
      </c>
      <c r="CA7" s="295">
        <f>BZ7/BZ10</f>
        <v>0.10095807149479757</v>
      </c>
      <c r="CC7" s="293">
        <f t="shared" ref="CC7:CC10" si="18">CD7/$D7</f>
        <v>306.25</v>
      </c>
      <c r="CD7" s="294">
        <f>$F7/20</f>
        <v>857500</v>
      </c>
      <c r="CE7" s="295">
        <f>CD7/CD10</f>
        <v>0.10095807149479757</v>
      </c>
      <c r="CG7" s="293">
        <f t="shared" ref="CG7:CG10" si="19">CH7/$D7</f>
        <v>306.25</v>
      </c>
      <c r="CH7" s="294">
        <f>$F7/20</f>
        <v>857500</v>
      </c>
      <c r="CI7" s="295">
        <f>CH7/CH10</f>
        <v>0.10095807149479757</v>
      </c>
    </row>
    <row r="8" spans="2:87">
      <c r="B8" s="471"/>
      <c r="C8" s="288" t="s">
        <v>177</v>
      </c>
      <c r="D8" s="289">
        <v>5200</v>
      </c>
      <c r="E8" s="302">
        <v>10360</v>
      </c>
      <c r="F8" s="303">
        <v>53872000</v>
      </c>
      <c r="G8" s="304">
        <v>0.35</v>
      </c>
      <c r="I8" s="293">
        <f t="shared" si="0"/>
        <v>518</v>
      </c>
      <c r="J8" s="294">
        <f>$F8/20</f>
        <v>2693600</v>
      </c>
      <c r="K8" s="295">
        <f>J8/J10</f>
        <v>0.31713196662202536</v>
      </c>
      <c r="M8" s="293">
        <f t="shared" si="1"/>
        <v>518</v>
      </c>
      <c r="N8" s="294">
        <f>$F8/20</f>
        <v>2693600</v>
      </c>
      <c r="O8" s="295">
        <f>N8/N10</f>
        <v>0.31713196662202536</v>
      </c>
      <c r="Q8" s="293">
        <f t="shared" si="2"/>
        <v>518</v>
      </c>
      <c r="R8" s="294">
        <f>$F8/20</f>
        <v>2693600</v>
      </c>
      <c r="S8" s="295">
        <f>R8/R10</f>
        <v>0.31713196662202536</v>
      </c>
      <c r="U8" s="293">
        <f t="shared" si="3"/>
        <v>518</v>
      </c>
      <c r="V8" s="294">
        <f>$F8/20</f>
        <v>2693600</v>
      </c>
      <c r="W8" s="295">
        <f>V8/V10</f>
        <v>0.31713196662202536</v>
      </c>
      <c r="Y8" s="293">
        <f t="shared" si="4"/>
        <v>518</v>
      </c>
      <c r="Z8" s="294">
        <f>$F8/20</f>
        <v>2693600</v>
      </c>
      <c r="AA8" s="295">
        <f>Z8/Z10</f>
        <v>0.31713196662202536</v>
      </c>
      <c r="AC8" s="293">
        <f t="shared" si="5"/>
        <v>518</v>
      </c>
      <c r="AD8" s="294">
        <f>$F8/20</f>
        <v>2693600</v>
      </c>
      <c r="AE8" s="295">
        <f>AD8/AD10</f>
        <v>0.31713196662202536</v>
      </c>
      <c r="AG8" s="293">
        <f t="shared" si="6"/>
        <v>518</v>
      </c>
      <c r="AH8" s="294">
        <f>$F8/20</f>
        <v>2693600</v>
      </c>
      <c r="AI8" s="295">
        <f>AH8/AH10</f>
        <v>0.31713196662202536</v>
      </c>
      <c r="AK8" s="293">
        <f t="shared" si="7"/>
        <v>518</v>
      </c>
      <c r="AL8" s="294">
        <f>$F8/20</f>
        <v>2693600</v>
      </c>
      <c r="AM8" s="295">
        <f>AL8/AL10</f>
        <v>0.31713196662202536</v>
      </c>
      <c r="AO8" s="293">
        <f t="shared" si="8"/>
        <v>518</v>
      </c>
      <c r="AP8" s="294">
        <f>$F8/20</f>
        <v>2693600</v>
      </c>
      <c r="AQ8" s="295">
        <f>AP8/AP10</f>
        <v>0.31713196662202536</v>
      </c>
      <c r="AS8" s="293">
        <f t="shared" si="9"/>
        <v>518</v>
      </c>
      <c r="AT8" s="294">
        <f>$F8/20</f>
        <v>2693600</v>
      </c>
      <c r="AU8" s="295">
        <f>AT8/AT10</f>
        <v>0.31713196662202536</v>
      </c>
      <c r="AW8" s="293">
        <f t="shared" si="10"/>
        <v>518</v>
      </c>
      <c r="AX8" s="294">
        <f>$F8/20</f>
        <v>2693600</v>
      </c>
      <c r="AY8" s="295">
        <f>AX8/AX10</f>
        <v>0.31713196662202536</v>
      </c>
      <c r="BA8" s="293">
        <f t="shared" si="11"/>
        <v>518</v>
      </c>
      <c r="BB8" s="294">
        <f>$F8/20</f>
        <v>2693600</v>
      </c>
      <c r="BC8" s="295">
        <f>BB8/BB10</f>
        <v>0.31713196662202536</v>
      </c>
      <c r="BE8" s="293">
        <f t="shared" si="12"/>
        <v>518</v>
      </c>
      <c r="BF8" s="294">
        <f>$F8/20</f>
        <v>2693600</v>
      </c>
      <c r="BG8" s="295">
        <f>BF8/BF10</f>
        <v>0.31713196662202536</v>
      </c>
      <c r="BI8" s="293">
        <f t="shared" si="13"/>
        <v>518</v>
      </c>
      <c r="BJ8" s="294">
        <f>$F8/20</f>
        <v>2693600</v>
      </c>
      <c r="BK8" s="295">
        <f>BJ8/BJ10</f>
        <v>0.31713196662202536</v>
      </c>
      <c r="BM8" s="293">
        <f t="shared" si="14"/>
        <v>518</v>
      </c>
      <c r="BN8" s="294">
        <f>$F8/20</f>
        <v>2693600</v>
      </c>
      <c r="BO8" s="295">
        <f>BN8/BN10</f>
        <v>0.31713196662202536</v>
      </c>
      <c r="BQ8" s="293">
        <f t="shared" si="15"/>
        <v>518</v>
      </c>
      <c r="BR8" s="294">
        <f>$F8/20</f>
        <v>2693600</v>
      </c>
      <c r="BS8" s="295">
        <f>BR8/BR10</f>
        <v>0.31713196662202536</v>
      </c>
      <c r="BU8" s="293">
        <f t="shared" si="16"/>
        <v>518</v>
      </c>
      <c r="BV8" s="294">
        <f>$F8/20</f>
        <v>2693600</v>
      </c>
      <c r="BW8" s="295">
        <f>BV8/BV10</f>
        <v>0.31713196662202536</v>
      </c>
      <c r="BY8" s="293">
        <f t="shared" si="17"/>
        <v>518</v>
      </c>
      <c r="BZ8" s="294">
        <f>$F8/20</f>
        <v>2693600</v>
      </c>
      <c r="CA8" s="295">
        <f>BZ8/BZ10</f>
        <v>0.31713196662202536</v>
      </c>
      <c r="CC8" s="293">
        <f t="shared" si="18"/>
        <v>518</v>
      </c>
      <c r="CD8" s="294">
        <f>$F8/20</f>
        <v>2693600</v>
      </c>
      <c r="CE8" s="295">
        <f>CD8/CD10</f>
        <v>0.31713196662202536</v>
      </c>
      <c r="CG8" s="293">
        <f t="shared" si="19"/>
        <v>518</v>
      </c>
      <c r="CH8" s="294">
        <f>$F8/20</f>
        <v>2693600</v>
      </c>
      <c r="CI8" s="295">
        <f>CH8/CH10</f>
        <v>0.31713196662202536</v>
      </c>
    </row>
    <row r="9" spans="2:87">
      <c r="B9" s="471"/>
      <c r="C9" s="288" t="s">
        <v>248</v>
      </c>
      <c r="D9" s="289">
        <v>700</v>
      </c>
      <c r="E9" s="302">
        <v>6195</v>
      </c>
      <c r="F9" s="303">
        <v>4336500</v>
      </c>
      <c r="G9" s="304">
        <v>0.35</v>
      </c>
      <c r="I9" s="293">
        <f t="shared" si="0"/>
        <v>309.75</v>
      </c>
      <c r="J9" s="294">
        <f>$F9/20</f>
        <v>216825</v>
      </c>
      <c r="K9" s="295">
        <f>J9/J10</f>
        <v>2.5527969506541671E-2</v>
      </c>
      <c r="M9" s="293">
        <f t="shared" si="1"/>
        <v>309.75</v>
      </c>
      <c r="N9" s="294">
        <f>$F9/20</f>
        <v>216825</v>
      </c>
      <c r="O9" s="295">
        <f>N9/N10</f>
        <v>2.5527969506541671E-2</v>
      </c>
      <c r="Q9" s="293">
        <f t="shared" si="2"/>
        <v>309.75</v>
      </c>
      <c r="R9" s="294">
        <f>$F9/20</f>
        <v>216825</v>
      </c>
      <c r="S9" s="295">
        <f>R9/R10</f>
        <v>2.5527969506541671E-2</v>
      </c>
      <c r="U9" s="293">
        <f t="shared" si="3"/>
        <v>309.75</v>
      </c>
      <c r="V9" s="294">
        <f>$F9/20</f>
        <v>216825</v>
      </c>
      <c r="W9" s="295">
        <f>V9/V10</f>
        <v>2.5527969506541671E-2</v>
      </c>
      <c r="Y9" s="293">
        <f t="shared" si="4"/>
        <v>309.75</v>
      </c>
      <c r="Z9" s="294">
        <f>$F9/20</f>
        <v>216825</v>
      </c>
      <c r="AA9" s="295">
        <f>Z9/Z10</f>
        <v>2.5527969506541671E-2</v>
      </c>
      <c r="AC9" s="293">
        <f t="shared" si="5"/>
        <v>309.75</v>
      </c>
      <c r="AD9" s="294">
        <f>$F9/20</f>
        <v>216825</v>
      </c>
      <c r="AE9" s="295">
        <f>AD9/AD10</f>
        <v>2.5527969506541671E-2</v>
      </c>
      <c r="AG9" s="293">
        <f t="shared" si="6"/>
        <v>309.75</v>
      </c>
      <c r="AH9" s="294">
        <f>$F9/20</f>
        <v>216825</v>
      </c>
      <c r="AI9" s="295">
        <f>AH9/AH10</f>
        <v>2.5527969506541671E-2</v>
      </c>
      <c r="AK9" s="293">
        <f t="shared" si="7"/>
        <v>309.75</v>
      </c>
      <c r="AL9" s="294">
        <f>$F9/20</f>
        <v>216825</v>
      </c>
      <c r="AM9" s="295">
        <f>AL9/AL10</f>
        <v>2.5527969506541671E-2</v>
      </c>
      <c r="AO9" s="293">
        <f t="shared" si="8"/>
        <v>309.75</v>
      </c>
      <c r="AP9" s="294">
        <f>$F9/20</f>
        <v>216825</v>
      </c>
      <c r="AQ9" s="295">
        <f>AP9/AP10</f>
        <v>2.5527969506541671E-2</v>
      </c>
      <c r="AS9" s="293">
        <f t="shared" si="9"/>
        <v>309.75</v>
      </c>
      <c r="AT9" s="294">
        <f>$F9/20</f>
        <v>216825</v>
      </c>
      <c r="AU9" s="295">
        <f>AT9/AT10</f>
        <v>2.5527969506541671E-2</v>
      </c>
      <c r="AW9" s="293">
        <f t="shared" si="10"/>
        <v>309.75</v>
      </c>
      <c r="AX9" s="294">
        <f>$F9/20</f>
        <v>216825</v>
      </c>
      <c r="AY9" s="295">
        <f>AX9/AX10</f>
        <v>2.5527969506541671E-2</v>
      </c>
      <c r="BA9" s="293">
        <f t="shared" si="11"/>
        <v>309.75</v>
      </c>
      <c r="BB9" s="294">
        <f>$F9/20</f>
        <v>216825</v>
      </c>
      <c r="BC9" s="295">
        <f>BB9/BB10</f>
        <v>2.5527969506541671E-2</v>
      </c>
      <c r="BE9" s="293">
        <f t="shared" si="12"/>
        <v>309.75</v>
      </c>
      <c r="BF9" s="294">
        <f>$F9/20</f>
        <v>216825</v>
      </c>
      <c r="BG9" s="295">
        <f>BF9/BF10</f>
        <v>2.5527969506541671E-2</v>
      </c>
      <c r="BI9" s="293">
        <f t="shared" si="13"/>
        <v>309.75</v>
      </c>
      <c r="BJ9" s="294">
        <f>$F9/20</f>
        <v>216825</v>
      </c>
      <c r="BK9" s="295">
        <f>BJ9/BJ10</f>
        <v>2.5527969506541671E-2</v>
      </c>
      <c r="BM9" s="293">
        <f t="shared" si="14"/>
        <v>309.75</v>
      </c>
      <c r="BN9" s="294">
        <f>$F9/20</f>
        <v>216825</v>
      </c>
      <c r="BO9" s="295">
        <f>BN9/BN10</f>
        <v>2.5527969506541671E-2</v>
      </c>
      <c r="BQ9" s="293">
        <f t="shared" si="15"/>
        <v>309.75</v>
      </c>
      <c r="BR9" s="294">
        <f>$F9/20</f>
        <v>216825</v>
      </c>
      <c r="BS9" s="295">
        <f>BR9/BR10</f>
        <v>2.5527969506541671E-2</v>
      </c>
      <c r="BU9" s="293">
        <f t="shared" si="16"/>
        <v>309.75</v>
      </c>
      <c r="BV9" s="294">
        <f>$F9/20</f>
        <v>216825</v>
      </c>
      <c r="BW9" s="295">
        <f>BV9/BV10</f>
        <v>2.5527969506541671E-2</v>
      </c>
      <c r="BY9" s="293">
        <f t="shared" si="17"/>
        <v>309.75</v>
      </c>
      <c r="BZ9" s="294">
        <f>$F9/20</f>
        <v>216825</v>
      </c>
      <c r="CA9" s="295">
        <f>BZ9/BZ10</f>
        <v>2.5527969506541671E-2</v>
      </c>
      <c r="CC9" s="293">
        <f t="shared" si="18"/>
        <v>309.75</v>
      </c>
      <c r="CD9" s="294">
        <f>$F9/20</f>
        <v>216825</v>
      </c>
      <c r="CE9" s="295">
        <f>CD9/CD10</f>
        <v>2.5527969506541671E-2</v>
      </c>
      <c r="CG9" s="293">
        <f t="shared" si="19"/>
        <v>309.75</v>
      </c>
      <c r="CH9" s="294">
        <f>$F9/20</f>
        <v>216825</v>
      </c>
      <c r="CI9" s="295">
        <f>CH9/CH10</f>
        <v>2.5527969506541671E-2</v>
      </c>
    </row>
    <row r="10" spans="2:87" ht="19.5" customHeight="1" thickBot="1">
      <c r="B10" s="472"/>
      <c r="C10" s="473" t="s">
        <v>270</v>
      </c>
      <c r="D10" s="474"/>
      <c r="E10" s="320">
        <v>54565</v>
      </c>
      <c r="F10" s="321">
        <v>169872500</v>
      </c>
      <c r="G10" s="322">
        <v>0.35</v>
      </c>
      <c r="I10" s="311">
        <f>SUM(I5:I9)</f>
        <v>2728.25</v>
      </c>
      <c r="J10" s="312">
        <f>$F10/20</f>
        <v>8493625</v>
      </c>
      <c r="K10" s="313">
        <v>0.35</v>
      </c>
      <c r="M10" s="311">
        <f>SUM(M5:M9)</f>
        <v>2728.25</v>
      </c>
      <c r="N10" s="312">
        <f>$F10/20</f>
        <v>8493625</v>
      </c>
      <c r="O10" s="313">
        <v>0.35</v>
      </c>
      <c r="Q10" s="311">
        <f>SUM(Q5:Q9)</f>
        <v>2728.25</v>
      </c>
      <c r="R10" s="312">
        <f>$F10/20</f>
        <v>8493625</v>
      </c>
      <c r="S10" s="313">
        <v>0.35</v>
      </c>
      <c r="U10" s="311">
        <f>SUM(U5:U9)</f>
        <v>2728.25</v>
      </c>
      <c r="V10" s="312">
        <f>$F10/20</f>
        <v>8493625</v>
      </c>
      <c r="W10" s="313">
        <v>0.35</v>
      </c>
      <c r="Y10" s="311">
        <f>SUM(Y5:Y9)</f>
        <v>2728.25</v>
      </c>
      <c r="Z10" s="312">
        <f>$F10/20</f>
        <v>8493625</v>
      </c>
      <c r="AA10" s="313">
        <v>0.35</v>
      </c>
      <c r="AC10" s="311">
        <f>SUM(AC5:AC9)</f>
        <v>2728.25</v>
      </c>
      <c r="AD10" s="312">
        <f>$F10/20</f>
        <v>8493625</v>
      </c>
      <c r="AE10" s="313">
        <v>0.35</v>
      </c>
      <c r="AG10" s="311">
        <f>SUM(AG5:AG9)</f>
        <v>2728.25</v>
      </c>
      <c r="AH10" s="312">
        <f>$F10/20</f>
        <v>8493625</v>
      </c>
      <c r="AI10" s="313">
        <v>0.35</v>
      </c>
      <c r="AK10" s="311">
        <f>SUM(AK5:AK9)</f>
        <v>2728.25</v>
      </c>
      <c r="AL10" s="312">
        <f>$F10/20</f>
        <v>8493625</v>
      </c>
      <c r="AM10" s="313">
        <v>0.35</v>
      </c>
      <c r="AO10" s="311">
        <f>SUM(AO5:AO9)</f>
        <v>2728.25</v>
      </c>
      <c r="AP10" s="312">
        <f>$F10/20</f>
        <v>8493625</v>
      </c>
      <c r="AQ10" s="313">
        <v>0.35</v>
      </c>
      <c r="AS10" s="311">
        <f>SUM(AS5:AS9)</f>
        <v>2728.25</v>
      </c>
      <c r="AT10" s="312">
        <f>$F10/20</f>
        <v>8493625</v>
      </c>
      <c r="AU10" s="313">
        <v>0.35</v>
      </c>
      <c r="AW10" s="311">
        <f>SUM(AW5:AW9)</f>
        <v>2728.25</v>
      </c>
      <c r="AX10" s="312">
        <f>$F10/20</f>
        <v>8493625</v>
      </c>
      <c r="AY10" s="313">
        <v>0.35</v>
      </c>
      <c r="BA10" s="311">
        <f>SUM(BA5:BA9)</f>
        <v>2728.25</v>
      </c>
      <c r="BB10" s="312">
        <f>$F10/20</f>
        <v>8493625</v>
      </c>
      <c r="BC10" s="313">
        <v>0.35</v>
      </c>
      <c r="BE10" s="311">
        <f>SUM(BE5:BE9)</f>
        <v>2728.25</v>
      </c>
      <c r="BF10" s="312">
        <f>$F10/20</f>
        <v>8493625</v>
      </c>
      <c r="BG10" s="313">
        <v>0.35</v>
      </c>
      <c r="BI10" s="311">
        <f>SUM(BI5:BI9)</f>
        <v>2728.25</v>
      </c>
      <c r="BJ10" s="312">
        <f>$F10/20</f>
        <v>8493625</v>
      </c>
      <c r="BK10" s="313">
        <v>0.35</v>
      </c>
      <c r="BM10" s="311">
        <f>SUM(BM5:BM9)</f>
        <v>2728.25</v>
      </c>
      <c r="BN10" s="312">
        <f>$F10/20</f>
        <v>8493625</v>
      </c>
      <c r="BO10" s="313">
        <v>0.35</v>
      </c>
      <c r="BQ10" s="311">
        <f>SUM(BQ5:BQ9)</f>
        <v>2728.25</v>
      </c>
      <c r="BR10" s="312">
        <f>$F10/20</f>
        <v>8493625</v>
      </c>
      <c r="BS10" s="313">
        <v>0.35</v>
      </c>
      <c r="BU10" s="311">
        <f>SUM(BU5:BU9)</f>
        <v>2728.25</v>
      </c>
      <c r="BV10" s="312">
        <f>$F10/20</f>
        <v>8493625</v>
      </c>
      <c r="BW10" s="313">
        <v>0.35</v>
      </c>
      <c r="BY10" s="311">
        <f>SUM(BY5:BY9)</f>
        <v>2728.25</v>
      </c>
      <c r="BZ10" s="312">
        <f>$F10/20</f>
        <v>8493625</v>
      </c>
      <c r="CA10" s="313">
        <v>0.35</v>
      </c>
      <c r="CC10" s="311">
        <f>SUM(CC5:CC9)</f>
        <v>2728.25</v>
      </c>
      <c r="CD10" s="312">
        <f>$F10/20</f>
        <v>8493625</v>
      </c>
      <c r="CE10" s="313">
        <v>0.35</v>
      </c>
      <c r="CG10" s="311">
        <f>SUM(CG5:CG9)</f>
        <v>2728.25</v>
      </c>
      <c r="CH10" s="312">
        <f>$F10/20</f>
        <v>8493625</v>
      </c>
      <c r="CI10" s="313">
        <v>0.35</v>
      </c>
    </row>
    <row r="11" spans="2:87" ht="5.25" customHeight="1" thickBot="1">
      <c r="C11" s="326"/>
      <c r="D11" s="326"/>
    </row>
    <row r="12" spans="2:87">
      <c r="B12" s="470" t="s">
        <v>271</v>
      </c>
      <c r="C12" s="268" t="s">
        <v>269</v>
      </c>
      <c r="D12" s="269">
        <f>D5+(D5*5%)</f>
        <v>4620</v>
      </c>
      <c r="E12" s="282">
        <v>15833.333333333334</v>
      </c>
      <c r="F12" s="283">
        <v>73150000</v>
      </c>
      <c r="G12" s="284">
        <v>0.30443694501493046</v>
      </c>
      <c r="I12" s="273">
        <f>J12/$D12</f>
        <v>791.66666666666663</v>
      </c>
      <c r="J12" s="274">
        <f>$F12/20</f>
        <v>3657500</v>
      </c>
      <c r="K12" s="275">
        <f>J12/J17</f>
        <v>0.37455928127342841</v>
      </c>
      <c r="M12" s="273">
        <f>N12/$D12</f>
        <v>791.66666666666663</v>
      </c>
      <c r="N12" s="274">
        <f>$F12/20</f>
        <v>3657500</v>
      </c>
      <c r="O12" s="275">
        <f>N12/N17</f>
        <v>0.37455928127342841</v>
      </c>
      <c r="Q12" s="273">
        <f>R12/$D12</f>
        <v>791.66666666666663</v>
      </c>
      <c r="R12" s="274">
        <f>$F12/20</f>
        <v>3657500</v>
      </c>
      <c r="S12" s="275">
        <f>R12/R17</f>
        <v>0.37455928127342841</v>
      </c>
      <c r="U12" s="273">
        <f>V12/$D12</f>
        <v>791.66666666666663</v>
      </c>
      <c r="V12" s="274">
        <f>$F12/20</f>
        <v>3657500</v>
      </c>
      <c r="W12" s="275">
        <f>V12/V17</f>
        <v>0.37455928127342841</v>
      </c>
      <c r="Y12" s="273">
        <f>Z12/$D12</f>
        <v>791.66666666666663</v>
      </c>
      <c r="Z12" s="274">
        <f>$F12/20</f>
        <v>3657500</v>
      </c>
      <c r="AA12" s="275">
        <f>Z12/Z17</f>
        <v>0.37455928127342841</v>
      </c>
      <c r="AC12" s="273">
        <f>AD12/$D12</f>
        <v>791.66666666666663</v>
      </c>
      <c r="AD12" s="274">
        <f>$F12/20</f>
        <v>3657500</v>
      </c>
      <c r="AE12" s="275">
        <f>AD12/AD17</f>
        <v>0.37455928127342841</v>
      </c>
      <c r="AG12" s="273">
        <f>AH12/$D12</f>
        <v>791.66666666666663</v>
      </c>
      <c r="AH12" s="274">
        <f>$F12/20</f>
        <v>3657500</v>
      </c>
      <c r="AI12" s="275">
        <f>AH12/AH17</f>
        <v>0.37455928127342841</v>
      </c>
      <c r="AK12" s="273">
        <f>AL12/$D12</f>
        <v>791.66666666666663</v>
      </c>
      <c r="AL12" s="274">
        <f>$F12/20</f>
        <v>3657500</v>
      </c>
      <c r="AM12" s="275">
        <f>AL12/AL17</f>
        <v>0.37455928127342841</v>
      </c>
      <c r="AO12" s="273">
        <f>AP12/$D12</f>
        <v>791.66666666666663</v>
      </c>
      <c r="AP12" s="274">
        <f>$F12/20</f>
        <v>3657500</v>
      </c>
      <c r="AQ12" s="275">
        <f>AP12/AP17</f>
        <v>0.37455928127342841</v>
      </c>
      <c r="AS12" s="273">
        <f>AT12/$D12</f>
        <v>791.66666666666663</v>
      </c>
      <c r="AT12" s="274">
        <f>$F12/20</f>
        <v>3657500</v>
      </c>
      <c r="AU12" s="275">
        <f>AT12/AT17</f>
        <v>0.37455928127342841</v>
      </c>
      <c r="AW12" s="273">
        <f>AX12/$D12</f>
        <v>791.66666666666663</v>
      </c>
      <c r="AX12" s="274">
        <f>$F12/20</f>
        <v>3657500</v>
      </c>
      <c r="AY12" s="275">
        <f>AX12/AX17</f>
        <v>0.37455928127342841</v>
      </c>
      <c r="BA12" s="273">
        <f>BB12/$D12</f>
        <v>791.66666666666663</v>
      </c>
      <c r="BB12" s="274">
        <f>$F12/20</f>
        <v>3657500</v>
      </c>
      <c r="BC12" s="275">
        <f>BB12/BB17</f>
        <v>0.37455928127342841</v>
      </c>
      <c r="BE12" s="273">
        <f>BF12/$D12</f>
        <v>791.66666666666663</v>
      </c>
      <c r="BF12" s="274">
        <f>$F12/20</f>
        <v>3657500</v>
      </c>
      <c r="BG12" s="275">
        <f>BF12/BF17</f>
        <v>0.37455928127342841</v>
      </c>
      <c r="BI12" s="273">
        <f>BJ12/$D12</f>
        <v>791.66666666666663</v>
      </c>
      <c r="BJ12" s="274">
        <f>$F12/20</f>
        <v>3657500</v>
      </c>
      <c r="BK12" s="275">
        <f>BJ12/BJ17</f>
        <v>0.37455928127342841</v>
      </c>
      <c r="BM12" s="273">
        <f>BN12/$D12</f>
        <v>791.66666666666663</v>
      </c>
      <c r="BN12" s="274">
        <f>$F12/20</f>
        <v>3657500</v>
      </c>
      <c r="BO12" s="275">
        <f>BN12/BN17</f>
        <v>0.37455928127342841</v>
      </c>
      <c r="BQ12" s="273">
        <f>BR12/$D12</f>
        <v>791.66666666666663</v>
      </c>
      <c r="BR12" s="274">
        <f>$F12/20</f>
        <v>3657500</v>
      </c>
      <c r="BS12" s="275">
        <f>BR12/BR17</f>
        <v>0.37455928127342841</v>
      </c>
      <c r="BU12" s="273">
        <f>BV12/$D12</f>
        <v>791.66666666666663</v>
      </c>
      <c r="BV12" s="274">
        <f>$F12/20</f>
        <v>3657500</v>
      </c>
      <c r="BW12" s="275">
        <f>BV12/BV17</f>
        <v>0.37455928127342841</v>
      </c>
      <c r="BY12" s="273">
        <f>BZ12/$D12</f>
        <v>791.66666666666663</v>
      </c>
      <c r="BZ12" s="274">
        <f>$F12/20</f>
        <v>3657500</v>
      </c>
      <c r="CA12" s="275">
        <f>BZ12/BZ17</f>
        <v>0.37455928127342841</v>
      </c>
      <c r="CC12" s="273">
        <f>CD12/$D12</f>
        <v>791.66666666666663</v>
      </c>
      <c r="CD12" s="274">
        <f>$F12/20</f>
        <v>3657500</v>
      </c>
      <c r="CE12" s="275">
        <f>CD12/CD17</f>
        <v>0.37455928127342841</v>
      </c>
      <c r="CG12" s="273">
        <f>CH12/$D12</f>
        <v>791.66666666666663</v>
      </c>
      <c r="CH12" s="274">
        <f>$F12/20</f>
        <v>3657500</v>
      </c>
      <c r="CI12" s="275">
        <f>CH12/CH17</f>
        <v>0.37455928127342841</v>
      </c>
    </row>
    <row r="13" spans="2:87">
      <c r="B13" s="471"/>
      <c r="C13" s="288" t="s">
        <v>175</v>
      </c>
      <c r="D13" s="289">
        <f t="shared" ref="D13:D16" si="20">D6+(D6*5%)</f>
        <v>1470</v>
      </c>
      <c r="E13" s="302">
        <v>14533.33333333333</v>
      </c>
      <c r="F13" s="303">
        <v>21363999.999999996</v>
      </c>
      <c r="G13" s="304">
        <v>0.30443694501493046</v>
      </c>
      <c r="I13" s="293">
        <f>J13/$D13</f>
        <v>726.66666666666652</v>
      </c>
      <c r="J13" s="294">
        <f>$F13/20</f>
        <v>1068199.9999999998</v>
      </c>
      <c r="K13" s="295">
        <f>J13/J17</f>
        <v>0.10939281592789504</v>
      </c>
      <c r="M13" s="293">
        <f>N13/$D13</f>
        <v>726.66666666666652</v>
      </c>
      <c r="N13" s="294">
        <f>$F13/20</f>
        <v>1068199.9999999998</v>
      </c>
      <c r="O13" s="295">
        <f>N13/N17</f>
        <v>0.10939281592789504</v>
      </c>
      <c r="Q13" s="293">
        <f>R13/$D13</f>
        <v>726.66666666666652</v>
      </c>
      <c r="R13" s="294">
        <f>$F13/20</f>
        <v>1068199.9999999998</v>
      </c>
      <c r="S13" s="295">
        <f>R13/R17</f>
        <v>0.10939281592789504</v>
      </c>
      <c r="U13" s="293">
        <f>V13/$D13</f>
        <v>726.66666666666652</v>
      </c>
      <c r="V13" s="294">
        <f>$F13/20</f>
        <v>1068199.9999999998</v>
      </c>
      <c r="W13" s="295">
        <f>V13/V17</f>
        <v>0.10939281592789504</v>
      </c>
      <c r="Y13" s="293">
        <f>Z13/$D13</f>
        <v>726.66666666666652</v>
      </c>
      <c r="Z13" s="294">
        <f>$F13/20</f>
        <v>1068199.9999999998</v>
      </c>
      <c r="AA13" s="295">
        <f>Z13/Z17</f>
        <v>0.10939281592789504</v>
      </c>
      <c r="AC13" s="293">
        <f>AD13/$D13</f>
        <v>726.66666666666652</v>
      </c>
      <c r="AD13" s="294">
        <f>$F13/20</f>
        <v>1068199.9999999998</v>
      </c>
      <c r="AE13" s="295">
        <f>AD13/AD17</f>
        <v>0.10939281592789504</v>
      </c>
      <c r="AG13" s="293">
        <f>AH13/$D13</f>
        <v>726.66666666666652</v>
      </c>
      <c r="AH13" s="294">
        <f>$F13/20</f>
        <v>1068199.9999999998</v>
      </c>
      <c r="AI13" s="295">
        <f>AH13/AH17</f>
        <v>0.10939281592789504</v>
      </c>
      <c r="AK13" s="293">
        <f>AL13/$D13</f>
        <v>726.66666666666652</v>
      </c>
      <c r="AL13" s="294">
        <f>$F13/20</f>
        <v>1068199.9999999998</v>
      </c>
      <c r="AM13" s="295">
        <f>AL13/AL17</f>
        <v>0.10939281592789504</v>
      </c>
      <c r="AO13" s="293">
        <f>AP13/$D13</f>
        <v>726.66666666666652</v>
      </c>
      <c r="AP13" s="294">
        <f>$F13/20</f>
        <v>1068199.9999999998</v>
      </c>
      <c r="AQ13" s="295">
        <f>AP13/AP17</f>
        <v>0.10939281592789504</v>
      </c>
      <c r="AS13" s="293">
        <f>AT13/$D13</f>
        <v>726.66666666666652</v>
      </c>
      <c r="AT13" s="294">
        <f>$F13/20</f>
        <v>1068199.9999999998</v>
      </c>
      <c r="AU13" s="295">
        <f>AT13/AT17</f>
        <v>0.10939281592789504</v>
      </c>
      <c r="AW13" s="293">
        <f>AX13/$D13</f>
        <v>726.66666666666652</v>
      </c>
      <c r="AX13" s="294">
        <f>$F13/20</f>
        <v>1068199.9999999998</v>
      </c>
      <c r="AY13" s="295">
        <f>AX13/AX17</f>
        <v>0.10939281592789504</v>
      </c>
      <c r="BA13" s="293">
        <f>BB13/$D13</f>
        <v>726.66666666666652</v>
      </c>
      <c r="BB13" s="294">
        <f>$F13/20</f>
        <v>1068199.9999999998</v>
      </c>
      <c r="BC13" s="295">
        <f>BB13/BB17</f>
        <v>0.10939281592789504</v>
      </c>
      <c r="BE13" s="293">
        <f>BF13/$D13</f>
        <v>726.66666666666652</v>
      </c>
      <c r="BF13" s="294">
        <f>$F13/20</f>
        <v>1068199.9999999998</v>
      </c>
      <c r="BG13" s="295">
        <f>BF13/BF17</f>
        <v>0.10939281592789504</v>
      </c>
      <c r="BI13" s="293">
        <f>BJ13/$D13</f>
        <v>726.66666666666652</v>
      </c>
      <c r="BJ13" s="294">
        <f>$F13/20</f>
        <v>1068199.9999999998</v>
      </c>
      <c r="BK13" s="295">
        <f>BJ13/BJ17</f>
        <v>0.10939281592789504</v>
      </c>
      <c r="BM13" s="293">
        <f>BN13/$D13</f>
        <v>726.66666666666652</v>
      </c>
      <c r="BN13" s="294">
        <f>$F13/20</f>
        <v>1068199.9999999998</v>
      </c>
      <c r="BO13" s="295">
        <f>BN13/BN17</f>
        <v>0.10939281592789504</v>
      </c>
      <c r="BQ13" s="293">
        <f>BR13/$D13</f>
        <v>726.66666666666652</v>
      </c>
      <c r="BR13" s="294">
        <f>$F13/20</f>
        <v>1068199.9999999998</v>
      </c>
      <c r="BS13" s="295">
        <f>BR13/BR17</f>
        <v>0.10939281592789504</v>
      </c>
      <c r="BU13" s="293">
        <f>BV13/$D13</f>
        <v>726.66666666666652</v>
      </c>
      <c r="BV13" s="294">
        <f>$F13/20</f>
        <v>1068199.9999999998</v>
      </c>
      <c r="BW13" s="295">
        <f>BV13/BV17</f>
        <v>0.10939281592789504</v>
      </c>
      <c r="BY13" s="293">
        <f>BZ13/$D13</f>
        <v>726.66666666666652</v>
      </c>
      <c r="BZ13" s="294">
        <f>$F13/20</f>
        <v>1068199.9999999998</v>
      </c>
      <c r="CA13" s="295">
        <f>BZ13/BZ17</f>
        <v>0.10939281592789504</v>
      </c>
      <c r="CC13" s="293">
        <f>CD13/$D13</f>
        <v>726.66666666666652</v>
      </c>
      <c r="CD13" s="294">
        <f>$F13/20</f>
        <v>1068199.9999999998</v>
      </c>
      <c r="CE13" s="295">
        <f>CD13/CD17</f>
        <v>0.10939281592789504</v>
      </c>
      <c r="CG13" s="293">
        <f>CH13/$D13</f>
        <v>726.66666666666652</v>
      </c>
      <c r="CH13" s="294">
        <f>$F13/20</f>
        <v>1068199.9999999998</v>
      </c>
      <c r="CI13" s="295">
        <f>CH13/CH17</f>
        <v>0.10939281592789504</v>
      </c>
    </row>
    <row r="14" spans="2:87">
      <c r="B14" s="471"/>
      <c r="C14" s="288" t="s">
        <v>176</v>
      </c>
      <c r="D14" s="289">
        <f t="shared" si="20"/>
        <v>2940</v>
      </c>
      <c r="E14" s="302">
        <v>5833.333333333333</v>
      </c>
      <c r="F14" s="303">
        <v>17150000</v>
      </c>
      <c r="G14" s="304">
        <v>0.30443694501493046</v>
      </c>
      <c r="I14" s="293">
        <f t="shared" ref="I14:I17" si="21">J14/$D14</f>
        <v>291.66666666666669</v>
      </c>
      <c r="J14" s="294">
        <f>$F14/20</f>
        <v>857500</v>
      </c>
      <c r="K14" s="295">
        <f>J14/J17</f>
        <v>8.7815333887071731E-2</v>
      </c>
      <c r="M14" s="293">
        <f t="shared" ref="M14:M17" si="22">N14/$D14</f>
        <v>291.66666666666669</v>
      </c>
      <c r="N14" s="294">
        <f>$F14/20</f>
        <v>857500</v>
      </c>
      <c r="O14" s="295">
        <f>N14/N17</f>
        <v>8.7815333887071731E-2</v>
      </c>
      <c r="Q14" s="293">
        <f t="shared" ref="Q14:Q17" si="23">R14/$D14</f>
        <v>291.66666666666669</v>
      </c>
      <c r="R14" s="294">
        <f>$F14/20</f>
        <v>857500</v>
      </c>
      <c r="S14" s="295">
        <f>R14/R17</f>
        <v>8.7815333887071731E-2</v>
      </c>
      <c r="U14" s="293">
        <f t="shared" ref="U14:U17" si="24">V14/$D14</f>
        <v>291.66666666666669</v>
      </c>
      <c r="V14" s="294">
        <f>$F14/20</f>
        <v>857500</v>
      </c>
      <c r="W14" s="295">
        <f>V14/V17</f>
        <v>8.7815333887071731E-2</v>
      </c>
      <c r="Y14" s="293">
        <f t="shared" ref="Y14:Y17" si="25">Z14/$D14</f>
        <v>291.66666666666669</v>
      </c>
      <c r="Z14" s="294">
        <f>$F14/20</f>
        <v>857500</v>
      </c>
      <c r="AA14" s="295">
        <f>Z14/Z17</f>
        <v>8.7815333887071731E-2</v>
      </c>
      <c r="AC14" s="293">
        <f t="shared" ref="AC14:AC17" si="26">AD14/$D14</f>
        <v>291.66666666666669</v>
      </c>
      <c r="AD14" s="294">
        <f>$F14/20</f>
        <v>857500</v>
      </c>
      <c r="AE14" s="295">
        <f>AD14/AD17</f>
        <v>8.7815333887071731E-2</v>
      </c>
      <c r="AG14" s="293">
        <f t="shared" ref="AG14:AG17" si="27">AH14/$D14</f>
        <v>291.66666666666669</v>
      </c>
      <c r="AH14" s="294">
        <f>$F14/20</f>
        <v>857500</v>
      </c>
      <c r="AI14" s="295">
        <f>AH14/AH17</f>
        <v>8.7815333887071731E-2</v>
      </c>
      <c r="AK14" s="293">
        <f t="shared" ref="AK14:AK17" si="28">AL14/$D14</f>
        <v>291.66666666666669</v>
      </c>
      <c r="AL14" s="294">
        <f>$F14/20</f>
        <v>857500</v>
      </c>
      <c r="AM14" s="295">
        <f>AL14/AL17</f>
        <v>8.7815333887071731E-2</v>
      </c>
      <c r="AO14" s="293">
        <f t="shared" ref="AO14:AO17" si="29">AP14/$D14</f>
        <v>291.66666666666669</v>
      </c>
      <c r="AP14" s="294">
        <f>$F14/20</f>
        <v>857500</v>
      </c>
      <c r="AQ14" s="295">
        <f>AP14/AP17</f>
        <v>8.7815333887071731E-2</v>
      </c>
      <c r="AS14" s="293">
        <f t="shared" ref="AS14:AS17" si="30">AT14/$D14</f>
        <v>291.66666666666669</v>
      </c>
      <c r="AT14" s="294">
        <f>$F14/20</f>
        <v>857500</v>
      </c>
      <c r="AU14" s="295">
        <f>AT14/AT17</f>
        <v>8.7815333887071731E-2</v>
      </c>
      <c r="AW14" s="293">
        <f t="shared" ref="AW14:AW17" si="31">AX14/$D14</f>
        <v>291.66666666666669</v>
      </c>
      <c r="AX14" s="294">
        <f>$F14/20</f>
        <v>857500</v>
      </c>
      <c r="AY14" s="295">
        <f>AX14/AX17</f>
        <v>8.7815333887071731E-2</v>
      </c>
      <c r="BA14" s="293">
        <f t="shared" ref="BA14:BA17" si="32">BB14/$D14</f>
        <v>291.66666666666669</v>
      </c>
      <c r="BB14" s="294">
        <f>$F14/20</f>
        <v>857500</v>
      </c>
      <c r="BC14" s="295">
        <f>BB14/BB17</f>
        <v>8.7815333887071731E-2</v>
      </c>
      <c r="BE14" s="293">
        <f t="shared" ref="BE14:BE17" si="33">BF14/$D14</f>
        <v>291.66666666666669</v>
      </c>
      <c r="BF14" s="294">
        <f>$F14/20</f>
        <v>857500</v>
      </c>
      <c r="BG14" s="295">
        <f>BF14/BF17</f>
        <v>8.7815333887071731E-2</v>
      </c>
      <c r="BI14" s="293">
        <f t="shared" ref="BI14:BI17" si="34">BJ14/$D14</f>
        <v>291.66666666666669</v>
      </c>
      <c r="BJ14" s="294">
        <f>$F14/20</f>
        <v>857500</v>
      </c>
      <c r="BK14" s="295">
        <f>BJ14/BJ17</f>
        <v>8.7815333887071731E-2</v>
      </c>
      <c r="BM14" s="293">
        <f t="shared" ref="BM14:BM17" si="35">BN14/$D14</f>
        <v>291.66666666666669</v>
      </c>
      <c r="BN14" s="294">
        <f>$F14/20</f>
        <v>857500</v>
      </c>
      <c r="BO14" s="295">
        <f>BN14/BN17</f>
        <v>8.7815333887071731E-2</v>
      </c>
      <c r="BQ14" s="293">
        <f t="shared" ref="BQ14:BQ17" si="36">BR14/$D14</f>
        <v>291.66666666666669</v>
      </c>
      <c r="BR14" s="294">
        <f>$F14/20</f>
        <v>857500</v>
      </c>
      <c r="BS14" s="295">
        <f>BR14/BR17</f>
        <v>8.7815333887071731E-2</v>
      </c>
      <c r="BU14" s="293">
        <f t="shared" ref="BU14:BU17" si="37">BV14/$D14</f>
        <v>291.66666666666669</v>
      </c>
      <c r="BV14" s="294">
        <f>$F14/20</f>
        <v>857500</v>
      </c>
      <c r="BW14" s="295">
        <f>BV14/BV17</f>
        <v>8.7815333887071731E-2</v>
      </c>
      <c r="BY14" s="293">
        <f t="shared" ref="BY14:BY17" si="38">BZ14/$D14</f>
        <v>291.66666666666669</v>
      </c>
      <c r="BZ14" s="294">
        <f>$F14/20</f>
        <v>857500</v>
      </c>
      <c r="CA14" s="295">
        <f>BZ14/BZ17</f>
        <v>8.7815333887071731E-2</v>
      </c>
      <c r="CC14" s="293">
        <f t="shared" ref="CC14:CC17" si="39">CD14/$D14</f>
        <v>291.66666666666669</v>
      </c>
      <c r="CD14" s="294">
        <f>$F14/20</f>
        <v>857500</v>
      </c>
      <c r="CE14" s="295">
        <f>CD14/CD17</f>
        <v>8.7815333887071731E-2</v>
      </c>
      <c r="CG14" s="293">
        <f t="shared" ref="CG14:CG17" si="40">CH14/$D14</f>
        <v>291.66666666666669</v>
      </c>
      <c r="CH14" s="294">
        <f>$F14/20</f>
        <v>857500</v>
      </c>
      <c r="CI14" s="295">
        <f>CH14/CH17</f>
        <v>8.7815333887071731E-2</v>
      </c>
    </row>
    <row r="15" spans="2:87">
      <c r="B15" s="471"/>
      <c r="C15" s="288" t="s">
        <v>177</v>
      </c>
      <c r="D15" s="289">
        <f t="shared" si="20"/>
        <v>5460</v>
      </c>
      <c r="E15" s="302">
        <v>9866.6666666666661</v>
      </c>
      <c r="F15" s="303">
        <v>53872000</v>
      </c>
      <c r="G15" s="304">
        <v>0.30443694501493046</v>
      </c>
      <c r="I15" s="293">
        <f t="shared" si="21"/>
        <v>493.33333333333331</v>
      </c>
      <c r="J15" s="294">
        <f>$F15/20</f>
        <v>2693600</v>
      </c>
      <c r="K15" s="295">
        <f>J15/J17</f>
        <v>0.27584767738567512</v>
      </c>
      <c r="M15" s="293">
        <f t="shared" si="22"/>
        <v>493.33333333333331</v>
      </c>
      <c r="N15" s="294">
        <f>$F15/20</f>
        <v>2693600</v>
      </c>
      <c r="O15" s="295">
        <f>N15/N17</f>
        <v>0.27584767738567512</v>
      </c>
      <c r="Q15" s="293">
        <f t="shared" si="23"/>
        <v>493.33333333333331</v>
      </c>
      <c r="R15" s="294">
        <f>$F15/20</f>
        <v>2693600</v>
      </c>
      <c r="S15" s="295">
        <f>R15/R17</f>
        <v>0.27584767738567512</v>
      </c>
      <c r="U15" s="293">
        <f t="shared" si="24"/>
        <v>493.33333333333331</v>
      </c>
      <c r="V15" s="294">
        <f>$F15/20</f>
        <v>2693600</v>
      </c>
      <c r="W15" s="295">
        <f>V15/V17</f>
        <v>0.27584767738567512</v>
      </c>
      <c r="Y15" s="293">
        <f t="shared" si="25"/>
        <v>493.33333333333331</v>
      </c>
      <c r="Z15" s="294">
        <f>$F15/20</f>
        <v>2693600</v>
      </c>
      <c r="AA15" s="295">
        <f>Z15/Z17</f>
        <v>0.27584767738567512</v>
      </c>
      <c r="AC15" s="293">
        <f t="shared" si="26"/>
        <v>493.33333333333331</v>
      </c>
      <c r="AD15" s="294">
        <f>$F15/20</f>
        <v>2693600</v>
      </c>
      <c r="AE15" s="295">
        <f>AD15/AD17</f>
        <v>0.27584767738567512</v>
      </c>
      <c r="AG15" s="293">
        <f t="shared" si="27"/>
        <v>493.33333333333331</v>
      </c>
      <c r="AH15" s="294">
        <f>$F15/20</f>
        <v>2693600</v>
      </c>
      <c r="AI15" s="295">
        <f>AH15/AH17</f>
        <v>0.27584767738567512</v>
      </c>
      <c r="AK15" s="293">
        <f t="shared" si="28"/>
        <v>493.33333333333331</v>
      </c>
      <c r="AL15" s="294">
        <f>$F15/20</f>
        <v>2693600</v>
      </c>
      <c r="AM15" s="295">
        <f>AL15/AL17</f>
        <v>0.27584767738567512</v>
      </c>
      <c r="AO15" s="293">
        <f t="shared" si="29"/>
        <v>493.33333333333331</v>
      </c>
      <c r="AP15" s="294">
        <f>$F15/20</f>
        <v>2693600</v>
      </c>
      <c r="AQ15" s="295">
        <f>AP15/AP17</f>
        <v>0.27584767738567512</v>
      </c>
      <c r="AS15" s="293">
        <f t="shared" si="30"/>
        <v>493.33333333333331</v>
      </c>
      <c r="AT15" s="294">
        <f>$F15/20</f>
        <v>2693600</v>
      </c>
      <c r="AU15" s="295">
        <f>AT15/AT17</f>
        <v>0.27584767738567512</v>
      </c>
      <c r="AW15" s="293">
        <f t="shared" si="31"/>
        <v>493.33333333333331</v>
      </c>
      <c r="AX15" s="294">
        <f>$F15/20</f>
        <v>2693600</v>
      </c>
      <c r="AY15" s="295">
        <f>AX15/AX17</f>
        <v>0.27584767738567512</v>
      </c>
      <c r="BA15" s="293">
        <f t="shared" si="32"/>
        <v>493.33333333333331</v>
      </c>
      <c r="BB15" s="294">
        <f>$F15/20</f>
        <v>2693600</v>
      </c>
      <c r="BC15" s="295">
        <f>BB15/BB17</f>
        <v>0.27584767738567512</v>
      </c>
      <c r="BE15" s="293">
        <f t="shared" si="33"/>
        <v>493.33333333333331</v>
      </c>
      <c r="BF15" s="294">
        <f>$F15/20</f>
        <v>2693600</v>
      </c>
      <c r="BG15" s="295">
        <f>BF15/BF17</f>
        <v>0.27584767738567512</v>
      </c>
      <c r="BI15" s="293">
        <f t="shared" si="34"/>
        <v>493.33333333333331</v>
      </c>
      <c r="BJ15" s="294">
        <f>$F15/20</f>
        <v>2693600</v>
      </c>
      <c r="BK15" s="295">
        <f>BJ15/BJ17</f>
        <v>0.27584767738567512</v>
      </c>
      <c r="BM15" s="293">
        <f t="shared" si="35"/>
        <v>493.33333333333331</v>
      </c>
      <c r="BN15" s="294">
        <f>$F15/20</f>
        <v>2693600</v>
      </c>
      <c r="BO15" s="295">
        <f>BN15/BN17</f>
        <v>0.27584767738567512</v>
      </c>
      <c r="BQ15" s="293">
        <f t="shared" si="36"/>
        <v>493.33333333333331</v>
      </c>
      <c r="BR15" s="294">
        <f>$F15/20</f>
        <v>2693600</v>
      </c>
      <c r="BS15" s="295">
        <f>BR15/BR17</f>
        <v>0.27584767738567512</v>
      </c>
      <c r="BU15" s="293">
        <f t="shared" si="37"/>
        <v>493.33333333333331</v>
      </c>
      <c r="BV15" s="294">
        <f>$F15/20</f>
        <v>2693600</v>
      </c>
      <c r="BW15" s="295">
        <f>BV15/BV17</f>
        <v>0.27584767738567512</v>
      </c>
      <c r="BY15" s="293">
        <f t="shared" si="38"/>
        <v>493.33333333333331</v>
      </c>
      <c r="BZ15" s="294">
        <f>$F15/20</f>
        <v>2693600</v>
      </c>
      <c r="CA15" s="295">
        <f>BZ15/BZ17</f>
        <v>0.27584767738567512</v>
      </c>
      <c r="CC15" s="293">
        <f t="shared" si="39"/>
        <v>493.33333333333331</v>
      </c>
      <c r="CD15" s="294">
        <f>$F15/20</f>
        <v>2693600</v>
      </c>
      <c r="CE15" s="295">
        <f>CD15/CD17</f>
        <v>0.27584767738567512</v>
      </c>
      <c r="CG15" s="293">
        <f t="shared" si="40"/>
        <v>493.33333333333331</v>
      </c>
      <c r="CH15" s="294">
        <f>$F15/20</f>
        <v>2693600</v>
      </c>
      <c r="CI15" s="295">
        <f>CH15/CH17</f>
        <v>0.27584767738567512</v>
      </c>
    </row>
    <row r="16" spans="2:87">
      <c r="B16" s="471"/>
      <c r="C16" s="288" t="s">
        <v>248</v>
      </c>
      <c r="D16" s="289">
        <f t="shared" si="20"/>
        <v>735</v>
      </c>
      <c r="E16" s="302">
        <v>5900</v>
      </c>
      <c r="F16" s="303">
        <v>4336500</v>
      </c>
      <c r="G16" s="304">
        <v>0.30443694501493052</v>
      </c>
      <c r="I16" s="293">
        <f t="shared" si="21"/>
        <v>295</v>
      </c>
      <c r="J16" s="294">
        <f>$F16/20</f>
        <v>216825</v>
      </c>
      <c r="K16" s="295">
        <f>J16/J17</f>
        <v>2.2204734425730996E-2</v>
      </c>
      <c r="M16" s="293">
        <f t="shared" si="22"/>
        <v>295</v>
      </c>
      <c r="N16" s="294">
        <f>$F16/20</f>
        <v>216825</v>
      </c>
      <c r="O16" s="295">
        <f>N16/N17</f>
        <v>2.2204734425730996E-2</v>
      </c>
      <c r="Q16" s="293">
        <f t="shared" si="23"/>
        <v>295</v>
      </c>
      <c r="R16" s="294">
        <f>$F16/20</f>
        <v>216825</v>
      </c>
      <c r="S16" s="295">
        <f>R16/R17</f>
        <v>2.2204734425730996E-2</v>
      </c>
      <c r="U16" s="293">
        <f t="shared" si="24"/>
        <v>295</v>
      </c>
      <c r="V16" s="294">
        <f>$F16/20</f>
        <v>216825</v>
      </c>
      <c r="W16" s="295">
        <f>V16/V17</f>
        <v>2.2204734425730996E-2</v>
      </c>
      <c r="Y16" s="293">
        <f t="shared" si="25"/>
        <v>295</v>
      </c>
      <c r="Z16" s="294">
        <f>$F16/20</f>
        <v>216825</v>
      </c>
      <c r="AA16" s="295">
        <f>Z16/Z17</f>
        <v>2.2204734425730996E-2</v>
      </c>
      <c r="AC16" s="293">
        <f t="shared" si="26"/>
        <v>295</v>
      </c>
      <c r="AD16" s="294">
        <f>$F16/20</f>
        <v>216825</v>
      </c>
      <c r="AE16" s="295">
        <f>AD16/AD17</f>
        <v>2.2204734425730996E-2</v>
      </c>
      <c r="AG16" s="293">
        <f t="shared" si="27"/>
        <v>295</v>
      </c>
      <c r="AH16" s="294">
        <f>$F16/20</f>
        <v>216825</v>
      </c>
      <c r="AI16" s="295">
        <f>AH16/AH17</f>
        <v>2.2204734425730996E-2</v>
      </c>
      <c r="AK16" s="293">
        <f t="shared" si="28"/>
        <v>295</v>
      </c>
      <c r="AL16" s="294">
        <f>$F16/20</f>
        <v>216825</v>
      </c>
      <c r="AM16" s="295">
        <f>AL16/AL17</f>
        <v>2.2204734425730996E-2</v>
      </c>
      <c r="AO16" s="293">
        <f t="shared" si="29"/>
        <v>295</v>
      </c>
      <c r="AP16" s="294">
        <f>$F16/20</f>
        <v>216825</v>
      </c>
      <c r="AQ16" s="295">
        <f>AP16/AP17</f>
        <v>2.2204734425730996E-2</v>
      </c>
      <c r="AS16" s="293">
        <f t="shared" si="30"/>
        <v>295</v>
      </c>
      <c r="AT16" s="294">
        <f>$F16/20</f>
        <v>216825</v>
      </c>
      <c r="AU16" s="295">
        <f>AT16/AT17</f>
        <v>2.2204734425730996E-2</v>
      </c>
      <c r="AW16" s="293">
        <f t="shared" si="31"/>
        <v>295</v>
      </c>
      <c r="AX16" s="294">
        <f>$F16/20</f>
        <v>216825</v>
      </c>
      <c r="AY16" s="295">
        <f>AX16/AX17</f>
        <v>2.2204734425730996E-2</v>
      </c>
      <c r="BA16" s="293">
        <f t="shared" si="32"/>
        <v>295</v>
      </c>
      <c r="BB16" s="294">
        <f>$F16/20</f>
        <v>216825</v>
      </c>
      <c r="BC16" s="295">
        <f>BB16/BB17</f>
        <v>2.2204734425730996E-2</v>
      </c>
      <c r="BE16" s="293">
        <f t="shared" si="33"/>
        <v>295</v>
      </c>
      <c r="BF16" s="294">
        <f>$F16/20</f>
        <v>216825</v>
      </c>
      <c r="BG16" s="295">
        <f>BF16/BF17</f>
        <v>2.2204734425730996E-2</v>
      </c>
      <c r="BI16" s="293">
        <f t="shared" si="34"/>
        <v>295</v>
      </c>
      <c r="BJ16" s="294">
        <f>$F16/20</f>
        <v>216825</v>
      </c>
      <c r="BK16" s="295">
        <f>BJ16/BJ17</f>
        <v>2.2204734425730996E-2</v>
      </c>
      <c r="BM16" s="293">
        <f t="shared" si="35"/>
        <v>295</v>
      </c>
      <c r="BN16" s="294">
        <f>$F16/20</f>
        <v>216825</v>
      </c>
      <c r="BO16" s="295">
        <f>BN16/BN17</f>
        <v>2.2204734425730996E-2</v>
      </c>
      <c r="BQ16" s="293">
        <f t="shared" si="36"/>
        <v>295</v>
      </c>
      <c r="BR16" s="294">
        <f>$F16/20</f>
        <v>216825</v>
      </c>
      <c r="BS16" s="295">
        <f>BR16/BR17</f>
        <v>2.2204734425730996E-2</v>
      </c>
      <c r="BU16" s="293">
        <f t="shared" si="37"/>
        <v>295</v>
      </c>
      <c r="BV16" s="294">
        <f>$F16/20</f>
        <v>216825</v>
      </c>
      <c r="BW16" s="295">
        <f>BV16/BV17</f>
        <v>2.2204734425730996E-2</v>
      </c>
      <c r="BY16" s="293">
        <f t="shared" si="38"/>
        <v>295</v>
      </c>
      <c r="BZ16" s="294">
        <f>$F16/20</f>
        <v>216825</v>
      </c>
      <c r="CA16" s="295">
        <f>BZ16/BZ17</f>
        <v>2.2204734425730996E-2</v>
      </c>
      <c r="CC16" s="293">
        <f t="shared" si="39"/>
        <v>295</v>
      </c>
      <c r="CD16" s="294">
        <f>$F16/20</f>
        <v>216825</v>
      </c>
      <c r="CE16" s="295">
        <f>CD16/CD17</f>
        <v>2.2204734425730996E-2</v>
      </c>
      <c r="CG16" s="293">
        <f t="shared" si="40"/>
        <v>295</v>
      </c>
      <c r="CH16" s="294">
        <f>$F16/20</f>
        <v>216825</v>
      </c>
      <c r="CI16" s="295">
        <f>CH16/CH17</f>
        <v>2.2204734425730996E-2</v>
      </c>
    </row>
    <row r="17" spans="2:87" ht="19.5" customHeight="1" thickBot="1">
      <c r="B17" s="472"/>
      <c r="C17" s="473" t="s">
        <v>270</v>
      </c>
      <c r="D17" s="474"/>
      <c r="E17" s="320">
        <v>51966.666666666664</v>
      </c>
      <c r="F17" s="321">
        <v>195296188.5</v>
      </c>
      <c r="G17" s="322">
        <v>0.35</v>
      </c>
      <c r="I17" s="311">
        <f>SUM(I12:I16)</f>
        <v>2598.333333333333</v>
      </c>
      <c r="J17" s="312">
        <f>$F17/20</f>
        <v>9764809.4250000007</v>
      </c>
      <c r="K17" s="313">
        <v>0.35</v>
      </c>
      <c r="M17" s="311">
        <f>SUM(M12:M16)</f>
        <v>2598.333333333333</v>
      </c>
      <c r="N17" s="312">
        <f>$F17/20</f>
        <v>9764809.4250000007</v>
      </c>
      <c r="O17" s="313">
        <v>0.35</v>
      </c>
      <c r="Q17" s="311">
        <f>SUM(Q12:Q16)</f>
        <v>2598.333333333333</v>
      </c>
      <c r="R17" s="312">
        <f>$F17/20</f>
        <v>9764809.4250000007</v>
      </c>
      <c r="S17" s="313">
        <v>0.35</v>
      </c>
      <c r="U17" s="311">
        <f>SUM(U12:U16)</f>
        <v>2598.333333333333</v>
      </c>
      <c r="V17" s="312">
        <f>$F17/20</f>
        <v>9764809.4250000007</v>
      </c>
      <c r="W17" s="313">
        <v>0.35</v>
      </c>
      <c r="Y17" s="311">
        <f>SUM(Y12:Y16)</f>
        <v>2598.333333333333</v>
      </c>
      <c r="Z17" s="312">
        <f>$F17/20</f>
        <v>9764809.4250000007</v>
      </c>
      <c r="AA17" s="313">
        <v>0.35</v>
      </c>
      <c r="AC17" s="311">
        <f>SUM(AC12:AC16)</f>
        <v>2598.333333333333</v>
      </c>
      <c r="AD17" s="312">
        <f>$F17/20</f>
        <v>9764809.4250000007</v>
      </c>
      <c r="AE17" s="313">
        <v>0.35</v>
      </c>
      <c r="AG17" s="311">
        <f>SUM(AG12:AG16)</f>
        <v>2598.333333333333</v>
      </c>
      <c r="AH17" s="312">
        <f>$F17/20</f>
        <v>9764809.4250000007</v>
      </c>
      <c r="AI17" s="313">
        <v>0.35</v>
      </c>
      <c r="AK17" s="311">
        <f>SUM(AK12:AK16)</f>
        <v>2598.333333333333</v>
      </c>
      <c r="AL17" s="312">
        <f>$F17/20</f>
        <v>9764809.4250000007</v>
      </c>
      <c r="AM17" s="313">
        <v>0.35</v>
      </c>
      <c r="AO17" s="311">
        <f>SUM(AO12:AO16)</f>
        <v>2598.333333333333</v>
      </c>
      <c r="AP17" s="312">
        <f>$F17/20</f>
        <v>9764809.4250000007</v>
      </c>
      <c r="AQ17" s="313">
        <v>0.35</v>
      </c>
      <c r="AS17" s="311">
        <f>SUM(AS12:AS16)</f>
        <v>2598.333333333333</v>
      </c>
      <c r="AT17" s="312">
        <f>$F17/20</f>
        <v>9764809.4250000007</v>
      </c>
      <c r="AU17" s="313">
        <v>0.35</v>
      </c>
      <c r="AW17" s="311">
        <f>SUM(AW12:AW16)</f>
        <v>2598.333333333333</v>
      </c>
      <c r="AX17" s="312">
        <f>$F17/20</f>
        <v>9764809.4250000007</v>
      </c>
      <c r="AY17" s="313">
        <v>0.35</v>
      </c>
      <c r="BA17" s="311">
        <f>SUM(BA12:BA16)</f>
        <v>2598.333333333333</v>
      </c>
      <c r="BB17" s="312">
        <f>$F17/20</f>
        <v>9764809.4250000007</v>
      </c>
      <c r="BC17" s="313">
        <v>0.35</v>
      </c>
      <c r="BE17" s="311">
        <f>SUM(BE12:BE16)</f>
        <v>2598.333333333333</v>
      </c>
      <c r="BF17" s="312">
        <f>$F17/20</f>
        <v>9764809.4250000007</v>
      </c>
      <c r="BG17" s="313">
        <v>0.35</v>
      </c>
      <c r="BI17" s="311">
        <f>SUM(BI12:BI16)</f>
        <v>2598.333333333333</v>
      </c>
      <c r="BJ17" s="312">
        <f>$F17/20</f>
        <v>9764809.4250000007</v>
      </c>
      <c r="BK17" s="313">
        <v>0.35</v>
      </c>
      <c r="BM17" s="311">
        <f>SUM(BM12:BM16)</f>
        <v>2598.333333333333</v>
      </c>
      <c r="BN17" s="312">
        <f>$F17/20</f>
        <v>9764809.4250000007</v>
      </c>
      <c r="BO17" s="313">
        <v>0.35</v>
      </c>
      <c r="BQ17" s="311">
        <f>SUM(BQ12:BQ16)</f>
        <v>2598.333333333333</v>
      </c>
      <c r="BR17" s="312">
        <f>$F17/20</f>
        <v>9764809.4250000007</v>
      </c>
      <c r="BS17" s="313">
        <v>0.35</v>
      </c>
      <c r="BU17" s="311">
        <f>SUM(BU12:BU16)</f>
        <v>2598.333333333333</v>
      </c>
      <c r="BV17" s="312">
        <f>$F17/20</f>
        <v>9764809.4250000007</v>
      </c>
      <c r="BW17" s="313">
        <v>0.35</v>
      </c>
      <c r="BY17" s="311">
        <f>SUM(BY12:BY16)</f>
        <v>2598.333333333333</v>
      </c>
      <c r="BZ17" s="312">
        <f>$F17/20</f>
        <v>9764809.4250000007</v>
      </c>
      <c r="CA17" s="313">
        <v>0.35</v>
      </c>
      <c r="CC17" s="311">
        <f>SUM(CC12:CC16)</f>
        <v>2598.333333333333</v>
      </c>
      <c r="CD17" s="312">
        <f>$F17/20</f>
        <v>9764809.4250000007</v>
      </c>
      <c r="CE17" s="313">
        <v>0.35</v>
      </c>
      <c r="CG17" s="311">
        <f>SUM(CG12:CG16)</f>
        <v>2598.333333333333</v>
      </c>
      <c r="CH17" s="312">
        <f>$F17/20</f>
        <v>9764809.4250000007</v>
      </c>
      <c r="CI17" s="313">
        <v>0.35</v>
      </c>
    </row>
    <row r="18" spans="2:87" ht="5.25" customHeight="1" thickBot="1">
      <c r="C18" s="326"/>
      <c r="D18" s="326"/>
    </row>
    <row r="19" spans="2:87">
      <c r="B19" s="470" t="s">
        <v>272</v>
      </c>
      <c r="C19" s="268" t="s">
        <v>269</v>
      </c>
      <c r="D19" s="269">
        <f>D12+(D12*5%)</f>
        <v>4851</v>
      </c>
      <c r="E19" s="282">
        <v>15079.36507936508</v>
      </c>
      <c r="F19" s="283">
        <v>73150000</v>
      </c>
      <c r="G19" s="284">
        <v>0.25753472337010153</v>
      </c>
      <c r="I19" s="273">
        <f>J19/$D19</f>
        <v>753.96825396825398</v>
      </c>
      <c r="J19" s="274">
        <f>$F19/20</f>
        <v>3657500</v>
      </c>
      <c r="K19" s="275">
        <f>J19/J24</f>
        <v>0.3168538591258222</v>
      </c>
      <c r="M19" s="273">
        <f>N19/$D19</f>
        <v>753.96825396825398</v>
      </c>
      <c r="N19" s="274">
        <f>$F19/20</f>
        <v>3657500</v>
      </c>
      <c r="O19" s="275">
        <f>N19/N24</f>
        <v>0.3168538591258222</v>
      </c>
      <c r="Q19" s="273">
        <f>R19/$D19</f>
        <v>753.96825396825398</v>
      </c>
      <c r="R19" s="274">
        <f>$F19/20</f>
        <v>3657500</v>
      </c>
      <c r="S19" s="275">
        <f>R19/R24</f>
        <v>0.3168538591258222</v>
      </c>
      <c r="U19" s="273">
        <f>V19/$D19</f>
        <v>753.96825396825398</v>
      </c>
      <c r="V19" s="274">
        <f>$F19/20</f>
        <v>3657500</v>
      </c>
      <c r="W19" s="275">
        <f>V19/V24</f>
        <v>0.3168538591258222</v>
      </c>
      <c r="Y19" s="273">
        <f>Z19/$D19</f>
        <v>753.96825396825398</v>
      </c>
      <c r="Z19" s="274">
        <f>$F19/20</f>
        <v>3657500</v>
      </c>
      <c r="AA19" s="275">
        <f>Z19/Z24</f>
        <v>0.3168538591258222</v>
      </c>
      <c r="AC19" s="273">
        <f>AD19/$D19</f>
        <v>753.96825396825398</v>
      </c>
      <c r="AD19" s="274">
        <f>$F19/20</f>
        <v>3657500</v>
      </c>
      <c r="AE19" s="275">
        <f>AD19/AD24</f>
        <v>0.3168538591258222</v>
      </c>
      <c r="AG19" s="273">
        <f>AH19/$D19</f>
        <v>753.96825396825398</v>
      </c>
      <c r="AH19" s="274">
        <f>$F19/20</f>
        <v>3657500</v>
      </c>
      <c r="AI19" s="275">
        <f>AH19/AH24</f>
        <v>0.3168538591258222</v>
      </c>
      <c r="AK19" s="273">
        <f>AL19/$D19</f>
        <v>753.96825396825398</v>
      </c>
      <c r="AL19" s="274">
        <f>$F19/20</f>
        <v>3657500</v>
      </c>
      <c r="AM19" s="275">
        <f>AL19/AL24</f>
        <v>0.3168538591258222</v>
      </c>
      <c r="AO19" s="273">
        <f>AP19/$D19</f>
        <v>753.96825396825398</v>
      </c>
      <c r="AP19" s="274">
        <f>$F19/20</f>
        <v>3657500</v>
      </c>
      <c r="AQ19" s="275">
        <f>AP19/AP24</f>
        <v>0.3168538591258222</v>
      </c>
      <c r="AS19" s="273">
        <f>AT19/$D19</f>
        <v>753.96825396825398</v>
      </c>
      <c r="AT19" s="274">
        <f>$F19/20</f>
        <v>3657500</v>
      </c>
      <c r="AU19" s="275">
        <f>AT19/AT24</f>
        <v>0.3168538591258222</v>
      </c>
      <c r="AW19" s="273">
        <f>AX19/$D19</f>
        <v>753.96825396825398</v>
      </c>
      <c r="AX19" s="274">
        <f>$F19/20</f>
        <v>3657500</v>
      </c>
      <c r="AY19" s="275">
        <f>AX19/AX24</f>
        <v>0.3168538591258222</v>
      </c>
      <c r="BA19" s="273">
        <f>BB19/$D19</f>
        <v>753.96825396825398</v>
      </c>
      <c r="BB19" s="274">
        <f>$F19/20</f>
        <v>3657500</v>
      </c>
      <c r="BC19" s="275">
        <f>BB19/BB24</f>
        <v>0.3168538591258222</v>
      </c>
      <c r="BE19" s="273">
        <f>BF19/$D19</f>
        <v>753.96825396825398</v>
      </c>
      <c r="BF19" s="274">
        <f>$F19/20</f>
        <v>3657500</v>
      </c>
      <c r="BG19" s="275">
        <f>BF19/BF24</f>
        <v>0.3168538591258222</v>
      </c>
      <c r="BI19" s="273">
        <f>BJ19/$D19</f>
        <v>753.96825396825398</v>
      </c>
      <c r="BJ19" s="274">
        <f>$F19/20</f>
        <v>3657500</v>
      </c>
      <c r="BK19" s="275">
        <f>BJ19/BJ24</f>
        <v>0.3168538591258222</v>
      </c>
      <c r="BM19" s="273">
        <f>BN19/$D19</f>
        <v>753.96825396825398</v>
      </c>
      <c r="BN19" s="274">
        <f>$F19/20</f>
        <v>3657500</v>
      </c>
      <c r="BO19" s="275">
        <f>BN19/BN24</f>
        <v>0.3168538591258222</v>
      </c>
      <c r="BQ19" s="273">
        <f>BR19/$D19</f>
        <v>753.96825396825398</v>
      </c>
      <c r="BR19" s="274">
        <f>$F19/20</f>
        <v>3657500</v>
      </c>
      <c r="BS19" s="275">
        <f>BR19/BR24</f>
        <v>0.3168538591258222</v>
      </c>
      <c r="BU19" s="273">
        <f>BV19/$D19</f>
        <v>753.96825396825398</v>
      </c>
      <c r="BV19" s="274">
        <f>$F19/20</f>
        <v>3657500</v>
      </c>
      <c r="BW19" s="275">
        <f>BV19/BV24</f>
        <v>0.3168538591258222</v>
      </c>
      <c r="BY19" s="273">
        <f>BZ19/$D19</f>
        <v>753.96825396825398</v>
      </c>
      <c r="BZ19" s="274">
        <f>$F19/20</f>
        <v>3657500</v>
      </c>
      <c r="CA19" s="275">
        <f>BZ19/BZ24</f>
        <v>0.3168538591258222</v>
      </c>
      <c r="CC19" s="273">
        <f>CD19/$D19</f>
        <v>753.96825396825398</v>
      </c>
      <c r="CD19" s="274">
        <f>$F19/20</f>
        <v>3657500</v>
      </c>
      <c r="CE19" s="275">
        <f>CD19/CD24</f>
        <v>0.3168538591258222</v>
      </c>
      <c r="CG19" s="273">
        <f>CH19/$D19</f>
        <v>753.96825396825398</v>
      </c>
      <c r="CH19" s="274">
        <f>$F19/20</f>
        <v>3657500</v>
      </c>
      <c r="CI19" s="275">
        <f>CH19/CH24</f>
        <v>0.3168538591258222</v>
      </c>
    </row>
    <row r="20" spans="2:87">
      <c r="B20" s="471"/>
      <c r="C20" s="288" t="s">
        <v>175</v>
      </c>
      <c r="D20" s="289">
        <f t="shared" ref="D20:D23" si="41">D13+(D13*5%)</f>
        <v>1543.5</v>
      </c>
      <c r="E20" s="302">
        <v>13841.269841269839</v>
      </c>
      <c r="F20" s="303">
        <v>21363999.999999996</v>
      </c>
      <c r="G20" s="304">
        <v>0.25753472337010158</v>
      </c>
      <c r="I20" s="293">
        <f>J20/$D20</f>
        <v>692.06349206349194</v>
      </c>
      <c r="J20" s="294">
        <f>$F20/20</f>
        <v>1068199.9999999998</v>
      </c>
      <c r="K20" s="295">
        <f>J20/J24</f>
        <v>9.2539519430814274E-2</v>
      </c>
      <c r="M20" s="293">
        <f>N20/$D20</f>
        <v>692.06349206349194</v>
      </c>
      <c r="N20" s="294">
        <f>$F20/20</f>
        <v>1068199.9999999998</v>
      </c>
      <c r="O20" s="295">
        <f>N20/N24</f>
        <v>9.2539519430814274E-2</v>
      </c>
      <c r="Q20" s="293">
        <f>R20/$D20</f>
        <v>692.06349206349194</v>
      </c>
      <c r="R20" s="294">
        <f>$F20/20</f>
        <v>1068199.9999999998</v>
      </c>
      <c r="S20" s="295">
        <f>R20/R24</f>
        <v>9.2539519430814274E-2</v>
      </c>
      <c r="U20" s="293">
        <f>V20/$D20</f>
        <v>692.06349206349194</v>
      </c>
      <c r="V20" s="294">
        <f>$F20/20</f>
        <v>1068199.9999999998</v>
      </c>
      <c r="W20" s="295">
        <f>V20/V24</f>
        <v>9.2539519430814274E-2</v>
      </c>
      <c r="Y20" s="293">
        <f>Z20/$D20</f>
        <v>692.06349206349194</v>
      </c>
      <c r="Z20" s="294">
        <f>$F20/20</f>
        <v>1068199.9999999998</v>
      </c>
      <c r="AA20" s="295">
        <f>Z20/Z24</f>
        <v>9.2539519430814274E-2</v>
      </c>
      <c r="AC20" s="293">
        <f>AD20/$D20</f>
        <v>692.06349206349194</v>
      </c>
      <c r="AD20" s="294">
        <f>$F20/20</f>
        <v>1068199.9999999998</v>
      </c>
      <c r="AE20" s="295">
        <f>AD20/AD24</f>
        <v>9.2539519430814274E-2</v>
      </c>
      <c r="AG20" s="293">
        <f>AH20/$D20</f>
        <v>692.06349206349194</v>
      </c>
      <c r="AH20" s="294">
        <f>$F20/20</f>
        <v>1068199.9999999998</v>
      </c>
      <c r="AI20" s="295">
        <f>AH20/AH24</f>
        <v>9.2539519430814274E-2</v>
      </c>
      <c r="AK20" s="293">
        <f>AL20/$D20</f>
        <v>692.06349206349194</v>
      </c>
      <c r="AL20" s="294">
        <f>$F20/20</f>
        <v>1068199.9999999998</v>
      </c>
      <c r="AM20" s="295">
        <f>AL20/AL24</f>
        <v>9.2539519430814274E-2</v>
      </c>
      <c r="AO20" s="293">
        <f>AP20/$D20</f>
        <v>692.06349206349194</v>
      </c>
      <c r="AP20" s="294">
        <f>$F20/20</f>
        <v>1068199.9999999998</v>
      </c>
      <c r="AQ20" s="295">
        <f>AP20/AP24</f>
        <v>9.2539519430814274E-2</v>
      </c>
      <c r="AS20" s="293">
        <f>AT20/$D20</f>
        <v>692.06349206349194</v>
      </c>
      <c r="AT20" s="294">
        <f>$F20/20</f>
        <v>1068199.9999999998</v>
      </c>
      <c r="AU20" s="295">
        <f>AT20/AT24</f>
        <v>9.2539519430814274E-2</v>
      </c>
      <c r="AW20" s="293">
        <f>AX20/$D20</f>
        <v>692.06349206349194</v>
      </c>
      <c r="AX20" s="294">
        <f>$F20/20</f>
        <v>1068199.9999999998</v>
      </c>
      <c r="AY20" s="295">
        <f>AX20/AX24</f>
        <v>9.2539519430814274E-2</v>
      </c>
      <c r="BA20" s="293">
        <f>BB20/$D20</f>
        <v>692.06349206349194</v>
      </c>
      <c r="BB20" s="294">
        <f>$F20/20</f>
        <v>1068199.9999999998</v>
      </c>
      <c r="BC20" s="295">
        <f>BB20/BB24</f>
        <v>9.2539519430814274E-2</v>
      </c>
      <c r="BE20" s="293">
        <f>BF20/$D20</f>
        <v>692.06349206349194</v>
      </c>
      <c r="BF20" s="294">
        <f>$F20/20</f>
        <v>1068199.9999999998</v>
      </c>
      <c r="BG20" s="295">
        <f>BF20/BF24</f>
        <v>9.2539519430814274E-2</v>
      </c>
      <c r="BI20" s="293">
        <f>BJ20/$D20</f>
        <v>692.06349206349194</v>
      </c>
      <c r="BJ20" s="294">
        <f>$F20/20</f>
        <v>1068199.9999999998</v>
      </c>
      <c r="BK20" s="295">
        <f>BJ20/BJ24</f>
        <v>9.2539519430814274E-2</v>
      </c>
      <c r="BM20" s="293">
        <f>BN20/$D20</f>
        <v>692.06349206349194</v>
      </c>
      <c r="BN20" s="294">
        <f>$F20/20</f>
        <v>1068199.9999999998</v>
      </c>
      <c r="BO20" s="295">
        <f>BN20/BN24</f>
        <v>9.2539519430814274E-2</v>
      </c>
      <c r="BQ20" s="293">
        <f>BR20/$D20</f>
        <v>692.06349206349194</v>
      </c>
      <c r="BR20" s="294">
        <f>$F20/20</f>
        <v>1068199.9999999998</v>
      </c>
      <c r="BS20" s="295">
        <f>BR20/BR24</f>
        <v>9.2539519430814274E-2</v>
      </c>
      <c r="BU20" s="293">
        <f>BV20/$D20</f>
        <v>692.06349206349194</v>
      </c>
      <c r="BV20" s="294">
        <f>$F20/20</f>
        <v>1068199.9999999998</v>
      </c>
      <c r="BW20" s="295">
        <f>BV20/BV24</f>
        <v>9.2539519430814274E-2</v>
      </c>
      <c r="BY20" s="293">
        <f>BZ20/$D20</f>
        <v>692.06349206349194</v>
      </c>
      <c r="BZ20" s="294">
        <f>$F20/20</f>
        <v>1068199.9999999998</v>
      </c>
      <c r="CA20" s="295">
        <f>BZ20/BZ24</f>
        <v>9.2539519430814274E-2</v>
      </c>
      <c r="CC20" s="293">
        <f>CD20/$D20</f>
        <v>692.06349206349194</v>
      </c>
      <c r="CD20" s="294">
        <f>$F20/20</f>
        <v>1068199.9999999998</v>
      </c>
      <c r="CE20" s="295">
        <f>CD20/CD24</f>
        <v>9.2539519430814274E-2</v>
      </c>
      <c r="CG20" s="293">
        <f>CH20/$D20</f>
        <v>692.06349206349194</v>
      </c>
      <c r="CH20" s="294">
        <f>$F20/20</f>
        <v>1068199.9999999998</v>
      </c>
      <c r="CI20" s="295">
        <f>CH20/CH24</f>
        <v>9.2539519430814274E-2</v>
      </c>
    </row>
    <row r="21" spans="2:87">
      <c r="B21" s="471"/>
      <c r="C21" s="288" t="s">
        <v>176</v>
      </c>
      <c r="D21" s="289">
        <f t="shared" si="41"/>
        <v>3087</v>
      </c>
      <c r="E21" s="302">
        <v>5555.5555555555557</v>
      </c>
      <c r="F21" s="303">
        <v>17150000</v>
      </c>
      <c r="G21" s="304">
        <v>0.25753472337010153</v>
      </c>
      <c r="I21" s="293">
        <f t="shared" ref="I21:I24" si="42">J21/$D21</f>
        <v>277.77777777777777</v>
      </c>
      <c r="J21" s="294">
        <f>$F21/20</f>
        <v>857500</v>
      </c>
      <c r="K21" s="295">
        <f>J21/J24</f>
        <v>7.4286311469690364E-2</v>
      </c>
      <c r="M21" s="293">
        <f t="shared" ref="M21:M24" si="43">N21/$D21</f>
        <v>277.77777777777777</v>
      </c>
      <c r="N21" s="294">
        <f>$F21/20</f>
        <v>857500</v>
      </c>
      <c r="O21" s="295">
        <f>N21/N24</f>
        <v>7.4286311469690364E-2</v>
      </c>
      <c r="Q21" s="293">
        <f t="shared" ref="Q21:Q24" si="44">R21/$D21</f>
        <v>277.77777777777777</v>
      </c>
      <c r="R21" s="294">
        <f>$F21/20</f>
        <v>857500</v>
      </c>
      <c r="S21" s="295">
        <f>R21/R24</f>
        <v>7.4286311469690364E-2</v>
      </c>
      <c r="U21" s="293">
        <f t="shared" ref="U21:U24" si="45">V21/$D21</f>
        <v>277.77777777777777</v>
      </c>
      <c r="V21" s="294">
        <f>$F21/20</f>
        <v>857500</v>
      </c>
      <c r="W21" s="295">
        <f>V21/V24</f>
        <v>7.4286311469690364E-2</v>
      </c>
      <c r="Y21" s="293">
        <f t="shared" ref="Y21:Y24" si="46">Z21/$D21</f>
        <v>277.77777777777777</v>
      </c>
      <c r="Z21" s="294">
        <f>$F21/20</f>
        <v>857500</v>
      </c>
      <c r="AA21" s="295">
        <f>Z21/Z24</f>
        <v>7.4286311469690364E-2</v>
      </c>
      <c r="AC21" s="293">
        <f t="shared" ref="AC21:AC24" si="47">AD21/$D21</f>
        <v>277.77777777777777</v>
      </c>
      <c r="AD21" s="294">
        <f>$F21/20</f>
        <v>857500</v>
      </c>
      <c r="AE21" s="295">
        <f>AD21/AD24</f>
        <v>7.4286311469690364E-2</v>
      </c>
      <c r="AG21" s="293">
        <f t="shared" ref="AG21:AG24" si="48">AH21/$D21</f>
        <v>277.77777777777777</v>
      </c>
      <c r="AH21" s="294">
        <f>$F21/20</f>
        <v>857500</v>
      </c>
      <c r="AI21" s="295">
        <f>AH21/AH24</f>
        <v>7.4286311469690364E-2</v>
      </c>
      <c r="AK21" s="293">
        <f t="shared" ref="AK21:AK24" si="49">AL21/$D21</f>
        <v>277.77777777777777</v>
      </c>
      <c r="AL21" s="294">
        <f>$F21/20</f>
        <v>857500</v>
      </c>
      <c r="AM21" s="295">
        <f>AL21/AL24</f>
        <v>7.4286311469690364E-2</v>
      </c>
      <c r="AO21" s="293">
        <f t="shared" ref="AO21:AO24" si="50">AP21/$D21</f>
        <v>277.77777777777777</v>
      </c>
      <c r="AP21" s="294">
        <f>$F21/20</f>
        <v>857500</v>
      </c>
      <c r="AQ21" s="295">
        <f>AP21/AP24</f>
        <v>7.4286311469690364E-2</v>
      </c>
      <c r="AS21" s="293">
        <f t="shared" ref="AS21:AS24" si="51">AT21/$D21</f>
        <v>277.77777777777777</v>
      </c>
      <c r="AT21" s="294">
        <f>$F21/20</f>
        <v>857500</v>
      </c>
      <c r="AU21" s="295">
        <f>AT21/AT24</f>
        <v>7.4286311469690364E-2</v>
      </c>
      <c r="AW21" s="293">
        <f t="shared" ref="AW21:AW24" si="52">AX21/$D21</f>
        <v>277.77777777777777</v>
      </c>
      <c r="AX21" s="294">
        <f>$F21/20</f>
        <v>857500</v>
      </c>
      <c r="AY21" s="295">
        <f>AX21/AX24</f>
        <v>7.4286311469690364E-2</v>
      </c>
      <c r="BA21" s="293">
        <f t="shared" ref="BA21:BA24" si="53">BB21/$D21</f>
        <v>277.77777777777777</v>
      </c>
      <c r="BB21" s="294">
        <f>$F21/20</f>
        <v>857500</v>
      </c>
      <c r="BC21" s="295">
        <f>BB21/BB24</f>
        <v>7.4286311469690364E-2</v>
      </c>
      <c r="BE21" s="293">
        <f t="shared" ref="BE21:BE24" si="54">BF21/$D21</f>
        <v>277.77777777777777</v>
      </c>
      <c r="BF21" s="294">
        <f>$F21/20</f>
        <v>857500</v>
      </c>
      <c r="BG21" s="295">
        <f>BF21/BF24</f>
        <v>7.4286311469690364E-2</v>
      </c>
      <c r="BI21" s="293">
        <f t="shared" ref="BI21:BI24" si="55">BJ21/$D21</f>
        <v>277.77777777777777</v>
      </c>
      <c r="BJ21" s="294">
        <f>$F21/20</f>
        <v>857500</v>
      </c>
      <c r="BK21" s="295">
        <f>BJ21/BJ24</f>
        <v>7.4286311469690364E-2</v>
      </c>
      <c r="BM21" s="293">
        <f t="shared" ref="BM21:BM24" si="56">BN21/$D21</f>
        <v>277.77777777777777</v>
      </c>
      <c r="BN21" s="294">
        <f>$F21/20</f>
        <v>857500</v>
      </c>
      <c r="BO21" s="295">
        <f>BN21/BN24</f>
        <v>7.4286311469690364E-2</v>
      </c>
      <c r="BQ21" s="293">
        <f t="shared" ref="BQ21:BQ24" si="57">BR21/$D21</f>
        <v>277.77777777777777</v>
      </c>
      <c r="BR21" s="294">
        <f>$F21/20</f>
        <v>857500</v>
      </c>
      <c r="BS21" s="295">
        <f>BR21/BR24</f>
        <v>7.4286311469690364E-2</v>
      </c>
      <c r="BU21" s="293">
        <f t="shared" ref="BU21:BU24" si="58">BV21/$D21</f>
        <v>277.77777777777777</v>
      </c>
      <c r="BV21" s="294">
        <f>$F21/20</f>
        <v>857500</v>
      </c>
      <c r="BW21" s="295">
        <f>BV21/BV24</f>
        <v>7.4286311469690364E-2</v>
      </c>
      <c r="BY21" s="293">
        <f t="shared" ref="BY21:BY24" si="59">BZ21/$D21</f>
        <v>277.77777777777777</v>
      </c>
      <c r="BZ21" s="294">
        <f>$F21/20</f>
        <v>857500</v>
      </c>
      <c r="CA21" s="295">
        <f>BZ21/BZ24</f>
        <v>7.4286311469690364E-2</v>
      </c>
      <c r="CC21" s="293">
        <f t="shared" ref="CC21:CC24" si="60">CD21/$D21</f>
        <v>277.77777777777777</v>
      </c>
      <c r="CD21" s="294">
        <f>$F21/20</f>
        <v>857500</v>
      </c>
      <c r="CE21" s="295">
        <f>CD21/CD24</f>
        <v>7.4286311469690364E-2</v>
      </c>
      <c r="CG21" s="293">
        <f t="shared" ref="CG21:CG24" si="61">CH21/$D21</f>
        <v>277.77777777777777</v>
      </c>
      <c r="CH21" s="294">
        <f>$F21/20</f>
        <v>857500</v>
      </c>
      <c r="CI21" s="295">
        <f>CH21/CH24</f>
        <v>7.4286311469690364E-2</v>
      </c>
    </row>
    <row r="22" spans="2:87">
      <c r="B22" s="471"/>
      <c r="C22" s="288" t="s">
        <v>177</v>
      </c>
      <c r="D22" s="289">
        <f t="shared" si="41"/>
        <v>5733</v>
      </c>
      <c r="E22" s="302">
        <v>9396.8253968253975</v>
      </c>
      <c r="F22" s="303">
        <v>53872000</v>
      </c>
      <c r="G22" s="304">
        <v>0.25753472337010153</v>
      </c>
      <c r="I22" s="293">
        <f t="shared" si="42"/>
        <v>469.84126984126982</v>
      </c>
      <c r="J22" s="294">
        <f>$F22/20</f>
        <v>2693600</v>
      </c>
      <c r="K22" s="295">
        <f>J22/J24</f>
        <v>0.23334998084519881</v>
      </c>
      <c r="M22" s="293">
        <f t="shared" si="43"/>
        <v>469.84126984126982</v>
      </c>
      <c r="N22" s="294">
        <f>$F22/20</f>
        <v>2693600</v>
      </c>
      <c r="O22" s="295">
        <f>N22/N24</f>
        <v>0.23334998084519881</v>
      </c>
      <c r="Q22" s="293">
        <f t="shared" si="44"/>
        <v>469.84126984126982</v>
      </c>
      <c r="R22" s="294">
        <f>$F22/20</f>
        <v>2693600</v>
      </c>
      <c r="S22" s="295">
        <f>R22/R24</f>
        <v>0.23334998084519881</v>
      </c>
      <c r="U22" s="293">
        <f t="shared" si="45"/>
        <v>469.84126984126982</v>
      </c>
      <c r="V22" s="294">
        <f>$F22/20</f>
        <v>2693600</v>
      </c>
      <c r="W22" s="295">
        <f>V22/V24</f>
        <v>0.23334998084519881</v>
      </c>
      <c r="Y22" s="293">
        <f t="shared" si="46"/>
        <v>469.84126984126982</v>
      </c>
      <c r="Z22" s="294">
        <f>$F22/20</f>
        <v>2693600</v>
      </c>
      <c r="AA22" s="295">
        <f>Z22/Z24</f>
        <v>0.23334998084519881</v>
      </c>
      <c r="AC22" s="293">
        <f t="shared" si="47"/>
        <v>469.84126984126982</v>
      </c>
      <c r="AD22" s="294">
        <f>$F22/20</f>
        <v>2693600</v>
      </c>
      <c r="AE22" s="295">
        <f>AD22/AD24</f>
        <v>0.23334998084519881</v>
      </c>
      <c r="AG22" s="293">
        <f t="shared" si="48"/>
        <v>469.84126984126982</v>
      </c>
      <c r="AH22" s="294">
        <f>$F22/20</f>
        <v>2693600</v>
      </c>
      <c r="AI22" s="295">
        <f>AH22/AH24</f>
        <v>0.23334998084519881</v>
      </c>
      <c r="AK22" s="293">
        <f t="shared" si="49"/>
        <v>469.84126984126982</v>
      </c>
      <c r="AL22" s="294">
        <f>$F22/20</f>
        <v>2693600</v>
      </c>
      <c r="AM22" s="295">
        <f>AL22/AL24</f>
        <v>0.23334998084519881</v>
      </c>
      <c r="AO22" s="293">
        <f t="shared" si="50"/>
        <v>469.84126984126982</v>
      </c>
      <c r="AP22" s="294">
        <f>$F22/20</f>
        <v>2693600</v>
      </c>
      <c r="AQ22" s="295">
        <f>AP22/AP24</f>
        <v>0.23334998084519881</v>
      </c>
      <c r="AS22" s="293">
        <f t="shared" si="51"/>
        <v>469.84126984126982</v>
      </c>
      <c r="AT22" s="294">
        <f>$F22/20</f>
        <v>2693600</v>
      </c>
      <c r="AU22" s="295">
        <f>AT22/AT24</f>
        <v>0.23334998084519881</v>
      </c>
      <c r="AW22" s="293">
        <f t="shared" si="52"/>
        <v>469.84126984126982</v>
      </c>
      <c r="AX22" s="294">
        <f>$F22/20</f>
        <v>2693600</v>
      </c>
      <c r="AY22" s="295">
        <f>AX22/AX24</f>
        <v>0.23334998084519881</v>
      </c>
      <c r="BA22" s="293">
        <f t="shared" si="53"/>
        <v>469.84126984126982</v>
      </c>
      <c r="BB22" s="294">
        <f>$F22/20</f>
        <v>2693600</v>
      </c>
      <c r="BC22" s="295">
        <f>BB22/BB24</f>
        <v>0.23334998084519881</v>
      </c>
      <c r="BE22" s="293">
        <f t="shared" si="54"/>
        <v>469.84126984126982</v>
      </c>
      <c r="BF22" s="294">
        <f>$F22/20</f>
        <v>2693600</v>
      </c>
      <c r="BG22" s="295">
        <f>BF22/BF24</f>
        <v>0.23334998084519881</v>
      </c>
      <c r="BI22" s="293">
        <f t="shared" si="55"/>
        <v>469.84126984126982</v>
      </c>
      <c r="BJ22" s="294">
        <f>$F22/20</f>
        <v>2693600</v>
      </c>
      <c r="BK22" s="295">
        <f>BJ22/BJ24</f>
        <v>0.23334998084519881</v>
      </c>
      <c r="BM22" s="293">
        <f t="shared" si="56"/>
        <v>469.84126984126982</v>
      </c>
      <c r="BN22" s="294">
        <f>$F22/20</f>
        <v>2693600</v>
      </c>
      <c r="BO22" s="295">
        <f>BN22/BN24</f>
        <v>0.23334998084519881</v>
      </c>
      <c r="BQ22" s="293">
        <f t="shared" si="57"/>
        <v>469.84126984126982</v>
      </c>
      <c r="BR22" s="294">
        <f>$F22/20</f>
        <v>2693600</v>
      </c>
      <c r="BS22" s="295">
        <f>BR22/BR24</f>
        <v>0.23334998084519881</v>
      </c>
      <c r="BU22" s="293">
        <f t="shared" si="58"/>
        <v>469.84126984126982</v>
      </c>
      <c r="BV22" s="294">
        <f>$F22/20</f>
        <v>2693600</v>
      </c>
      <c r="BW22" s="295">
        <f>BV22/BV24</f>
        <v>0.23334998084519881</v>
      </c>
      <c r="BY22" s="293">
        <f t="shared" si="59"/>
        <v>469.84126984126982</v>
      </c>
      <c r="BZ22" s="294">
        <f>$F22/20</f>
        <v>2693600</v>
      </c>
      <c r="CA22" s="295">
        <f>BZ22/BZ24</f>
        <v>0.23334998084519881</v>
      </c>
      <c r="CC22" s="293">
        <f t="shared" si="60"/>
        <v>469.84126984126982</v>
      </c>
      <c r="CD22" s="294">
        <f>$F22/20</f>
        <v>2693600</v>
      </c>
      <c r="CE22" s="295">
        <f>CD22/CD24</f>
        <v>0.23334998084519881</v>
      </c>
      <c r="CG22" s="293">
        <f t="shared" si="61"/>
        <v>469.84126984126982</v>
      </c>
      <c r="CH22" s="294">
        <f>$F22/20</f>
        <v>2693600</v>
      </c>
      <c r="CI22" s="295">
        <f>CH22/CH24</f>
        <v>0.23334998084519881</v>
      </c>
    </row>
    <row r="23" spans="2:87">
      <c r="B23" s="471"/>
      <c r="C23" s="288" t="s">
        <v>248</v>
      </c>
      <c r="D23" s="289">
        <f t="shared" si="41"/>
        <v>771.75</v>
      </c>
      <c r="E23" s="302">
        <v>5619.0476190476193</v>
      </c>
      <c r="F23" s="303">
        <v>4336500</v>
      </c>
      <c r="G23" s="304">
        <v>0.25753472337010153</v>
      </c>
      <c r="I23" s="293">
        <f t="shared" si="42"/>
        <v>280.95238095238096</v>
      </c>
      <c r="J23" s="294">
        <f>$F23/20</f>
        <v>216825</v>
      </c>
      <c r="K23" s="295">
        <f>J23/J24</f>
        <v>1.8783824471621708E-2</v>
      </c>
      <c r="M23" s="293">
        <f t="shared" si="43"/>
        <v>280.95238095238096</v>
      </c>
      <c r="N23" s="294">
        <f>$F23/20</f>
        <v>216825</v>
      </c>
      <c r="O23" s="295">
        <f>N23/N24</f>
        <v>1.8783824471621708E-2</v>
      </c>
      <c r="Q23" s="293">
        <f t="shared" si="44"/>
        <v>280.95238095238096</v>
      </c>
      <c r="R23" s="294">
        <f>$F23/20</f>
        <v>216825</v>
      </c>
      <c r="S23" s="295">
        <f>R23/R24</f>
        <v>1.8783824471621708E-2</v>
      </c>
      <c r="U23" s="293">
        <f t="shared" si="45"/>
        <v>280.95238095238096</v>
      </c>
      <c r="V23" s="294">
        <f>$F23/20</f>
        <v>216825</v>
      </c>
      <c r="W23" s="295">
        <f>V23/V24</f>
        <v>1.8783824471621708E-2</v>
      </c>
      <c r="Y23" s="293">
        <f t="shared" si="46"/>
        <v>280.95238095238096</v>
      </c>
      <c r="Z23" s="294">
        <f>$F23/20</f>
        <v>216825</v>
      </c>
      <c r="AA23" s="295">
        <f>Z23/Z24</f>
        <v>1.8783824471621708E-2</v>
      </c>
      <c r="AC23" s="293">
        <f t="shared" si="47"/>
        <v>280.95238095238096</v>
      </c>
      <c r="AD23" s="294">
        <f>$F23/20</f>
        <v>216825</v>
      </c>
      <c r="AE23" s="295">
        <f>AD23/AD24</f>
        <v>1.8783824471621708E-2</v>
      </c>
      <c r="AG23" s="293">
        <f t="shared" si="48"/>
        <v>280.95238095238096</v>
      </c>
      <c r="AH23" s="294">
        <f>$F23/20</f>
        <v>216825</v>
      </c>
      <c r="AI23" s="295">
        <f>AH23/AH24</f>
        <v>1.8783824471621708E-2</v>
      </c>
      <c r="AK23" s="293">
        <f t="shared" si="49"/>
        <v>280.95238095238096</v>
      </c>
      <c r="AL23" s="294">
        <f>$F23/20</f>
        <v>216825</v>
      </c>
      <c r="AM23" s="295">
        <f>AL23/AL24</f>
        <v>1.8783824471621708E-2</v>
      </c>
      <c r="AO23" s="293">
        <f t="shared" si="50"/>
        <v>280.95238095238096</v>
      </c>
      <c r="AP23" s="294">
        <f>$F23/20</f>
        <v>216825</v>
      </c>
      <c r="AQ23" s="295">
        <f>AP23/AP24</f>
        <v>1.8783824471621708E-2</v>
      </c>
      <c r="AS23" s="293">
        <f t="shared" si="51"/>
        <v>280.95238095238096</v>
      </c>
      <c r="AT23" s="294">
        <f>$F23/20</f>
        <v>216825</v>
      </c>
      <c r="AU23" s="295">
        <f>AT23/AT24</f>
        <v>1.8783824471621708E-2</v>
      </c>
      <c r="AW23" s="293">
        <f t="shared" si="52"/>
        <v>280.95238095238096</v>
      </c>
      <c r="AX23" s="294">
        <f>$F23/20</f>
        <v>216825</v>
      </c>
      <c r="AY23" s="295">
        <f>AX23/AX24</f>
        <v>1.8783824471621708E-2</v>
      </c>
      <c r="BA23" s="293">
        <f t="shared" si="53"/>
        <v>280.95238095238096</v>
      </c>
      <c r="BB23" s="294">
        <f>$F23/20</f>
        <v>216825</v>
      </c>
      <c r="BC23" s="295">
        <f>BB23/BB24</f>
        <v>1.8783824471621708E-2</v>
      </c>
      <c r="BE23" s="293">
        <f t="shared" si="54"/>
        <v>280.95238095238096</v>
      </c>
      <c r="BF23" s="294">
        <f>$F23/20</f>
        <v>216825</v>
      </c>
      <c r="BG23" s="295">
        <f>BF23/BF24</f>
        <v>1.8783824471621708E-2</v>
      </c>
      <c r="BI23" s="293">
        <f t="shared" si="55"/>
        <v>280.95238095238096</v>
      </c>
      <c r="BJ23" s="294">
        <f>$F23/20</f>
        <v>216825</v>
      </c>
      <c r="BK23" s="295">
        <f>BJ23/BJ24</f>
        <v>1.8783824471621708E-2</v>
      </c>
      <c r="BM23" s="293">
        <f t="shared" si="56"/>
        <v>280.95238095238096</v>
      </c>
      <c r="BN23" s="294">
        <f>$F23/20</f>
        <v>216825</v>
      </c>
      <c r="BO23" s="295">
        <f>BN23/BN24</f>
        <v>1.8783824471621708E-2</v>
      </c>
      <c r="BQ23" s="293">
        <f t="shared" si="57"/>
        <v>280.95238095238096</v>
      </c>
      <c r="BR23" s="294">
        <f>$F23/20</f>
        <v>216825</v>
      </c>
      <c r="BS23" s="295">
        <f>BR23/BR24</f>
        <v>1.8783824471621708E-2</v>
      </c>
      <c r="BU23" s="293">
        <f t="shared" si="58"/>
        <v>280.95238095238096</v>
      </c>
      <c r="BV23" s="294">
        <f>$F23/20</f>
        <v>216825</v>
      </c>
      <c r="BW23" s="295">
        <f>BV23/BV24</f>
        <v>1.8783824471621708E-2</v>
      </c>
      <c r="BY23" s="293">
        <f t="shared" si="59"/>
        <v>280.95238095238096</v>
      </c>
      <c r="BZ23" s="294">
        <f>$F23/20</f>
        <v>216825</v>
      </c>
      <c r="CA23" s="295">
        <f>BZ23/BZ24</f>
        <v>1.8783824471621708E-2</v>
      </c>
      <c r="CC23" s="293">
        <f t="shared" si="60"/>
        <v>280.95238095238096</v>
      </c>
      <c r="CD23" s="294">
        <f>$F23/20</f>
        <v>216825</v>
      </c>
      <c r="CE23" s="295">
        <f>CD23/CD24</f>
        <v>1.8783824471621708E-2</v>
      </c>
      <c r="CG23" s="293">
        <f t="shared" si="61"/>
        <v>280.95238095238096</v>
      </c>
      <c r="CH23" s="294">
        <f>$F23/20</f>
        <v>216825</v>
      </c>
      <c r="CI23" s="295">
        <f>CH23/CH24</f>
        <v>1.8783824471621708E-2</v>
      </c>
    </row>
    <row r="24" spans="2:87" ht="19.5" customHeight="1" thickBot="1">
      <c r="B24" s="472"/>
      <c r="C24" s="473" t="s">
        <v>270</v>
      </c>
      <c r="D24" s="474"/>
      <c r="E24" s="320">
        <v>49492.063492063491</v>
      </c>
      <c r="F24" s="321">
        <v>230863528.69999999</v>
      </c>
      <c r="G24" s="322">
        <v>0.35</v>
      </c>
      <c r="I24" s="311">
        <f>SUM(I19:I23)</f>
        <v>2474.6031746031749</v>
      </c>
      <c r="J24" s="312">
        <f>$F24/20</f>
        <v>11543176.434999999</v>
      </c>
      <c r="K24" s="313">
        <v>0.35</v>
      </c>
      <c r="M24" s="311">
        <f>SUM(M19:M23)</f>
        <v>2474.6031746031749</v>
      </c>
      <c r="N24" s="312">
        <f>$F24/20</f>
        <v>11543176.434999999</v>
      </c>
      <c r="O24" s="313">
        <v>0.35</v>
      </c>
      <c r="Q24" s="311">
        <f>SUM(Q19:Q23)</f>
        <v>2474.6031746031749</v>
      </c>
      <c r="R24" s="312">
        <f>$F24/20</f>
        <v>11543176.434999999</v>
      </c>
      <c r="S24" s="313">
        <v>0.35</v>
      </c>
      <c r="U24" s="311">
        <f>SUM(U19:U23)</f>
        <v>2474.6031746031749</v>
      </c>
      <c r="V24" s="312">
        <f>$F24/20</f>
        <v>11543176.434999999</v>
      </c>
      <c r="W24" s="313">
        <v>0.35</v>
      </c>
      <c r="Y24" s="311">
        <f>SUM(Y19:Y23)</f>
        <v>2474.6031746031749</v>
      </c>
      <c r="Z24" s="312">
        <f>$F24/20</f>
        <v>11543176.434999999</v>
      </c>
      <c r="AA24" s="313">
        <v>0.35</v>
      </c>
      <c r="AC24" s="311">
        <f>SUM(AC19:AC23)</f>
        <v>2474.6031746031749</v>
      </c>
      <c r="AD24" s="312">
        <f>$F24/20</f>
        <v>11543176.434999999</v>
      </c>
      <c r="AE24" s="313">
        <v>0.35</v>
      </c>
      <c r="AG24" s="311">
        <f>SUM(AG19:AG23)</f>
        <v>2474.6031746031749</v>
      </c>
      <c r="AH24" s="312">
        <f>$F24/20</f>
        <v>11543176.434999999</v>
      </c>
      <c r="AI24" s="313">
        <v>0.35</v>
      </c>
      <c r="AK24" s="311">
        <f>SUM(AK19:AK23)</f>
        <v>2474.6031746031749</v>
      </c>
      <c r="AL24" s="312">
        <f>$F24/20</f>
        <v>11543176.434999999</v>
      </c>
      <c r="AM24" s="313">
        <v>0.35</v>
      </c>
      <c r="AO24" s="311">
        <f>SUM(AO19:AO23)</f>
        <v>2474.6031746031749</v>
      </c>
      <c r="AP24" s="312">
        <f>$F24/20</f>
        <v>11543176.434999999</v>
      </c>
      <c r="AQ24" s="313">
        <v>0.35</v>
      </c>
      <c r="AS24" s="311">
        <f>SUM(AS19:AS23)</f>
        <v>2474.6031746031749</v>
      </c>
      <c r="AT24" s="312">
        <f>$F24/20</f>
        <v>11543176.434999999</v>
      </c>
      <c r="AU24" s="313">
        <v>0.35</v>
      </c>
      <c r="AW24" s="311">
        <f>SUM(AW19:AW23)</f>
        <v>2474.6031746031749</v>
      </c>
      <c r="AX24" s="312">
        <f>$F24/20</f>
        <v>11543176.434999999</v>
      </c>
      <c r="AY24" s="313">
        <v>0.35</v>
      </c>
      <c r="BA24" s="311">
        <f>SUM(BA19:BA23)</f>
        <v>2474.6031746031749</v>
      </c>
      <c r="BB24" s="312">
        <f>$F24/20</f>
        <v>11543176.434999999</v>
      </c>
      <c r="BC24" s="313">
        <v>0.35</v>
      </c>
      <c r="BE24" s="311">
        <f>SUM(BE19:BE23)</f>
        <v>2474.6031746031749</v>
      </c>
      <c r="BF24" s="312">
        <f>$F24/20</f>
        <v>11543176.434999999</v>
      </c>
      <c r="BG24" s="313">
        <v>0.35</v>
      </c>
      <c r="BI24" s="311">
        <f>SUM(BI19:BI23)</f>
        <v>2474.6031746031749</v>
      </c>
      <c r="BJ24" s="312">
        <f>$F24/20</f>
        <v>11543176.434999999</v>
      </c>
      <c r="BK24" s="313">
        <v>0.35</v>
      </c>
      <c r="BM24" s="311">
        <f>SUM(BM19:BM23)</f>
        <v>2474.6031746031749</v>
      </c>
      <c r="BN24" s="312">
        <f>$F24/20</f>
        <v>11543176.434999999</v>
      </c>
      <c r="BO24" s="313">
        <v>0.35</v>
      </c>
      <c r="BQ24" s="311">
        <f>SUM(BQ19:BQ23)</f>
        <v>2474.6031746031749</v>
      </c>
      <c r="BR24" s="312">
        <f>$F24/20</f>
        <v>11543176.434999999</v>
      </c>
      <c r="BS24" s="313">
        <v>0.35</v>
      </c>
      <c r="BU24" s="311">
        <f>SUM(BU19:BU23)</f>
        <v>2474.6031746031749</v>
      </c>
      <c r="BV24" s="312">
        <f>$F24/20</f>
        <v>11543176.434999999</v>
      </c>
      <c r="BW24" s="313">
        <v>0.35</v>
      </c>
      <c r="BY24" s="311">
        <f>SUM(BY19:BY23)</f>
        <v>2474.6031746031749</v>
      </c>
      <c r="BZ24" s="312">
        <f>$F24/20</f>
        <v>11543176.434999999</v>
      </c>
      <c r="CA24" s="313">
        <v>0.35</v>
      </c>
      <c r="CC24" s="311">
        <f>SUM(CC19:CC23)</f>
        <v>2474.6031746031749</v>
      </c>
      <c r="CD24" s="312">
        <f>$F24/20</f>
        <v>11543176.434999999</v>
      </c>
      <c r="CE24" s="313">
        <v>0.35</v>
      </c>
      <c r="CG24" s="311">
        <f>SUM(CG19:CG23)</f>
        <v>2474.6031746031749</v>
      </c>
      <c r="CH24" s="312">
        <f>$F24/20</f>
        <v>11543176.434999999</v>
      </c>
      <c r="CI24" s="313">
        <v>0.35</v>
      </c>
    </row>
    <row r="25" spans="2:87" ht="5.25" customHeight="1" thickBot="1">
      <c r="C25" s="326"/>
      <c r="D25" s="326"/>
    </row>
    <row r="26" spans="2:87">
      <c r="B26" s="470" t="s">
        <v>273</v>
      </c>
      <c r="C26" s="268" t="s">
        <v>269</v>
      </c>
      <c r="D26" s="269">
        <f>D19+(D19*5%)</f>
        <v>5093.55</v>
      </c>
      <c r="E26" s="282">
        <v>14361.30007558579</v>
      </c>
      <c r="F26" s="283">
        <v>73150000</v>
      </c>
      <c r="G26" s="284">
        <v>0.23457523282271081</v>
      </c>
      <c r="I26" s="273">
        <f>J26/$D26</f>
        <v>718.06500377928944</v>
      </c>
      <c r="J26" s="274">
        <f>$F26/20</f>
        <v>3657500</v>
      </c>
      <c r="K26" s="275">
        <f>J26/J31</f>
        <v>0.28860600544494586</v>
      </c>
      <c r="M26" s="273">
        <f>N26/$D26</f>
        <v>718.06500377928944</v>
      </c>
      <c r="N26" s="274">
        <f>$F26/20</f>
        <v>3657500</v>
      </c>
      <c r="O26" s="275">
        <f>N26/N31</f>
        <v>0.28860600544494586</v>
      </c>
      <c r="Q26" s="273">
        <f>R26/$D26</f>
        <v>718.06500377928944</v>
      </c>
      <c r="R26" s="274">
        <f>$F26/20</f>
        <v>3657500</v>
      </c>
      <c r="S26" s="275">
        <f>R26/R31</f>
        <v>0.28860600544494586</v>
      </c>
      <c r="U26" s="273">
        <f>V26/$D26</f>
        <v>718.06500377928944</v>
      </c>
      <c r="V26" s="274">
        <f>$F26/20</f>
        <v>3657500</v>
      </c>
      <c r="W26" s="275">
        <f>V26/V31</f>
        <v>0.28860600544494586</v>
      </c>
      <c r="Y26" s="273">
        <f>Z26/$D26</f>
        <v>718.06500377928944</v>
      </c>
      <c r="Z26" s="274">
        <f>$F26/20</f>
        <v>3657500</v>
      </c>
      <c r="AA26" s="275">
        <f>Z26/Z31</f>
        <v>0.28860600544494586</v>
      </c>
      <c r="AC26" s="273">
        <f>AD26/$D26</f>
        <v>718.06500377928944</v>
      </c>
      <c r="AD26" s="274">
        <f>$F26/20</f>
        <v>3657500</v>
      </c>
      <c r="AE26" s="275">
        <f>AD26/AD31</f>
        <v>0.28860600544494586</v>
      </c>
      <c r="AG26" s="273">
        <f>AH26/$D26</f>
        <v>718.06500377928944</v>
      </c>
      <c r="AH26" s="274">
        <f>$F26/20</f>
        <v>3657500</v>
      </c>
      <c r="AI26" s="275">
        <f>AH26/AH31</f>
        <v>0.28860600544494586</v>
      </c>
      <c r="AK26" s="273">
        <f>AL26/$D26</f>
        <v>718.06500377928944</v>
      </c>
      <c r="AL26" s="274">
        <f>$F26/20</f>
        <v>3657500</v>
      </c>
      <c r="AM26" s="275">
        <f>AL26/AL31</f>
        <v>0.28860600544494586</v>
      </c>
      <c r="AO26" s="273">
        <f>AP26/$D26</f>
        <v>718.06500377928944</v>
      </c>
      <c r="AP26" s="274">
        <f>$F26/20</f>
        <v>3657500</v>
      </c>
      <c r="AQ26" s="275">
        <f>AP26/AP31</f>
        <v>0.28860600544494586</v>
      </c>
      <c r="AS26" s="273">
        <f>AT26/$D26</f>
        <v>718.06500377928944</v>
      </c>
      <c r="AT26" s="274">
        <f>$F26/20</f>
        <v>3657500</v>
      </c>
      <c r="AU26" s="275">
        <f>AT26/AT31</f>
        <v>0.28860600544494586</v>
      </c>
      <c r="AW26" s="273">
        <f>AX26/$D26</f>
        <v>718.06500377928944</v>
      </c>
      <c r="AX26" s="274">
        <f>$F26/20</f>
        <v>3657500</v>
      </c>
      <c r="AY26" s="275">
        <f>AX26/AX31</f>
        <v>0.28860600544494586</v>
      </c>
      <c r="BA26" s="273">
        <f>BB26/$D26</f>
        <v>718.06500377928944</v>
      </c>
      <c r="BB26" s="274">
        <f>$F26/20</f>
        <v>3657500</v>
      </c>
      <c r="BC26" s="275">
        <f>BB26/BB31</f>
        <v>0.28860600544494586</v>
      </c>
      <c r="BE26" s="273">
        <f>BF26/$D26</f>
        <v>718.06500377928944</v>
      </c>
      <c r="BF26" s="274">
        <f>$F26/20</f>
        <v>3657500</v>
      </c>
      <c r="BG26" s="275">
        <f>BF26/BF31</f>
        <v>0.28860600544494586</v>
      </c>
      <c r="BI26" s="273">
        <f>BJ26/$D26</f>
        <v>718.06500377928944</v>
      </c>
      <c r="BJ26" s="274">
        <f>$F26/20</f>
        <v>3657500</v>
      </c>
      <c r="BK26" s="275">
        <f>BJ26/BJ31</f>
        <v>0.28860600544494586</v>
      </c>
      <c r="BM26" s="273">
        <f>BN26/$D26</f>
        <v>718.06500377928944</v>
      </c>
      <c r="BN26" s="274">
        <f>$F26/20</f>
        <v>3657500</v>
      </c>
      <c r="BO26" s="275">
        <f>BN26/BN31</f>
        <v>0.28860600544494586</v>
      </c>
      <c r="BQ26" s="273">
        <f>BR26/$D26</f>
        <v>718.06500377928944</v>
      </c>
      <c r="BR26" s="274">
        <f>$F26/20</f>
        <v>3657500</v>
      </c>
      <c r="BS26" s="275">
        <f>BR26/BR31</f>
        <v>0.28860600544494586</v>
      </c>
      <c r="BU26" s="273">
        <f>BV26/$D26</f>
        <v>718.06500377928944</v>
      </c>
      <c r="BV26" s="274">
        <f>$F26/20</f>
        <v>3657500</v>
      </c>
      <c r="BW26" s="275">
        <f>BV26/BV31</f>
        <v>0.28860600544494586</v>
      </c>
      <c r="BY26" s="273">
        <f>BZ26/$D26</f>
        <v>718.06500377928944</v>
      </c>
      <c r="BZ26" s="274">
        <f>$F26/20</f>
        <v>3657500</v>
      </c>
      <c r="CA26" s="275">
        <f>BZ26/BZ31</f>
        <v>0.28860600544494586</v>
      </c>
      <c r="CC26" s="273">
        <f>CD26/$D26</f>
        <v>718.06500377928944</v>
      </c>
      <c r="CD26" s="274">
        <f>$F26/20</f>
        <v>3657500</v>
      </c>
      <c r="CE26" s="275">
        <f>CD26/CD31</f>
        <v>0.28860600544494586</v>
      </c>
      <c r="CG26" s="273">
        <f>CH26/$D26</f>
        <v>718.06500377928944</v>
      </c>
      <c r="CH26" s="274">
        <f>$F26/20</f>
        <v>3657500</v>
      </c>
      <c r="CI26" s="275">
        <f>CH26/CH31</f>
        <v>0.28860600544494586</v>
      </c>
    </row>
    <row r="27" spans="2:87">
      <c r="B27" s="471"/>
      <c r="C27" s="288" t="s">
        <v>175</v>
      </c>
      <c r="D27" s="289">
        <f t="shared" ref="D27:D30" si="62">D20+(D20*5%)</f>
        <v>1620.675</v>
      </c>
      <c r="E27" s="302">
        <v>13182.161753590322</v>
      </c>
      <c r="F27" s="303">
        <v>21363999.999999996</v>
      </c>
      <c r="G27" s="304">
        <v>0.23457523282271078</v>
      </c>
      <c r="I27" s="293">
        <f>J27/$D27</f>
        <v>659.10808767951607</v>
      </c>
      <c r="J27" s="294">
        <f>$F27/20</f>
        <v>1068199.9999999998</v>
      </c>
      <c r="K27" s="295">
        <f>J27/J31</f>
        <v>8.4289524269662644E-2</v>
      </c>
      <c r="M27" s="293">
        <f>N27/$D27</f>
        <v>659.10808767951607</v>
      </c>
      <c r="N27" s="294">
        <f>$F27/20</f>
        <v>1068199.9999999998</v>
      </c>
      <c r="O27" s="295">
        <f>N27/N31</f>
        <v>8.4289524269662644E-2</v>
      </c>
      <c r="Q27" s="293">
        <f>R27/$D27</f>
        <v>659.10808767951607</v>
      </c>
      <c r="R27" s="294">
        <f>$F27/20</f>
        <v>1068199.9999999998</v>
      </c>
      <c r="S27" s="295">
        <f>R27/R31</f>
        <v>8.4289524269662644E-2</v>
      </c>
      <c r="U27" s="293">
        <f>V27/$D27</f>
        <v>659.10808767951607</v>
      </c>
      <c r="V27" s="294">
        <f>$F27/20</f>
        <v>1068199.9999999998</v>
      </c>
      <c r="W27" s="295">
        <f>V27/V31</f>
        <v>8.4289524269662644E-2</v>
      </c>
      <c r="Y27" s="293">
        <f>Z27/$D27</f>
        <v>659.10808767951607</v>
      </c>
      <c r="Z27" s="294">
        <f>$F27/20</f>
        <v>1068199.9999999998</v>
      </c>
      <c r="AA27" s="295">
        <f>Z27/Z31</f>
        <v>8.4289524269662644E-2</v>
      </c>
      <c r="AC27" s="293">
        <f>AD27/$D27</f>
        <v>659.10808767951607</v>
      </c>
      <c r="AD27" s="294">
        <f>$F27/20</f>
        <v>1068199.9999999998</v>
      </c>
      <c r="AE27" s="295">
        <f>AD27/AD31</f>
        <v>8.4289524269662644E-2</v>
      </c>
      <c r="AG27" s="293">
        <f>AH27/$D27</f>
        <v>659.10808767951607</v>
      </c>
      <c r="AH27" s="294">
        <f>$F27/20</f>
        <v>1068199.9999999998</v>
      </c>
      <c r="AI27" s="295">
        <f>AH27/AH31</f>
        <v>8.4289524269662644E-2</v>
      </c>
      <c r="AK27" s="293">
        <f>AL27/$D27</f>
        <v>659.10808767951607</v>
      </c>
      <c r="AL27" s="294">
        <f>$F27/20</f>
        <v>1068199.9999999998</v>
      </c>
      <c r="AM27" s="295">
        <f>AL27/AL31</f>
        <v>8.4289524269662644E-2</v>
      </c>
      <c r="AO27" s="293">
        <f>AP27/$D27</f>
        <v>659.10808767951607</v>
      </c>
      <c r="AP27" s="294">
        <f>$F27/20</f>
        <v>1068199.9999999998</v>
      </c>
      <c r="AQ27" s="295">
        <f>AP27/AP31</f>
        <v>8.4289524269662644E-2</v>
      </c>
      <c r="AS27" s="293">
        <f>AT27/$D27</f>
        <v>659.10808767951607</v>
      </c>
      <c r="AT27" s="294">
        <f>$F27/20</f>
        <v>1068199.9999999998</v>
      </c>
      <c r="AU27" s="295">
        <f>AT27/AT31</f>
        <v>8.4289524269662644E-2</v>
      </c>
      <c r="AW27" s="293">
        <f>AX27/$D27</f>
        <v>659.10808767951607</v>
      </c>
      <c r="AX27" s="294">
        <f>$F27/20</f>
        <v>1068199.9999999998</v>
      </c>
      <c r="AY27" s="295">
        <f>AX27/AX31</f>
        <v>8.4289524269662644E-2</v>
      </c>
      <c r="BA27" s="293">
        <f>BB27/$D27</f>
        <v>659.10808767951607</v>
      </c>
      <c r="BB27" s="294">
        <f>$F27/20</f>
        <v>1068199.9999999998</v>
      </c>
      <c r="BC27" s="295">
        <f>BB27/BB31</f>
        <v>8.4289524269662644E-2</v>
      </c>
      <c r="BE27" s="293">
        <f>BF27/$D27</f>
        <v>659.10808767951607</v>
      </c>
      <c r="BF27" s="294">
        <f>$F27/20</f>
        <v>1068199.9999999998</v>
      </c>
      <c r="BG27" s="295">
        <f>BF27/BF31</f>
        <v>8.4289524269662644E-2</v>
      </c>
      <c r="BI27" s="293">
        <f>BJ27/$D27</f>
        <v>659.10808767951607</v>
      </c>
      <c r="BJ27" s="294">
        <f>$F27/20</f>
        <v>1068199.9999999998</v>
      </c>
      <c r="BK27" s="295">
        <f>BJ27/BJ31</f>
        <v>8.4289524269662644E-2</v>
      </c>
      <c r="BM27" s="293">
        <f>BN27/$D27</f>
        <v>659.10808767951607</v>
      </c>
      <c r="BN27" s="294">
        <f>$F27/20</f>
        <v>1068199.9999999998</v>
      </c>
      <c r="BO27" s="295">
        <f>BN27/BN31</f>
        <v>8.4289524269662644E-2</v>
      </c>
      <c r="BQ27" s="293">
        <f>BR27/$D27</f>
        <v>659.10808767951607</v>
      </c>
      <c r="BR27" s="294">
        <f>$F27/20</f>
        <v>1068199.9999999998</v>
      </c>
      <c r="BS27" s="295">
        <f>BR27/BR31</f>
        <v>8.4289524269662644E-2</v>
      </c>
      <c r="BU27" s="293">
        <f>BV27/$D27</f>
        <v>659.10808767951607</v>
      </c>
      <c r="BV27" s="294">
        <f>$F27/20</f>
        <v>1068199.9999999998</v>
      </c>
      <c r="BW27" s="295">
        <f>BV27/BV31</f>
        <v>8.4289524269662644E-2</v>
      </c>
      <c r="BY27" s="293">
        <f>BZ27/$D27</f>
        <v>659.10808767951607</v>
      </c>
      <c r="BZ27" s="294">
        <f>$F27/20</f>
        <v>1068199.9999999998</v>
      </c>
      <c r="CA27" s="295">
        <f>BZ27/BZ31</f>
        <v>8.4289524269662644E-2</v>
      </c>
      <c r="CC27" s="293">
        <f>CD27/$D27</f>
        <v>659.10808767951607</v>
      </c>
      <c r="CD27" s="294">
        <f>$F27/20</f>
        <v>1068199.9999999998</v>
      </c>
      <c r="CE27" s="295">
        <f>CD27/CD31</f>
        <v>8.4289524269662644E-2</v>
      </c>
      <c r="CG27" s="293">
        <f>CH27/$D27</f>
        <v>659.10808767951607</v>
      </c>
      <c r="CH27" s="294">
        <f>$F27/20</f>
        <v>1068199.9999999998</v>
      </c>
      <c r="CI27" s="295">
        <f>CH27/CH31</f>
        <v>8.4289524269662644E-2</v>
      </c>
    </row>
    <row r="28" spans="2:87">
      <c r="B28" s="471"/>
      <c r="C28" s="288" t="s">
        <v>176</v>
      </c>
      <c r="D28" s="289">
        <f t="shared" si="62"/>
        <v>3241.35</v>
      </c>
      <c r="E28" s="302">
        <v>5291.0052910052909</v>
      </c>
      <c r="F28" s="303">
        <v>17150000</v>
      </c>
      <c r="G28" s="304">
        <v>0.23457523282271081</v>
      </c>
      <c r="I28" s="293">
        <f t="shared" ref="I28:I31" si="63">J28/$D28</f>
        <v>264.55026455026456</v>
      </c>
      <c r="J28" s="294">
        <f>$F28/20</f>
        <v>857500</v>
      </c>
      <c r="K28" s="295">
        <f>J28/J31</f>
        <v>6.7663608932068645E-2</v>
      </c>
      <c r="M28" s="293">
        <f t="shared" ref="M28:M31" si="64">N28/$D28</f>
        <v>264.55026455026456</v>
      </c>
      <c r="N28" s="294">
        <f>$F28/20</f>
        <v>857500</v>
      </c>
      <c r="O28" s="295">
        <f>N28/N31</f>
        <v>6.7663608932068645E-2</v>
      </c>
      <c r="Q28" s="293">
        <f t="shared" ref="Q28:Q31" si="65">R28/$D28</f>
        <v>264.55026455026456</v>
      </c>
      <c r="R28" s="294">
        <f>$F28/20</f>
        <v>857500</v>
      </c>
      <c r="S28" s="295">
        <f>R28/R31</f>
        <v>6.7663608932068645E-2</v>
      </c>
      <c r="U28" s="293">
        <f t="shared" ref="U28:U31" si="66">V28/$D28</f>
        <v>264.55026455026456</v>
      </c>
      <c r="V28" s="294">
        <f>$F28/20</f>
        <v>857500</v>
      </c>
      <c r="W28" s="295">
        <f>V28/V31</f>
        <v>6.7663608932068645E-2</v>
      </c>
      <c r="Y28" s="293">
        <f t="shared" ref="Y28:Y31" si="67">Z28/$D28</f>
        <v>264.55026455026456</v>
      </c>
      <c r="Z28" s="294">
        <f>$F28/20</f>
        <v>857500</v>
      </c>
      <c r="AA28" s="295">
        <f>Z28/Z31</f>
        <v>6.7663608932068645E-2</v>
      </c>
      <c r="AC28" s="293">
        <f t="shared" ref="AC28:AC31" si="68">AD28/$D28</f>
        <v>264.55026455026456</v>
      </c>
      <c r="AD28" s="294">
        <f>$F28/20</f>
        <v>857500</v>
      </c>
      <c r="AE28" s="295">
        <f>AD28/AD31</f>
        <v>6.7663608932068645E-2</v>
      </c>
      <c r="AG28" s="293">
        <f t="shared" ref="AG28:AG31" si="69">AH28/$D28</f>
        <v>264.55026455026456</v>
      </c>
      <c r="AH28" s="294">
        <f>$F28/20</f>
        <v>857500</v>
      </c>
      <c r="AI28" s="295">
        <f>AH28/AH31</f>
        <v>6.7663608932068645E-2</v>
      </c>
      <c r="AK28" s="293">
        <f t="shared" ref="AK28:AK31" si="70">AL28/$D28</f>
        <v>264.55026455026456</v>
      </c>
      <c r="AL28" s="294">
        <f>$F28/20</f>
        <v>857500</v>
      </c>
      <c r="AM28" s="295">
        <f>AL28/AL31</f>
        <v>6.7663608932068645E-2</v>
      </c>
      <c r="AO28" s="293">
        <f t="shared" ref="AO28:AO31" si="71">AP28/$D28</f>
        <v>264.55026455026456</v>
      </c>
      <c r="AP28" s="294">
        <f>$F28/20</f>
        <v>857500</v>
      </c>
      <c r="AQ28" s="295">
        <f>AP28/AP31</f>
        <v>6.7663608932068645E-2</v>
      </c>
      <c r="AS28" s="293">
        <f t="shared" ref="AS28:AS31" si="72">AT28/$D28</f>
        <v>264.55026455026456</v>
      </c>
      <c r="AT28" s="294">
        <f>$F28/20</f>
        <v>857500</v>
      </c>
      <c r="AU28" s="295">
        <f>AT28/AT31</f>
        <v>6.7663608932068645E-2</v>
      </c>
      <c r="AW28" s="293">
        <f t="shared" ref="AW28:AW31" si="73">AX28/$D28</f>
        <v>264.55026455026456</v>
      </c>
      <c r="AX28" s="294">
        <f>$F28/20</f>
        <v>857500</v>
      </c>
      <c r="AY28" s="295">
        <f>AX28/AX31</f>
        <v>6.7663608932068645E-2</v>
      </c>
      <c r="BA28" s="293">
        <f t="shared" ref="BA28:BA31" si="74">BB28/$D28</f>
        <v>264.55026455026456</v>
      </c>
      <c r="BB28" s="294">
        <f>$F28/20</f>
        <v>857500</v>
      </c>
      <c r="BC28" s="295">
        <f>BB28/BB31</f>
        <v>6.7663608932068645E-2</v>
      </c>
      <c r="BE28" s="293">
        <f t="shared" ref="BE28:BE31" si="75">BF28/$D28</f>
        <v>264.55026455026456</v>
      </c>
      <c r="BF28" s="294">
        <f>$F28/20</f>
        <v>857500</v>
      </c>
      <c r="BG28" s="295">
        <f>BF28/BF31</f>
        <v>6.7663608932068645E-2</v>
      </c>
      <c r="BI28" s="293">
        <f t="shared" ref="BI28:BI31" si="76">BJ28/$D28</f>
        <v>264.55026455026456</v>
      </c>
      <c r="BJ28" s="294">
        <f>$F28/20</f>
        <v>857500</v>
      </c>
      <c r="BK28" s="295">
        <f>BJ28/BJ31</f>
        <v>6.7663608932068645E-2</v>
      </c>
      <c r="BM28" s="293">
        <f t="shared" ref="BM28:BM31" si="77">BN28/$D28</f>
        <v>264.55026455026456</v>
      </c>
      <c r="BN28" s="294">
        <f>$F28/20</f>
        <v>857500</v>
      </c>
      <c r="BO28" s="295">
        <f>BN28/BN31</f>
        <v>6.7663608932068645E-2</v>
      </c>
      <c r="BQ28" s="293">
        <f t="shared" ref="BQ28:BQ31" si="78">BR28/$D28</f>
        <v>264.55026455026456</v>
      </c>
      <c r="BR28" s="294">
        <f>$F28/20</f>
        <v>857500</v>
      </c>
      <c r="BS28" s="295">
        <f>BR28/BR31</f>
        <v>6.7663608932068645E-2</v>
      </c>
      <c r="BU28" s="293">
        <f t="shared" ref="BU28:BU31" si="79">BV28/$D28</f>
        <v>264.55026455026456</v>
      </c>
      <c r="BV28" s="294">
        <f>$F28/20</f>
        <v>857500</v>
      </c>
      <c r="BW28" s="295">
        <f>BV28/BV31</f>
        <v>6.7663608932068645E-2</v>
      </c>
      <c r="BY28" s="293">
        <f t="shared" ref="BY28:BY31" si="80">BZ28/$D28</f>
        <v>264.55026455026456</v>
      </c>
      <c r="BZ28" s="294">
        <f>$F28/20</f>
        <v>857500</v>
      </c>
      <c r="CA28" s="295">
        <f>BZ28/BZ31</f>
        <v>6.7663608932068645E-2</v>
      </c>
      <c r="CC28" s="293">
        <f t="shared" ref="CC28:CC31" si="81">CD28/$D28</f>
        <v>264.55026455026456</v>
      </c>
      <c r="CD28" s="294">
        <f>$F28/20</f>
        <v>857500</v>
      </c>
      <c r="CE28" s="295">
        <f>CD28/CD31</f>
        <v>6.7663608932068645E-2</v>
      </c>
      <c r="CG28" s="293">
        <f t="shared" ref="CG28:CG31" si="82">CH28/$D28</f>
        <v>264.55026455026456</v>
      </c>
      <c r="CH28" s="294">
        <f>$F28/20</f>
        <v>857500</v>
      </c>
      <c r="CI28" s="295">
        <f>CH28/CH31</f>
        <v>6.7663608932068645E-2</v>
      </c>
    </row>
    <row r="29" spans="2:87">
      <c r="B29" s="471"/>
      <c r="C29" s="288" t="s">
        <v>177</v>
      </c>
      <c r="D29" s="289">
        <f t="shared" si="62"/>
        <v>6019.65</v>
      </c>
      <c r="E29" s="302">
        <v>8949.3575207860922</v>
      </c>
      <c r="F29" s="303">
        <v>53872000</v>
      </c>
      <c r="G29" s="304">
        <v>0.23457523282271081</v>
      </c>
      <c r="I29" s="293">
        <f t="shared" si="63"/>
        <v>447.46787603930466</v>
      </c>
      <c r="J29" s="294">
        <f>$F29/20</f>
        <v>2693600</v>
      </c>
      <c r="K29" s="295">
        <f>J29/J31</f>
        <v>0.2125465854453879</v>
      </c>
      <c r="M29" s="293">
        <f t="shared" si="64"/>
        <v>447.46787603930466</v>
      </c>
      <c r="N29" s="294">
        <f>$F29/20</f>
        <v>2693600</v>
      </c>
      <c r="O29" s="295">
        <f>N29/N31</f>
        <v>0.2125465854453879</v>
      </c>
      <c r="Q29" s="293">
        <f t="shared" si="65"/>
        <v>447.46787603930466</v>
      </c>
      <c r="R29" s="294">
        <f>$F29/20</f>
        <v>2693600</v>
      </c>
      <c r="S29" s="295">
        <f>R29/R31</f>
        <v>0.2125465854453879</v>
      </c>
      <c r="U29" s="293">
        <f t="shared" si="66"/>
        <v>447.46787603930466</v>
      </c>
      <c r="V29" s="294">
        <f>$F29/20</f>
        <v>2693600</v>
      </c>
      <c r="W29" s="295">
        <f>V29/V31</f>
        <v>0.2125465854453879</v>
      </c>
      <c r="Y29" s="293">
        <f t="shared" si="67"/>
        <v>447.46787603930466</v>
      </c>
      <c r="Z29" s="294">
        <f>$F29/20</f>
        <v>2693600</v>
      </c>
      <c r="AA29" s="295">
        <f>Z29/Z31</f>
        <v>0.2125465854453879</v>
      </c>
      <c r="AC29" s="293">
        <f t="shared" si="68"/>
        <v>447.46787603930466</v>
      </c>
      <c r="AD29" s="294">
        <f>$F29/20</f>
        <v>2693600</v>
      </c>
      <c r="AE29" s="295">
        <f>AD29/AD31</f>
        <v>0.2125465854453879</v>
      </c>
      <c r="AG29" s="293">
        <f t="shared" si="69"/>
        <v>447.46787603930466</v>
      </c>
      <c r="AH29" s="294">
        <f>$F29/20</f>
        <v>2693600</v>
      </c>
      <c r="AI29" s="295">
        <f>AH29/AH31</f>
        <v>0.2125465854453879</v>
      </c>
      <c r="AK29" s="293">
        <f t="shared" si="70"/>
        <v>447.46787603930466</v>
      </c>
      <c r="AL29" s="294">
        <f>$F29/20</f>
        <v>2693600</v>
      </c>
      <c r="AM29" s="295">
        <f>AL29/AL31</f>
        <v>0.2125465854453879</v>
      </c>
      <c r="AO29" s="293">
        <f t="shared" si="71"/>
        <v>447.46787603930466</v>
      </c>
      <c r="AP29" s="294">
        <f>$F29/20</f>
        <v>2693600</v>
      </c>
      <c r="AQ29" s="295">
        <f>AP29/AP31</f>
        <v>0.2125465854453879</v>
      </c>
      <c r="AS29" s="293">
        <f t="shared" si="72"/>
        <v>447.46787603930466</v>
      </c>
      <c r="AT29" s="294">
        <f>$F29/20</f>
        <v>2693600</v>
      </c>
      <c r="AU29" s="295">
        <f>AT29/AT31</f>
        <v>0.2125465854453879</v>
      </c>
      <c r="AW29" s="293">
        <f t="shared" si="73"/>
        <v>447.46787603930466</v>
      </c>
      <c r="AX29" s="294">
        <f>$F29/20</f>
        <v>2693600</v>
      </c>
      <c r="AY29" s="295">
        <f>AX29/AX31</f>
        <v>0.2125465854453879</v>
      </c>
      <c r="BA29" s="293">
        <f t="shared" si="74"/>
        <v>447.46787603930466</v>
      </c>
      <c r="BB29" s="294">
        <f>$F29/20</f>
        <v>2693600</v>
      </c>
      <c r="BC29" s="295">
        <f>BB29/BB31</f>
        <v>0.2125465854453879</v>
      </c>
      <c r="BE29" s="293">
        <f t="shared" si="75"/>
        <v>447.46787603930466</v>
      </c>
      <c r="BF29" s="294">
        <f>$F29/20</f>
        <v>2693600</v>
      </c>
      <c r="BG29" s="295">
        <f>BF29/BF31</f>
        <v>0.2125465854453879</v>
      </c>
      <c r="BI29" s="293">
        <f t="shared" si="76"/>
        <v>447.46787603930466</v>
      </c>
      <c r="BJ29" s="294">
        <f>$F29/20</f>
        <v>2693600</v>
      </c>
      <c r="BK29" s="295">
        <f>BJ29/BJ31</f>
        <v>0.2125465854453879</v>
      </c>
      <c r="BM29" s="293">
        <f t="shared" si="77"/>
        <v>447.46787603930466</v>
      </c>
      <c r="BN29" s="294">
        <f>$F29/20</f>
        <v>2693600</v>
      </c>
      <c r="BO29" s="295">
        <f>BN29/BN31</f>
        <v>0.2125465854453879</v>
      </c>
      <c r="BQ29" s="293">
        <f t="shared" si="78"/>
        <v>447.46787603930466</v>
      </c>
      <c r="BR29" s="294">
        <f>$F29/20</f>
        <v>2693600</v>
      </c>
      <c r="BS29" s="295">
        <f>BR29/BR31</f>
        <v>0.2125465854453879</v>
      </c>
      <c r="BU29" s="293">
        <f t="shared" si="79"/>
        <v>447.46787603930466</v>
      </c>
      <c r="BV29" s="294">
        <f>$F29/20</f>
        <v>2693600</v>
      </c>
      <c r="BW29" s="295">
        <f>BV29/BV31</f>
        <v>0.2125465854453879</v>
      </c>
      <c r="BY29" s="293">
        <f t="shared" si="80"/>
        <v>447.46787603930466</v>
      </c>
      <c r="BZ29" s="294">
        <f>$F29/20</f>
        <v>2693600</v>
      </c>
      <c r="CA29" s="295">
        <f>BZ29/BZ31</f>
        <v>0.2125465854453879</v>
      </c>
      <c r="CC29" s="293">
        <f t="shared" si="81"/>
        <v>447.46787603930466</v>
      </c>
      <c r="CD29" s="294">
        <f>$F29/20</f>
        <v>2693600</v>
      </c>
      <c r="CE29" s="295">
        <f>CD29/CD31</f>
        <v>0.2125465854453879</v>
      </c>
      <c r="CG29" s="293">
        <f t="shared" si="82"/>
        <v>447.46787603930466</v>
      </c>
      <c r="CH29" s="294">
        <f>$F29/20</f>
        <v>2693600</v>
      </c>
      <c r="CI29" s="295">
        <f>CH29/CH31</f>
        <v>0.2125465854453879</v>
      </c>
    </row>
    <row r="30" spans="2:87">
      <c r="B30" s="471"/>
      <c r="C30" s="288" t="s">
        <v>248</v>
      </c>
      <c r="D30" s="289">
        <f t="shared" si="62"/>
        <v>810.33749999999998</v>
      </c>
      <c r="E30" s="302">
        <v>5351.4739229024945</v>
      </c>
      <c r="F30" s="303">
        <v>4336500</v>
      </c>
      <c r="G30" s="304">
        <v>0.23457523282271084</v>
      </c>
      <c r="I30" s="293">
        <f t="shared" si="63"/>
        <v>267.5736961451247</v>
      </c>
      <c r="J30" s="294">
        <f>$F30/20</f>
        <v>216825</v>
      </c>
      <c r="K30" s="295">
        <f>J30/J31</f>
        <v>1.7109226829965931E-2</v>
      </c>
      <c r="M30" s="293">
        <f t="shared" si="64"/>
        <v>267.5736961451247</v>
      </c>
      <c r="N30" s="294">
        <f>$F30/20</f>
        <v>216825</v>
      </c>
      <c r="O30" s="295">
        <f>N30/N31</f>
        <v>1.7109226829965931E-2</v>
      </c>
      <c r="Q30" s="293">
        <f t="shared" si="65"/>
        <v>267.5736961451247</v>
      </c>
      <c r="R30" s="294">
        <f>$F30/20</f>
        <v>216825</v>
      </c>
      <c r="S30" s="295">
        <f>R30/R31</f>
        <v>1.7109226829965931E-2</v>
      </c>
      <c r="U30" s="293">
        <f t="shared" si="66"/>
        <v>267.5736961451247</v>
      </c>
      <c r="V30" s="294">
        <f>$F30/20</f>
        <v>216825</v>
      </c>
      <c r="W30" s="295">
        <f>V30/V31</f>
        <v>1.7109226829965931E-2</v>
      </c>
      <c r="Y30" s="293">
        <f t="shared" si="67"/>
        <v>267.5736961451247</v>
      </c>
      <c r="Z30" s="294">
        <f>$F30/20</f>
        <v>216825</v>
      </c>
      <c r="AA30" s="295">
        <f>Z30/Z31</f>
        <v>1.7109226829965931E-2</v>
      </c>
      <c r="AC30" s="293">
        <f t="shared" si="68"/>
        <v>267.5736961451247</v>
      </c>
      <c r="AD30" s="294">
        <f>$F30/20</f>
        <v>216825</v>
      </c>
      <c r="AE30" s="295">
        <f>AD30/AD31</f>
        <v>1.7109226829965931E-2</v>
      </c>
      <c r="AG30" s="293">
        <f t="shared" si="69"/>
        <v>267.5736961451247</v>
      </c>
      <c r="AH30" s="294">
        <f>$F30/20</f>
        <v>216825</v>
      </c>
      <c r="AI30" s="295">
        <f>AH30/AH31</f>
        <v>1.7109226829965931E-2</v>
      </c>
      <c r="AK30" s="293">
        <f t="shared" si="70"/>
        <v>267.5736961451247</v>
      </c>
      <c r="AL30" s="294">
        <f>$F30/20</f>
        <v>216825</v>
      </c>
      <c r="AM30" s="295">
        <f>AL30/AL31</f>
        <v>1.7109226829965931E-2</v>
      </c>
      <c r="AO30" s="293">
        <f t="shared" si="71"/>
        <v>267.5736961451247</v>
      </c>
      <c r="AP30" s="294">
        <f>$F30/20</f>
        <v>216825</v>
      </c>
      <c r="AQ30" s="295">
        <f>AP30/AP31</f>
        <v>1.7109226829965931E-2</v>
      </c>
      <c r="AS30" s="293">
        <f t="shared" si="72"/>
        <v>267.5736961451247</v>
      </c>
      <c r="AT30" s="294">
        <f>$F30/20</f>
        <v>216825</v>
      </c>
      <c r="AU30" s="295">
        <f>AT30/AT31</f>
        <v>1.7109226829965931E-2</v>
      </c>
      <c r="AW30" s="293">
        <f t="shared" si="73"/>
        <v>267.5736961451247</v>
      </c>
      <c r="AX30" s="294">
        <f>$F30/20</f>
        <v>216825</v>
      </c>
      <c r="AY30" s="295">
        <f>AX30/AX31</f>
        <v>1.7109226829965931E-2</v>
      </c>
      <c r="BA30" s="293">
        <f t="shared" si="74"/>
        <v>267.5736961451247</v>
      </c>
      <c r="BB30" s="294">
        <f>$F30/20</f>
        <v>216825</v>
      </c>
      <c r="BC30" s="295">
        <f>BB30/BB31</f>
        <v>1.7109226829965931E-2</v>
      </c>
      <c r="BE30" s="293">
        <f t="shared" si="75"/>
        <v>267.5736961451247</v>
      </c>
      <c r="BF30" s="294">
        <f>$F30/20</f>
        <v>216825</v>
      </c>
      <c r="BG30" s="295">
        <f>BF30/BF31</f>
        <v>1.7109226829965931E-2</v>
      </c>
      <c r="BI30" s="293">
        <f t="shared" si="76"/>
        <v>267.5736961451247</v>
      </c>
      <c r="BJ30" s="294">
        <f>$F30/20</f>
        <v>216825</v>
      </c>
      <c r="BK30" s="295">
        <f>BJ30/BJ31</f>
        <v>1.7109226829965931E-2</v>
      </c>
      <c r="BM30" s="293">
        <f t="shared" si="77"/>
        <v>267.5736961451247</v>
      </c>
      <c r="BN30" s="294">
        <f>$F30/20</f>
        <v>216825</v>
      </c>
      <c r="BO30" s="295">
        <f>BN30/BN31</f>
        <v>1.7109226829965931E-2</v>
      </c>
      <c r="BQ30" s="293">
        <f t="shared" si="78"/>
        <v>267.5736961451247</v>
      </c>
      <c r="BR30" s="294">
        <f>$F30/20</f>
        <v>216825</v>
      </c>
      <c r="BS30" s="295">
        <f>BR30/BR31</f>
        <v>1.7109226829965931E-2</v>
      </c>
      <c r="BU30" s="293">
        <f t="shared" si="79"/>
        <v>267.5736961451247</v>
      </c>
      <c r="BV30" s="294">
        <f>$F30/20</f>
        <v>216825</v>
      </c>
      <c r="BW30" s="295">
        <f>BV30/BV31</f>
        <v>1.7109226829965931E-2</v>
      </c>
      <c r="BY30" s="293">
        <f t="shared" si="80"/>
        <v>267.5736961451247</v>
      </c>
      <c r="BZ30" s="294">
        <f>$F30/20</f>
        <v>216825</v>
      </c>
      <c r="CA30" s="295">
        <f>BZ30/BZ31</f>
        <v>1.7109226829965931E-2</v>
      </c>
      <c r="CC30" s="293">
        <f t="shared" si="81"/>
        <v>267.5736961451247</v>
      </c>
      <c r="CD30" s="294">
        <f>$F30/20</f>
        <v>216825</v>
      </c>
      <c r="CE30" s="295">
        <f>CD30/CD31</f>
        <v>1.7109226829965931E-2</v>
      </c>
      <c r="CG30" s="293">
        <f t="shared" si="82"/>
        <v>267.5736961451247</v>
      </c>
      <c r="CH30" s="294">
        <f>$F30/20</f>
        <v>216825</v>
      </c>
      <c r="CI30" s="295">
        <f>CH30/CH31</f>
        <v>1.7109226829965931E-2</v>
      </c>
    </row>
    <row r="31" spans="2:87" ht="19.5" customHeight="1" thickBot="1">
      <c r="B31" s="472"/>
      <c r="C31" s="473" t="s">
        <v>270</v>
      </c>
      <c r="D31" s="474"/>
      <c r="E31" s="320">
        <v>47135.29856386999</v>
      </c>
      <c r="F31" s="321">
        <v>253459729.24999997</v>
      </c>
      <c r="G31" s="322">
        <v>0.35</v>
      </c>
      <c r="I31" s="311">
        <f>SUM(I26:I30)</f>
        <v>2356.7649281934996</v>
      </c>
      <c r="J31" s="312">
        <f>$F31/20</f>
        <v>12672986.462499999</v>
      </c>
      <c r="K31" s="313">
        <v>0.35</v>
      </c>
      <c r="M31" s="311">
        <f>SUM(M26:M30)</f>
        <v>2356.7649281934996</v>
      </c>
      <c r="N31" s="312">
        <f>$F31/20</f>
        <v>12672986.462499999</v>
      </c>
      <c r="O31" s="313">
        <v>0.35</v>
      </c>
      <c r="Q31" s="311">
        <f>SUM(Q26:Q30)</f>
        <v>2356.7649281934996</v>
      </c>
      <c r="R31" s="312">
        <f>$F31/20</f>
        <v>12672986.462499999</v>
      </c>
      <c r="S31" s="313">
        <v>0.35</v>
      </c>
      <c r="U31" s="311">
        <f>SUM(U26:U30)</f>
        <v>2356.7649281934996</v>
      </c>
      <c r="V31" s="312">
        <f>$F31/20</f>
        <v>12672986.462499999</v>
      </c>
      <c r="W31" s="313">
        <v>0.35</v>
      </c>
      <c r="Y31" s="311">
        <f>SUM(Y26:Y30)</f>
        <v>2356.7649281934996</v>
      </c>
      <c r="Z31" s="312">
        <f>$F31/20</f>
        <v>12672986.462499999</v>
      </c>
      <c r="AA31" s="313">
        <v>0.35</v>
      </c>
      <c r="AC31" s="311">
        <f>SUM(AC26:AC30)</f>
        <v>2356.7649281934996</v>
      </c>
      <c r="AD31" s="312">
        <f>$F31/20</f>
        <v>12672986.462499999</v>
      </c>
      <c r="AE31" s="313">
        <v>0.35</v>
      </c>
      <c r="AG31" s="311">
        <f>SUM(AG26:AG30)</f>
        <v>2356.7649281934996</v>
      </c>
      <c r="AH31" s="312">
        <f>$F31/20</f>
        <v>12672986.462499999</v>
      </c>
      <c r="AI31" s="313">
        <v>0.35</v>
      </c>
      <c r="AK31" s="311">
        <f>SUM(AK26:AK30)</f>
        <v>2356.7649281934996</v>
      </c>
      <c r="AL31" s="312">
        <f>$F31/20</f>
        <v>12672986.462499999</v>
      </c>
      <c r="AM31" s="313">
        <v>0.35</v>
      </c>
      <c r="AO31" s="311">
        <f>SUM(AO26:AO30)</f>
        <v>2356.7649281934996</v>
      </c>
      <c r="AP31" s="312">
        <f>$F31/20</f>
        <v>12672986.462499999</v>
      </c>
      <c r="AQ31" s="313">
        <v>0.35</v>
      </c>
      <c r="AS31" s="311">
        <f>SUM(AS26:AS30)</f>
        <v>2356.7649281934996</v>
      </c>
      <c r="AT31" s="312">
        <f>$F31/20</f>
        <v>12672986.462499999</v>
      </c>
      <c r="AU31" s="313">
        <v>0.35</v>
      </c>
      <c r="AW31" s="311">
        <f>SUM(AW26:AW30)</f>
        <v>2356.7649281934996</v>
      </c>
      <c r="AX31" s="312">
        <f>$F31/20</f>
        <v>12672986.462499999</v>
      </c>
      <c r="AY31" s="313">
        <v>0.35</v>
      </c>
      <c r="BA31" s="311">
        <f>SUM(BA26:BA30)</f>
        <v>2356.7649281934996</v>
      </c>
      <c r="BB31" s="312">
        <f>$F31/20</f>
        <v>12672986.462499999</v>
      </c>
      <c r="BC31" s="313">
        <v>0.35</v>
      </c>
      <c r="BE31" s="311">
        <f>SUM(BE26:BE30)</f>
        <v>2356.7649281934996</v>
      </c>
      <c r="BF31" s="312">
        <f>$F31/20</f>
        <v>12672986.462499999</v>
      </c>
      <c r="BG31" s="313">
        <v>0.35</v>
      </c>
      <c r="BI31" s="311">
        <f>SUM(BI26:BI30)</f>
        <v>2356.7649281934996</v>
      </c>
      <c r="BJ31" s="312">
        <f>$F31/20</f>
        <v>12672986.462499999</v>
      </c>
      <c r="BK31" s="313">
        <v>0.35</v>
      </c>
      <c r="BM31" s="311">
        <f>SUM(BM26:BM30)</f>
        <v>2356.7649281934996</v>
      </c>
      <c r="BN31" s="312">
        <f>$F31/20</f>
        <v>12672986.462499999</v>
      </c>
      <c r="BO31" s="313">
        <v>0.35</v>
      </c>
      <c r="BQ31" s="311">
        <f>SUM(BQ26:BQ30)</f>
        <v>2356.7649281934996</v>
      </c>
      <c r="BR31" s="312">
        <f>$F31/20</f>
        <v>12672986.462499999</v>
      </c>
      <c r="BS31" s="313">
        <v>0.35</v>
      </c>
      <c r="BU31" s="311">
        <f>SUM(BU26:BU30)</f>
        <v>2356.7649281934996</v>
      </c>
      <c r="BV31" s="312">
        <f>$F31/20</f>
        <v>12672986.462499999</v>
      </c>
      <c r="BW31" s="313">
        <v>0.35</v>
      </c>
      <c r="BY31" s="311">
        <f>SUM(BY26:BY30)</f>
        <v>2356.7649281934996</v>
      </c>
      <c r="BZ31" s="312">
        <f>$F31/20</f>
        <v>12672986.462499999</v>
      </c>
      <c r="CA31" s="313">
        <v>0.35</v>
      </c>
      <c r="CC31" s="311">
        <f>SUM(CC26:CC30)</f>
        <v>2356.7649281934996</v>
      </c>
      <c r="CD31" s="312">
        <f>$F31/20</f>
        <v>12672986.462499999</v>
      </c>
      <c r="CE31" s="313">
        <v>0.35</v>
      </c>
      <c r="CG31" s="311">
        <f>SUM(CG26:CG30)</f>
        <v>2356.7649281934996</v>
      </c>
      <c r="CH31" s="312">
        <f>$F31/20</f>
        <v>12672986.462499999</v>
      </c>
      <c r="CI31" s="313">
        <v>0.35</v>
      </c>
    </row>
    <row r="32" spans="2:87" ht="5.25" customHeight="1" thickBot="1">
      <c r="C32" s="326"/>
      <c r="D32" s="326"/>
    </row>
    <row r="33" spans="2:87">
      <c r="B33" s="470" t="s">
        <v>274</v>
      </c>
      <c r="C33" s="268" t="s">
        <v>269</v>
      </c>
      <c r="D33" s="269">
        <f>D26+(D26*5%)</f>
        <v>5348.2275</v>
      </c>
      <c r="E33" s="282">
        <v>13677.428643415038</v>
      </c>
      <c r="F33" s="283">
        <v>73150000</v>
      </c>
      <c r="G33" s="284">
        <v>0.20051344828225851</v>
      </c>
      <c r="I33" s="273">
        <f>J33/$D33</f>
        <v>683.87143217075186</v>
      </c>
      <c r="J33" s="274">
        <f>$F33/20</f>
        <v>3657500</v>
      </c>
      <c r="K33" s="275">
        <f>J33/J38</f>
        <v>0.2466986162621497</v>
      </c>
      <c r="M33" s="273">
        <f>N33/$D33</f>
        <v>683.87143217075186</v>
      </c>
      <c r="N33" s="274">
        <f>$F33/20</f>
        <v>3657500</v>
      </c>
      <c r="O33" s="275">
        <f>N33/N38</f>
        <v>0.2466986162621497</v>
      </c>
      <c r="Q33" s="273">
        <f>R33/$D33</f>
        <v>683.87143217075186</v>
      </c>
      <c r="R33" s="274">
        <f>$F33/20</f>
        <v>3657500</v>
      </c>
      <c r="S33" s="275">
        <f>R33/R38</f>
        <v>0.2466986162621497</v>
      </c>
      <c r="U33" s="273">
        <f>V33/$D33</f>
        <v>683.87143217075186</v>
      </c>
      <c r="V33" s="274">
        <f>$F33/20</f>
        <v>3657500</v>
      </c>
      <c r="W33" s="275">
        <f>V33/V38</f>
        <v>0.2466986162621497</v>
      </c>
      <c r="Y33" s="273">
        <f>Z33/$D33</f>
        <v>683.87143217075186</v>
      </c>
      <c r="Z33" s="274">
        <f>$F33/20</f>
        <v>3657500</v>
      </c>
      <c r="AA33" s="275">
        <f>Z33/Z38</f>
        <v>0.2466986162621497</v>
      </c>
      <c r="AC33" s="273">
        <f>AD33/$D33</f>
        <v>683.87143217075186</v>
      </c>
      <c r="AD33" s="274">
        <f>$F33/20</f>
        <v>3657500</v>
      </c>
      <c r="AE33" s="275">
        <f>AD33/AD38</f>
        <v>0.2466986162621497</v>
      </c>
      <c r="AG33" s="273">
        <f>AH33/$D33</f>
        <v>683.87143217075186</v>
      </c>
      <c r="AH33" s="274">
        <f>$F33/20</f>
        <v>3657500</v>
      </c>
      <c r="AI33" s="275">
        <f>AH33/AH38</f>
        <v>0.2466986162621497</v>
      </c>
      <c r="AK33" s="273">
        <f>AL33/$D33</f>
        <v>683.87143217075186</v>
      </c>
      <c r="AL33" s="274">
        <f>$F33/20</f>
        <v>3657500</v>
      </c>
      <c r="AM33" s="275">
        <f>AL33/AL38</f>
        <v>0.2466986162621497</v>
      </c>
      <c r="AO33" s="273">
        <f>AP33/$D33</f>
        <v>683.87143217075186</v>
      </c>
      <c r="AP33" s="274">
        <f>$F33/20</f>
        <v>3657500</v>
      </c>
      <c r="AQ33" s="275">
        <f>AP33/AP38</f>
        <v>0.2466986162621497</v>
      </c>
      <c r="AS33" s="273">
        <f>AT33/$D33</f>
        <v>683.87143217075186</v>
      </c>
      <c r="AT33" s="274">
        <f>$F33/20</f>
        <v>3657500</v>
      </c>
      <c r="AU33" s="275">
        <f>AT33/AT38</f>
        <v>0.2466986162621497</v>
      </c>
      <c r="AW33" s="273">
        <f>AX33/$D33</f>
        <v>683.87143217075186</v>
      </c>
      <c r="AX33" s="274">
        <f>$F33/20</f>
        <v>3657500</v>
      </c>
      <c r="AY33" s="275">
        <f>AX33/AX38</f>
        <v>0.2466986162621497</v>
      </c>
      <c r="BA33" s="273">
        <f>BB33/$D33</f>
        <v>683.87143217075186</v>
      </c>
      <c r="BB33" s="274">
        <f>$F33/20</f>
        <v>3657500</v>
      </c>
      <c r="BC33" s="275">
        <f>BB33/BB38</f>
        <v>0.2466986162621497</v>
      </c>
      <c r="BE33" s="273">
        <f>BF33/$D33</f>
        <v>683.87143217075186</v>
      </c>
      <c r="BF33" s="274">
        <f>$F33/20</f>
        <v>3657500</v>
      </c>
      <c r="BG33" s="275">
        <f>BF33/BF38</f>
        <v>0.2466986162621497</v>
      </c>
      <c r="BI33" s="273">
        <f>BJ33/$D33</f>
        <v>683.87143217075186</v>
      </c>
      <c r="BJ33" s="274">
        <f>$F33/20</f>
        <v>3657500</v>
      </c>
      <c r="BK33" s="275">
        <f>BJ33/BJ38</f>
        <v>0.2466986162621497</v>
      </c>
      <c r="BM33" s="273">
        <f>BN33/$D33</f>
        <v>683.87143217075186</v>
      </c>
      <c r="BN33" s="274">
        <f>$F33/20</f>
        <v>3657500</v>
      </c>
      <c r="BO33" s="275">
        <f>BN33/BN38</f>
        <v>0.2466986162621497</v>
      </c>
      <c r="BQ33" s="273">
        <f>BR33/$D33</f>
        <v>683.87143217075186</v>
      </c>
      <c r="BR33" s="274">
        <f>$F33/20</f>
        <v>3657500</v>
      </c>
      <c r="BS33" s="275">
        <f>BR33/BR38</f>
        <v>0.2466986162621497</v>
      </c>
      <c r="BU33" s="273">
        <f>BV33/$D33</f>
        <v>683.87143217075186</v>
      </c>
      <c r="BV33" s="274">
        <f>$F33/20</f>
        <v>3657500</v>
      </c>
      <c r="BW33" s="275">
        <f>BV33/BV38</f>
        <v>0.2466986162621497</v>
      </c>
      <c r="BY33" s="273">
        <f>BZ33/$D33</f>
        <v>683.87143217075186</v>
      </c>
      <c r="BZ33" s="274">
        <f>$F33/20</f>
        <v>3657500</v>
      </c>
      <c r="CA33" s="275">
        <f>BZ33/BZ38</f>
        <v>0.2466986162621497</v>
      </c>
      <c r="CC33" s="273">
        <f>CD33/$D33</f>
        <v>683.87143217075186</v>
      </c>
      <c r="CD33" s="274">
        <f>$F33/20</f>
        <v>3657500</v>
      </c>
      <c r="CE33" s="275">
        <f>CD33/CD38</f>
        <v>0.2466986162621497</v>
      </c>
      <c r="CG33" s="273">
        <f>CH33/$D33</f>
        <v>683.87143217075186</v>
      </c>
      <c r="CH33" s="274">
        <f>$F33/20</f>
        <v>3657500</v>
      </c>
      <c r="CI33" s="275">
        <f>CH33/CH38</f>
        <v>0.2466986162621497</v>
      </c>
    </row>
    <row r="34" spans="2:87">
      <c r="B34" s="471"/>
      <c r="C34" s="288" t="s">
        <v>175</v>
      </c>
      <c r="D34" s="289">
        <f t="shared" ref="D34:D37" si="83">D27+(D27*5%)</f>
        <v>1701.70875</v>
      </c>
      <c r="E34" s="302">
        <v>12554.439765324118</v>
      </c>
      <c r="F34" s="303">
        <v>21363999.999999996</v>
      </c>
      <c r="G34" s="304">
        <v>0.20051344828225848</v>
      </c>
      <c r="I34" s="293">
        <f>J34/$D34</f>
        <v>627.72198826620581</v>
      </c>
      <c r="J34" s="294">
        <f>$F34/20</f>
        <v>1068199.9999999998</v>
      </c>
      <c r="K34" s="295">
        <f>J34/J38</f>
        <v>7.2050160462400065E-2</v>
      </c>
      <c r="M34" s="293">
        <f>N34/$D34</f>
        <v>627.72198826620581</v>
      </c>
      <c r="N34" s="294">
        <f>$F34/20</f>
        <v>1068199.9999999998</v>
      </c>
      <c r="O34" s="295">
        <f>N34/N38</f>
        <v>7.2050160462400065E-2</v>
      </c>
      <c r="Q34" s="293">
        <f>R34/$D34</f>
        <v>627.72198826620581</v>
      </c>
      <c r="R34" s="294">
        <f>$F34/20</f>
        <v>1068199.9999999998</v>
      </c>
      <c r="S34" s="295">
        <f>R34/R38</f>
        <v>7.2050160462400065E-2</v>
      </c>
      <c r="U34" s="293">
        <f>V34/$D34</f>
        <v>627.72198826620581</v>
      </c>
      <c r="V34" s="294">
        <f>$F34/20</f>
        <v>1068199.9999999998</v>
      </c>
      <c r="W34" s="295">
        <f>V34/V38</f>
        <v>7.2050160462400065E-2</v>
      </c>
      <c r="Y34" s="293">
        <f>Z34/$D34</f>
        <v>627.72198826620581</v>
      </c>
      <c r="Z34" s="294">
        <f>$F34/20</f>
        <v>1068199.9999999998</v>
      </c>
      <c r="AA34" s="295">
        <f>Z34/Z38</f>
        <v>7.2050160462400065E-2</v>
      </c>
      <c r="AC34" s="293">
        <f>AD34/$D34</f>
        <v>627.72198826620581</v>
      </c>
      <c r="AD34" s="294">
        <f>$F34/20</f>
        <v>1068199.9999999998</v>
      </c>
      <c r="AE34" s="295">
        <f>AD34/AD38</f>
        <v>7.2050160462400065E-2</v>
      </c>
      <c r="AG34" s="293">
        <f>AH34/$D34</f>
        <v>627.72198826620581</v>
      </c>
      <c r="AH34" s="294">
        <f>$F34/20</f>
        <v>1068199.9999999998</v>
      </c>
      <c r="AI34" s="295">
        <f>AH34/AH38</f>
        <v>7.2050160462400065E-2</v>
      </c>
      <c r="AK34" s="293">
        <f>AL34/$D34</f>
        <v>627.72198826620581</v>
      </c>
      <c r="AL34" s="294">
        <f>$F34/20</f>
        <v>1068199.9999999998</v>
      </c>
      <c r="AM34" s="295">
        <f>AL34/AL38</f>
        <v>7.2050160462400065E-2</v>
      </c>
      <c r="AO34" s="293">
        <f>AP34/$D34</f>
        <v>627.72198826620581</v>
      </c>
      <c r="AP34" s="294">
        <f>$F34/20</f>
        <v>1068199.9999999998</v>
      </c>
      <c r="AQ34" s="295">
        <f>AP34/AP38</f>
        <v>7.2050160462400065E-2</v>
      </c>
      <c r="AS34" s="293">
        <f>AT34/$D34</f>
        <v>627.72198826620581</v>
      </c>
      <c r="AT34" s="294">
        <f>$F34/20</f>
        <v>1068199.9999999998</v>
      </c>
      <c r="AU34" s="295">
        <f>AT34/AT38</f>
        <v>7.2050160462400065E-2</v>
      </c>
      <c r="AW34" s="293">
        <f>AX34/$D34</f>
        <v>627.72198826620581</v>
      </c>
      <c r="AX34" s="294">
        <f>$F34/20</f>
        <v>1068199.9999999998</v>
      </c>
      <c r="AY34" s="295">
        <f>AX34/AX38</f>
        <v>7.2050160462400065E-2</v>
      </c>
      <c r="BA34" s="293">
        <f>BB34/$D34</f>
        <v>627.72198826620581</v>
      </c>
      <c r="BB34" s="294">
        <f>$F34/20</f>
        <v>1068199.9999999998</v>
      </c>
      <c r="BC34" s="295">
        <f>BB34/BB38</f>
        <v>7.2050160462400065E-2</v>
      </c>
      <c r="BE34" s="293">
        <f>BF34/$D34</f>
        <v>627.72198826620581</v>
      </c>
      <c r="BF34" s="294">
        <f>$F34/20</f>
        <v>1068199.9999999998</v>
      </c>
      <c r="BG34" s="295">
        <f>BF34/BF38</f>
        <v>7.2050160462400065E-2</v>
      </c>
      <c r="BI34" s="293">
        <f>BJ34/$D34</f>
        <v>627.72198826620581</v>
      </c>
      <c r="BJ34" s="294">
        <f>$F34/20</f>
        <v>1068199.9999999998</v>
      </c>
      <c r="BK34" s="295">
        <f>BJ34/BJ38</f>
        <v>7.2050160462400065E-2</v>
      </c>
      <c r="BM34" s="293">
        <f>BN34/$D34</f>
        <v>627.72198826620581</v>
      </c>
      <c r="BN34" s="294">
        <f>$F34/20</f>
        <v>1068199.9999999998</v>
      </c>
      <c r="BO34" s="295">
        <f>BN34/BN38</f>
        <v>7.2050160462400065E-2</v>
      </c>
      <c r="BQ34" s="293">
        <f>BR34/$D34</f>
        <v>627.72198826620581</v>
      </c>
      <c r="BR34" s="294">
        <f>$F34/20</f>
        <v>1068199.9999999998</v>
      </c>
      <c r="BS34" s="295">
        <f>BR34/BR38</f>
        <v>7.2050160462400065E-2</v>
      </c>
      <c r="BU34" s="293">
        <f>BV34/$D34</f>
        <v>627.72198826620581</v>
      </c>
      <c r="BV34" s="294">
        <f>$F34/20</f>
        <v>1068199.9999999998</v>
      </c>
      <c r="BW34" s="295">
        <f>BV34/BV38</f>
        <v>7.2050160462400065E-2</v>
      </c>
      <c r="BY34" s="293">
        <f>BZ34/$D34</f>
        <v>627.72198826620581</v>
      </c>
      <c r="BZ34" s="294">
        <f>$F34/20</f>
        <v>1068199.9999999998</v>
      </c>
      <c r="CA34" s="295">
        <f>BZ34/BZ38</f>
        <v>7.2050160462400065E-2</v>
      </c>
      <c r="CC34" s="293">
        <f>CD34/$D34</f>
        <v>627.72198826620581</v>
      </c>
      <c r="CD34" s="294">
        <f>$F34/20</f>
        <v>1068199.9999999998</v>
      </c>
      <c r="CE34" s="295">
        <f>CD34/CD38</f>
        <v>7.2050160462400065E-2</v>
      </c>
      <c r="CG34" s="293">
        <f>CH34/$D34</f>
        <v>627.72198826620581</v>
      </c>
      <c r="CH34" s="294">
        <f>$F34/20</f>
        <v>1068199.9999999998</v>
      </c>
      <c r="CI34" s="295">
        <f>CH34/CH38</f>
        <v>7.2050160462400065E-2</v>
      </c>
    </row>
    <row r="35" spans="2:87">
      <c r="B35" s="471"/>
      <c r="C35" s="288" t="s">
        <v>176</v>
      </c>
      <c r="D35" s="289">
        <f t="shared" si="83"/>
        <v>3403.4175</v>
      </c>
      <c r="E35" s="302">
        <v>5039.0526581002769</v>
      </c>
      <c r="F35" s="303">
        <v>17150000</v>
      </c>
      <c r="G35" s="304">
        <v>0.20051344828225848</v>
      </c>
      <c r="I35" s="293">
        <f t="shared" ref="I35:I38" si="84">J35/$D35</f>
        <v>251.95263290501384</v>
      </c>
      <c r="J35" s="294">
        <f>$F35/20</f>
        <v>857500</v>
      </c>
      <c r="K35" s="295">
        <f>J35/J38</f>
        <v>5.7838431563853279E-2</v>
      </c>
      <c r="M35" s="293">
        <f t="shared" ref="M35:M38" si="85">N35/$D35</f>
        <v>251.95263290501384</v>
      </c>
      <c r="N35" s="294">
        <f>$F35/20</f>
        <v>857500</v>
      </c>
      <c r="O35" s="295">
        <f>N35/N38</f>
        <v>5.7838431563853279E-2</v>
      </c>
      <c r="Q35" s="293">
        <f t="shared" ref="Q35:Q38" si="86">R35/$D35</f>
        <v>251.95263290501384</v>
      </c>
      <c r="R35" s="294">
        <f>$F35/20</f>
        <v>857500</v>
      </c>
      <c r="S35" s="295">
        <f>R35/R38</f>
        <v>5.7838431563853279E-2</v>
      </c>
      <c r="U35" s="293">
        <f t="shared" ref="U35:U38" si="87">V35/$D35</f>
        <v>251.95263290501384</v>
      </c>
      <c r="V35" s="294">
        <f>$F35/20</f>
        <v>857500</v>
      </c>
      <c r="W35" s="295">
        <f>V35/V38</f>
        <v>5.7838431563853279E-2</v>
      </c>
      <c r="Y35" s="293">
        <f t="shared" ref="Y35:Y38" si="88">Z35/$D35</f>
        <v>251.95263290501384</v>
      </c>
      <c r="Z35" s="294">
        <f>$F35/20</f>
        <v>857500</v>
      </c>
      <c r="AA35" s="295">
        <f>Z35/Z38</f>
        <v>5.7838431563853279E-2</v>
      </c>
      <c r="AC35" s="293">
        <f t="shared" ref="AC35:AC38" si="89">AD35/$D35</f>
        <v>251.95263290501384</v>
      </c>
      <c r="AD35" s="294">
        <f>$F35/20</f>
        <v>857500</v>
      </c>
      <c r="AE35" s="295">
        <f>AD35/AD38</f>
        <v>5.7838431563853279E-2</v>
      </c>
      <c r="AG35" s="293">
        <f t="shared" ref="AG35:AG38" si="90">AH35/$D35</f>
        <v>251.95263290501384</v>
      </c>
      <c r="AH35" s="294">
        <f>$F35/20</f>
        <v>857500</v>
      </c>
      <c r="AI35" s="295">
        <f>AH35/AH38</f>
        <v>5.7838431563853279E-2</v>
      </c>
      <c r="AK35" s="293">
        <f t="shared" ref="AK35:AK38" si="91">AL35/$D35</f>
        <v>251.95263290501384</v>
      </c>
      <c r="AL35" s="294">
        <f>$F35/20</f>
        <v>857500</v>
      </c>
      <c r="AM35" s="295">
        <f>AL35/AL38</f>
        <v>5.7838431563853279E-2</v>
      </c>
      <c r="AO35" s="293">
        <f t="shared" ref="AO35:AO38" si="92">AP35/$D35</f>
        <v>251.95263290501384</v>
      </c>
      <c r="AP35" s="294">
        <f>$F35/20</f>
        <v>857500</v>
      </c>
      <c r="AQ35" s="295">
        <f>AP35/AP38</f>
        <v>5.7838431563853279E-2</v>
      </c>
      <c r="AS35" s="293">
        <f t="shared" ref="AS35:AS38" si="93">AT35/$D35</f>
        <v>251.95263290501384</v>
      </c>
      <c r="AT35" s="294">
        <f>$F35/20</f>
        <v>857500</v>
      </c>
      <c r="AU35" s="295">
        <f>AT35/AT38</f>
        <v>5.7838431563853279E-2</v>
      </c>
      <c r="AW35" s="293">
        <f t="shared" ref="AW35:AW38" si="94">AX35/$D35</f>
        <v>251.95263290501384</v>
      </c>
      <c r="AX35" s="294">
        <f>$F35/20</f>
        <v>857500</v>
      </c>
      <c r="AY35" s="295">
        <f>AX35/AX38</f>
        <v>5.7838431563853279E-2</v>
      </c>
      <c r="BA35" s="293">
        <f t="shared" ref="BA35:BA38" si="95">BB35/$D35</f>
        <v>251.95263290501384</v>
      </c>
      <c r="BB35" s="294">
        <f>$F35/20</f>
        <v>857500</v>
      </c>
      <c r="BC35" s="295">
        <f>BB35/BB38</f>
        <v>5.7838431563853279E-2</v>
      </c>
      <c r="BE35" s="293">
        <f t="shared" ref="BE35:BE38" si="96">BF35/$D35</f>
        <v>251.95263290501384</v>
      </c>
      <c r="BF35" s="294">
        <f>$F35/20</f>
        <v>857500</v>
      </c>
      <c r="BG35" s="295">
        <f>BF35/BF38</f>
        <v>5.7838431563853279E-2</v>
      </c>
      <c r="BI35" s="293">
        <f t="shared" ref="BI35:BI38" si="97">BJ35/$D35</f>
        <v>251.95263290501384</v>
      </c>
      <c r="BJ35" s="294">
        <f>$F35/20</f>
        <v>857500</v>
      </c>
      <c r="BK35" s="295">
        <f>BJ35/BJ38</f>
        <v>5.7838431563853279E-2</v>
      </c>
      <c r="BM35" s="293">
        <f t="shared" ref="BM35:BM38" si="98">BN35/$D35</f>
        <v>251.95263290501384</v>
      </c>
      <c r="BN35" s="294">
        <f>$F35/20</f>
        <v>857500</v>
      </c>
      <c r="BO35" s="295">
        <f>BN35/BN38</f>
        <v>5.7838431563853279E-2</v>
      </c>
      <c r="BQ35" s="293">
        <f t="shared" ref="BQ35:BQ38" si="99">BR35/$D35</f>
        <v>251.95263290501384</v>
      </c>
      <c r="BR35" s="294">
        <f>$F35/20</f>
        <v>857500</v>
      </c>
      <c r="BS35" s="295">
        <f>BR35/BR38</f>
        <v>5.7838431563853279E-2</v>
      </c>
      <c r="BU35" s="293">
        <f t="shared" ref="BU35:BU38" si="100">BV35/$D35</f>
        <v>251.95263290501384</v>
      </c>
      <c r="BV35" s="294">
        <f>$F35/20</f>
        <v>857500</v>
      </c>
      <c r="BW35" s="295">
        <f>BV35/BV38</f>
        <v>5.7838431563853279E-2</v>
      </c>
      <c r="BY35" s="293">
        <f t="shared" ref="BY35:BY38" si="101">BZ35/$D35</f>
        <v>251.95263290501384</v>
      </c>
      <c r="BZ35" s="294">
        <f>$F35/20</f>
        <v>857500</v>
      </c>
      <c r="CA35" s="295">
        <f>BZ35/BZ38</f>
        <v>5.7838431563853279E-2</v>
      </c>
      <c r="CC35" s="293">
        <f t="shared" ref="CC35:CC38" si="102">CD35/$D35</f>
        <v>251.95263290501384</v>
      </c>
      <c r="CD35" s="294">
        <f>$F35/20</f>
        <v>857500</v>
      </c>
      <c r="CE35" s="295">
        <f>CD35/CD38</f>
        <v>5.7838431563853279E-2</v>
      </c>
      <c r="CG35" s="293">
        <f t="shared" ref="CG35:CG38" si="103">CH35/$D35</f>
        <v>251.95263290501384</v>
      </c>
      <c r="CH35" s="294">
        <f>$F35/20</f>
        <v>857500</v>
      </c>
      <c r="CI35" s="295">
        <f>CH35/CH38</f>
        <v>5.7838431563853279E-2</v>
      </c>
    </row>
    <row r="36" spans="2:87">
      <c r="B36" s="471"/>
      <c r="C36" s="288" t="s">
        <v>177</v>
      </c>
      <c r="D36" s="289">
        <f t="shared" si="83"/>
        <v>6320.6324999999997</v>
      </c>
      <c r="E36" s="302">
        <v>8523.1976388438979</v>
      </c>
      <c r="F36" s="303">
        <v>53872000</v>
      </c>
      <c r="G36" s="304">
        <v>0.20051344828225845</v>
      </c>
      <c r="I36" s="293">
        <f t="shared" si="84"/>
        <v>426.15988194219489</v>
      </c>
      <c r="J36" s="294">
        <f>$F36/20</f>
        <v>2693600</v>
      </c>
      <c r="K36" s="295">
        <f>J36/J38</f>
        <v>0.18168349767976116</v>
      </c>
      <c r="M36" s="293">
        <f t="shared" si="85"/>
        <v>426.15988194219489</v>
      </c>
      <c r="N36" s="294">
        <f>$F36/20</f>
        <v>2693600</v>
      </c>
      <c r="O36" s="295">
        <f>N36/N38</f>
        <v>0.18168349767976116</v>
      </c>
      <c r="Q36" s="293">
        <f t="shared" si="86"/>
        <v>426.15988194219489</v>
      </c>
      <c r="R36" s="294">
        <f>$F36/20</f>
        <v>2693600</v>
      </c>
      <c r="S36" s="295">
        <f>R36/R38</f>
        <v>0.18168349767976116</v>
      </c>
      <c r="U36" s="293">
        <f t="shared" si="87"/>
        <v>426.15988194219489</v>
      </c>
      <c r="V36" s="294">
        <f>$F36/20</f>
        <v>2693600</v>
      </c>
      <c r="W36" s="295">
        <f>V36/V38</f>
        <v>0.18168349767976116</v>
      </c>
      <c r="Y36" s="293">
        <f t="shared" si="88"/>
        <v>426.15988194219489</v>
      </c>
      <c r="Z36" s="294">
        <f>$F36/20</f>
        <v>2693600</v>
      </c>
      <c r="AA36" s="295">
        <f>Z36/Z38</f>
        <v>0.18168349767976116</v>
      </c>
      <c r="AC36" s="293">
        <f t="shared" si="89"/>
        <v>426.15988194219489</v>
      </c>
      <c r="AD36" s="294">
        <f>$F36/20</f>
        <v>2693600</v>
      </c>
      <c r="AE36" s="295">
        <f>AD36/AD38</f>
        <v>0.18168349767976116</v>
      </c>
      <c r="AG36" s="293">
        <f t="shared" si="90"/>
        <v>426.15988194219489</v>
      </c>
      <c r="AH36" s="294">
        <f>$F36/20</f>
        <v>2693600</v>
      </c>
      <c r="AI36" s="295">
        <f>AH36/AH38</f>
        <v>0.18168349767976116</v>
      </c>
      <c r="AK36" s="293">
        <f t="shared" si="91"/>
        <v>426.15988194219489</v>
      </c>
      <c r="AL36" s="294">
        <f>$F36/20</f>
        <v>2693600</v>
      </c>
      <c r="AM36" s="295">
        <f>AL36/AL38</f>
        <v>0.18168349767976116</v>
      </c>
      <c r="AO36" s="293">
        <f t="shared" si="92"/>
        <v>426.15988194219489</v>
      </c>
      <c r="AP36" s="294">
        <f>$F36/20</f>
        <v>2693600</v>
      </c>
      <c r="AQ36" s="295">
        <f>AP36/AP38</f>
        <v>0.18168349767976116</v>
      </c>
      <c r="AS36" s="293">
        <f t="shared" si="93"/>
        <v>426.15988194219489</v>
      </c>
      <c r="AT36" s="294">
        <f>$F36/20</f>
        <v>2693600</v>
      </c>
      <c r="AU36" s="295">
        <f>AT36/AT38</f>
        <v>0.18168349767976116</v>
      </c>
      <c r="AW36" s="293">
        <f t="shared" si="94"/>
        <v>426.15988194219489</v>
      </c>
      <c r="AX36" s="294">
        <f>$F36/20</f>
        <v>2693600</v>
      </c>
      <c r="AY36" s="295">
        <f>AX36/AX38</f>
        <v>0.18168349767976116</v>
      </c>
      <c r="BA36" s="293">
        <f t="shared" si="95"/>
        <v>426.15988194219489</v>
      </c>
      <c r="BB36" s="294">
        <f>$F36/20</f>
        <v>2693600</v>
      </c>
      <c r="BC36" s="295">
        <f>BB36/BB38</f>
        <v>0.18168349767976116</v>
      </c>
      <c r="BE36" s="293">
        <f t="shared" si="96"/>
        <v>426.15988194219489</v>
      </c>
      <c r="BF36" s="294">
        <f>$F36/20</f>
        <v>2693600</v>
      </c>
      <c r="BG36" s="295">
        <f>BF36/BF38</f>
        <v>0.18168349767976116</v>
      </c>
      <c r="BI36" s="293">
        <f t="shared" si="97"/>
        <v>426.15988194219489</v>
      </c>
      <c r="BJ36" s="294">
        <f>$F36/20</f>
        <v>2693600</v>
      </c>
      <c r="BK36" s="295">
        <f>BJ36/BJ38</f>
        <v>0.18168349767976116</v>
      </c>
      <c r="BM36" s="293">
        <f t="shared" si="98"/>
        <v>426.15988194219489</v>
      </c>
      <c r="BN36" s="294">
        <f>$F36/20</f>
        <v>2693600</v>
      </c>
      <c r="BO36" s="295">
        <f>BN36/BN38</f>
        <v>0.18168349767976116</v>
      </c>
      <c r="BQ36" s="293">
        <f t="shared" si="99"/>
        <v>426.15988194219489</v>
      </c>
      <c r="BR36" s="294">
        <f>$F36/20</f>
        <v>2693600</v>
      </c>
      <c r="BS36" s="295">
        <f>BR36/BR38</f>
        <v>0.18168349767976116</v>
      </c>
      <c r="BU36" s="293">
        <f t="shared" si="100"/>
        <v>426.15988194219489</v>
      </c>
      <c r="BV36" s="294">
        <f>$F36/20</f>
        <v>2693600</v>
      </c>
      <c r="BW36" s="295">
        <f>BV36/BV38</f>
        <v>0.18168349767976116</v>
      </c>
      <c r="BY36" s="293">
        <f t="shared" si="101"/>
        <v>426.15988194219489</v>
      </c>
      <c r="BZ36" s="294">
        <f>$F36/20</f>
        <v>2693600</v>
      </c>
      <c r="CA36" s="295">
        <f>BZ36/BZ38</f>
        <v>0.18168349767976116</v>
      </c>
      <c r="CC36" s="293">
        <f t="shared" si="102"/>
        <v>426.15988194219489</v>
      </c>
      <c r="CD36" s="294">
        <f>$F36/20</f>
        <v>2693600</v>
      </c>
      <c r="CE36" s="295">
        <f>CD36/CD38</f>
        <v>0.18168349767976116</v>
      </c>
      <c r="CG36" s="293">
        <f t="shared" si="103"/>
        <v>426.15988194219489</v>
      </c>
      <c r="CH36" s="294">
        <f>$F36/20</f>
        <v>2693600</v>
      </c>
      <c r="CI36" s="295">
        <f>CH36/CH38</f>
        <v>0.18168349767976116</v>
      </c>
    </row>
    <row r="37" spans="2:87">
      <c r="B37" s="471"/>
      <c r="C37" s="288" t="s">
        <v>248</v>
      </c>
      <c r="D37" s="289">
        <f t="shared" si="83"/>
        <v>850.854375</v>
      </c>
      <c r="E37" s="302">
        <v>5096.641831335709</v>
      </c>
      <c r="F37" s="303">
        <v>4336500</v>
      </c>
      <c r="G37" s="304">
        <v>0.20051344828225848</v>
      </c>
      <c r="I37" s="293">
        <f t="shared" si="84"/>
        <v>254.83209156678544</v>
      </c>
      <c r="J37" s="294">
        <f>$F37/20</f>
        <v>216825</v>
      </c>
      <c r="K37" s="295">
        <f>J37/J38</f>
        <v>1.462486055257433E-2</v>
      </c>
      <c r="M37" s="293">
        <f t="shared" si="85"/>
        <v>254.83209156678544</v>
      </c>
      <c r="N37" s="294">
        <f>$F37/20</f>
        <v>216825</v>
      </c>
      <c r="O37" s="295">
        <f>N37/N38</f>
        <v>1.462486055257433E-2</v>
      </c>
      <c r="Q37" s="293">
        <f t="shared" si="86"/>
        <v>254.83209156678544</v>
      </c>
      <c r="R37" s="294">
        <f>$F37/20</f>
        <v>216825</v>
      </c>
      <c r="S37" s="295">
        <f>R37/R38</f>
        <v>1.462486055257433E-2</v>
      </c>
      <c r="U37" s="293">
        <f t="shared" si="87"/>
        <v>254.83209156678544</v>
      </c>
      <c r="V37" s="294">
        <f>$F37/20</f>
        <v>216825</v>
      </c>
      <c r="W37" s="295">
        <f>V37/V38</f>
        <v>1.462486055257433E-2</v>
      </c>
      <c r="Y37" s="293">
        <f t="shared" si="88"/>
        <v>254.83209156678544</v>
      </c>
      <c r="Z37" s="294">
        <f>$F37/20</f>
        <v>216825</v>
      </c>
      <c r="AA37" s="295">
        <f>Z37/Z38</f>
        <v>1.462486055257433E-2</v>
      </c>
      <c r="AC37" s="293">
        <f t="shared" si="89"/>
        <v>254.83209156678544</v>
      </c>
      <c r="AD37" s="294">
        <f>$F37/20</f>
        <v>216825</v>
      </c>
      <c r="AE37" s="295">
        <f>AD37/AD38</f>
        <v>1.462486055257433E-2</v>
      </c>
      <c r="AG37" s="293">
        <f t="shared" si="90"/>
        <v>254.83209156678544</v>
      </c>
      <c r="AH37" s="294">
        <f>$F37/20</f>
        <v>216825</v>
      </c>
      <c r="AI37" s="295">
        <f>AH37/AH38</f>
        <v>1.462486055257433E-2</v>
      </c>
      <c r="AK37" s="293">
        <f t="shared" si="91"/>
        <v>254.83209156678544</v>
      </c>
      <c r="AL37" s="294">
        <f>$F37/20</f>
        <v>216825</v>
      </c>
      <c r="AM37" s="295">
        <f>AL37/AL38</f>
        <v>1.462486055257433E-2</v>
      </c>
      <c r="AO37" s="293">
        <f t="shared" si="92"/>
        <v>254.83209156678544</v>
      </c>
      <c r="AP37" s="294">
        <f>$F37/20</f>
        <v>216825</v>
      </c>
      <c r="AQ37" s="295">
        <f>AP37/AP38</f>
        <v>1.462486055257433E-2</v>
      </c>
      <c r="AS37" s="293">
        <f t="shared" si="93"/>
        <v>254.83209156678544</v>
      </c>
      <c r="AT37" s="294">
        <f>$F37/20</f>
        <v>216825</v>
      </c>
      <c r="AU37" s="295">
        <f>AT37/AT38</f>
        <v>1.462486055257433E-2</v>
      </c>
      <c r="AW37" s="293">
        <f t="shared" si="94"/>
        <v>254.83209156678544</v>
      </c>
      <c r="AX37" s="294">
        <f>$F37/20</f>
        <v>216825</v>
      </c>
      <c r="AY37" s="295">
        <f>AX37/AX38</f>
        <v>1.462486055257433E-2</v>
      </c>
      <c r="BA37" s="293">
        <f t="shared" si="95"/>
        <v>254.83209156678544</v>
      </c>
      <c r="BB37" s="294">
        <f>$F37/20</f>
        <v>216825</v>
      </c>
      <c r="BC37" s="295">
        <f>BB37/BB38</f>
        <v>1.462486055257433E-2</v>
      </c>
      <c r="BE37" s="293">
        <f t="shared" si="96"/>
        <v>254.83209156678544</v>
      </c>
      <c r="BF37" s="294">
        <f>$F37/20</f>
        <v>216825</v>
      </c>
      <c r="BG37" s="295">
        <f>BF37/BF38</f>
        <v>1.462486055257433E-2</v>
      </c>
      <c r="BI37" s="293">
        <f t="shared" si="97"/>
        <v>254.83209156678544</v>
      </c>
      <c r="BJ37" s="294">
        <f>$F37/20</f>
        <v>216825</v>
      </c>
      <c r="BK37" s="295">
        <f>BJ37/BJ38</f>
        <v>1.462486055257433E-2</v>
      </c>
      <c r="BM37" s="293">
        <f t="shared" si="98"/>
        <v>254.83209156678544</v>
      </c>
      <c r="BN37" s="294">
        <f>$F37/20</f>
        <v>216825</v>
      </c>
      <c r="BO37" s="295">
        <f>BN37/BN38</f>
        <v>1.462486055257433E-2</v>
      </c>
      <c r="BQ37" s="293">
        <f t="shared" si="99"/>
        <v>254.83209156678544</v>
      </c>
      <c r="BR37" s="294">
        <f>$F37/20</f>
        <v>216825</v>
      </c>
      <c r="BS37" s="295">
        <f>BR37/BR38</f>
        <v>1.462486055257433E-2</v>
      </c>
      <c r="BU37" s="293">
        <f t="shared" si="100"/>
        <v>254.83209156678544</v>
      </c>
      <c r="BV37" s="294">
        <f>$F37/20</f>
        <v>216825</v>
      </c>
      <c r="BW37" s="295">
        <f>BV37/BV38</f>
        <v>1.462486055257433E-2</v>
      </c>
      <c r="BY37" s="293">
        <f t="shared" si="101"/>
        <v>254.83209156678544</v>
      </c>
      <c r="BZ37" s="294">
        <f>$F37/20</f>
        <v>216825</v>
      </c>
      <c r="CA37" s="295">
        <f>BZ37/BZ38</f>
        <v>1.462486055257433E-2</v>
      </c>
      <c r="CC37" s="293">
        <f t="shared" si="102"/>
        <v>254.83209156678544</v>
      </c>
      <c r="CD37" s="294">
        <f>$F37/20</f>
        <v>216825</v>
      </c>
      <c r="CE37" s="295">
        <f>CD37/CD38</f>
        <v>1.462486055257433E-2</v>
      </c>
      <c r="CG37" s="293">
        <f t="shared" si="103"/>
        <v>254.83209156678544</v>
      </c>
      <c r="CH37" s="294">
        <f>$F37/20</f>
        <v>216825</v>
      </c>
      <c r="CI37" s="295">
        <f>CH37/CH38</f>
        <v>1.462486055257433E-2</v>
      </c>
    </row>
    <row r="38" spans="2:87" ht="19.5" customHeight="1" thickBot="1">
      <c r="B38" s="472"/>
      <c r="C38" s="473" t="s">
        <v>270</v>
      </c>
      <c r="D38" s="474"/>
      <c r="E38" s="320">
        <v>44890.760537019036</v>
      </c>
      <c r="F38" s="321">
        <v>296515647.75</v>
      </c>
      <c r="G38" s="322">
        <v>0.35</v>
      </c>
      <c r="I38" s="311">
        <f>SUM(I33:I37)</f>
        <v>2244.5380268509521</v>
      </c>
      <c r="J38" s="312">
        <f>$F38/20</f>
        <v>14825782.387499999</v>
      </c>
      <c r="K38" s="313">
        <v>0.35</v>
      </c>
      <c r="M38" s="311">
        <f>SUM(M33:M37)</f>
        <v>2244.5380268509521</v>
      </c>
      <c r="N38" s="312">
        <f>$F38/20</f>
        <v>14825782.387499999</v>
      </c>
      <c r="O38" s="313">
        <v>0.35</v>
      </c>
      <c r="Q38" s="311">
        <f>SUM(Q33:Q37)</f>
        <v>2244.5380268509521</v>
      </c>
      <c r="R38" s="312">
        <f>$F38/20</f>
        <v>14825782.387499999</v>
      </c>
      <c r="S38" s="313">
        <v>0.35</v>
      </c>
      <c r="U38" s="311">
        <f>SUM(U33:U37)</f>
        <v>2244.5380268509521</v>
      </c>
      <c r="V38" s="312">
        <f>$F38/20</f>
        <v>14825782.387499999</v>
      </c>
      <c r="W38" s="313">
        <v>0.35</v>
      </c>
      <c r="Y38" s="311">
        <f>SUM(Y33:Y37)</f>
        <v>2244.5380268509521</v>
      </c>
      <c r="Z38" s="312">
        <f>$F38/20</f>
        <v>14825782.387499999</v>
      </c>
      <c r="AA38" s="313">
        <v>0.35</v>
      </c>
      <c r="AC38" s="311">
        <f>SUM(AC33:AC37)</f>
        <v>2244.5380268509521</v>
      </c>
      <c r="AD38" s="312">
        <f>$F38/20</f>
        <v>14825782.387499999</v>
      </c>
      <c r="AE38" s="313">
        <v>0.35</v>
      </c>
      <c r="AG38" s="311">
        <f>SUM(AG33:AG37)</f>
        <v>2244.5380268509521</v>
      </c>
      <c r="AH38" s="312">
        <f>$F38/20</f>
        <v>14825782.387499999</v>
      </c>
      <c r="AI38" s="313">
        <v>0.35</v>
      </c>
      <c r="AK38" s="311">
        <f>SUM(AK33:AK37)</f>
        <v>2244.5380268509521</v>
      </c>
      <c r="AL38" s="312">
        <f>$F38/20</f>
        <v>14825782.387499999</v>
      </c>
      <c r="AM38" s="313">
        <v>0.35</v>
      </c>
      <c r="AO38" s="311">
        <f>SUM(AO33:AO37)</f>
        <v>2244.5380268509521</v>
      </c>
      <c r="AP38" s="312">
        <f>$F38/20</f>
        <v>14825782.387499999</v>
      </c>
      <c r="AQ38" s="313">
        <v>0.35</v>
      </c>
      <c r="AS38" s="311">
        <f>SUM(AS33:AS37)</f>
        <v>2244.5380268509521</v>
      </c>
      <c r="AT38" s="312">
        <f>$F38/20</f>
        <v>14825782.387499999</v>
      </c>
      <c r="AU38" s="313">
        <v>0.35</v>
      </c>
      <c r="AW38" s="311">
        <f>SUM(AW33:AW37)</f>
        <v>2244.5380268509521</v>
      </c>
      <c r="AX38" s="312">
        <f>$F38/20</f>
        <v>14825782.387499999</v>
      </c>
      <c r="AY38" s="313">
        <v>0.35</v>
      </c>
      <c r="BA38" s="311">
        <f>SUM(BA33:BA37)</f>
        <v>2244.5380268509521</v>
      </c>
      <c r="BB38" s="312">
        <f>$F38/20</f>
        <v>14825782.387499999</v>
      </c>
      <c r="BC38" s="313">
        <v>0.35</v>
      </c>
      <c r="BE38" s="311">
        <f>SUM(BE33:BE37)</f>
        <v>2244.5380268509521</v>
      </c>
      <c r="BF38" s="312">
        <f>$F38/20</f>
        <v>14825782.387499999</v>
      </c>
      <c r="BG38" s="313">
        <v>0.35</v>
      </c>
      <c r="BI38" s="311">
        <f>SUM(BI33:BI37)</f>
        <v>2244.5380268509521</v>
      </c>
      <c r="BJ38" s="312">
        <f>$F38/20</f>
        <v>14825782.387499999</v>
      </c>
      <c r="BK38" s="313">
        <v>0.35</v>
      </c>
      <c r="BM38" s="311">
        <f>SUM(BM33:BM37)</f>
        <v>2244.5380268509521</v>
      </c>
      <c r="BN38" s="312">
        <f>$F38/20</f>
        <v>14825782.387499999</v>
      </c>
      <c r="BO38" s="313">
        <v>0.35</v>
      </c>
      <c r="BQ38" s="311">
        <f>SUM(BQ33:BQ37)</f>
        <v>2244.5380268509521</v>
      </c>
      <c r="BR38" s="312">
        <f>$F38/20</f>
        <v>14825782.387499999</v>
      </c>
      <c r="BS38" s="313">
        <v>0.35</v>
      </c>
      <c r="BU38" s="311">
        <f>SUM(BU33:BU37)</f>
        <v>2244.5380268509521</v>
      </c>
      <c r="BV38" s="312">
        <f>$F38/20</f>
        <v>14825782.387499999</v>
      </c>
      <c r="BW38" s="313">
        <v>0.35</v>
      </c>
      <c r="BY38" s="311">
        <f>SUM(BY33:BY37)</f>
        <v>2244.5380268509521</v>
      </c>
      <c r="BZ38" s="312">
        <f>$F38/20</f>
        <v>14825782.387499999</v>
      </c>
      <c r="CA38" s="313">
        <v>0.35</v>
      </c>
      <c r="CC38" s="311">
        <f>SUM(CC33:CC37)</f>
        <v>2244.5380268509521</v>
      </c>
      <c r="CD38" s="312">
        <f>$F38/20</f>
        <v>14825782.387499999</v>
      </c>
      <c r="CE38" s="313">
        <v>0.35</v>
      </c>
      <c r="CG38" s="311">
        <f>SUM(CG33:CG37)</f>
        <v>2244.5380268509521</v>
      </c>
      <c r="CH38" s="312">
        <f>$F38/20</f>
        <v>14825782.387499999</v>
      </c>
      <c r="CI38" s="313">
        <v>0.35</v>
      </c>
    </row>
  </sheetData>
  <mergeCells count="32">
    <mergeCell ref="BM3:BO3"/>
    <mergeCell ref="BQ3:BS3"/>
    <mergeCell ref="BU3:BW3"/>
    <mergeCell ref="BY3:CA3"/>
    <mergeCell ref="CC3:CE3"/>
    <mergeCell ref="CG3:CI3"/>
    <mergeCell ref="AO3:AQ3"/>
    <mergeCell ref="AS3:AU3"/>
    <mergeCell ref="AW3:AY3"/>
    <mergeCell ref="BA3:BC3"/>
    <mergeCell ref="BE3:BG3"/>
    <mergeCell ref="BI3:BK3"/>
    <mergeCell ref="Q3:S3"/>
    <mergeCell ref="U3:W3"/>
    <mergeCell ref="Y3:AA3"/>
    <mergeCell ref="AC3:AE3"/>
    <mergeCell ref="AG3:AI3"/>
    <mergeCell ref="AK3:AM3"/>
    <mergeCell ref="B26:B31"/>
    <mergeCell ref="C31:D31"/>
    <mergeCell ref="B33:B38"/>
    <mergeCell ref="C38:D38"/>
    <mergeCell ref="I3:K3"/>
    <mergeCell ref="M3:O3"/>
    <mergeCell ref="B5:B10"/>
    <mergeCell ref="C10:D10"/>
    <mergeCell ref="B12:B17"/>
    <mergeCell ref="C17:D17"/>
    <mergeCell ref="B19:B24"/>
    <mergeCell ref="C24:D24"/>
    <mergeCell ref="B1:G1"/>
    <mergeCell ref="E3:G3"/>
  </mergeCells>
  <pageMargins left="0.31496062992125984" right="0.31496062992125984" top="0.15748031496062992" bottom="0.15748031496062992" header="0.31496062992125984" footer="0.31496062992125984"/>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B1:H19"/>
  <sheetViews>
    <sheetView showGridLines="0" topLeftCell="A7" workbookViewId="0">
      <selection activeCell="I9" sqref="I9"/>
    </sheetView>
  </sheetViews>
  <sheetFormatPr baseColWidth="10" defaultColWidth="11.42578125" defaultRowHeight="12.75"/>
  <cols>
    <col min="1" max="1" width="1.140625" style="327" customWidth="1"/>
    <col min="2" max="2" width="28.42578125" style="327" customWidth="1"/>
    <col min="3" max="3" width="43.5703125" style="327" customWidth="1"/>
    <col min="4" max="4" width="9.85546875" style="332" customWidth="1"/>
    <col min="5" max="5" width="7.85546875" style="332" bestFit="1" customWidth="1"/>
    <col min="6" max="6" width="11.140625" style="332" customWidth="1"/>
    <col min="7" max="7" width="12.28515625" style="332" customWidth="1"/>
    <col min="8" max="8" width="30.140625" style="332" customWidth="1"/>
    <col min="9" max="16384" width="11.42578125" style="327"/>
  </cols>
  <sheetData>
    <row r="1" spans="2:8" ht="6" customHeight="1"/>
    <row r="2" spans="2:8" ht="15.75">
      <c r="B2" s="335" t="s">
        <v>279</v>
      </c>
      <c r="C2" s="330"/>
    </row>
    <row r="3" spans="2:8" ht="7.5" customHeight="1" thickBot="1"/>
    <row r="4" spans="2:8" ht="17.25" customHeight="1" thickBot="1">
      <c r="B4" s="331" t="s">
        <v>275</v>
      </c>
      <c r="C4" s="331" t="s">
        <v>283</v>
      </c>
      <c r="D4" s="380" t="s">
        <v>281</v>
      </c>
      <c r="E4" s="331" t="s">
        <v>265</v>
      </c>
      <c r="F4" s="331" t="s">
        <v>276</v>
      </c>
      <c r="G4" s="331" t="s">
        <v>277</v>
      </c>
      <c r="H4" s="331" t="s">
        <v>278</v>
      </c>
    </row>
    <row r="5" spans="2:8" ht="6.75" customHeight="1"/>
    <row r="6" spans="2:8" ht="24" customHeight="1">
      <c r="B6" s="379" t="s">
        <v>294</v>
      </c>
      <c r="C6" s="328" t="s">
        <v>284</v>
      </c>
      <c r="D6" s="333" t="s">
        <v>295</v>
      </c>
      <c r="E6" s="329">
        <v>1</v>
      </c>
      <c r="F6" s="334">
        <v>4139000</v>
      </c>
      <c r="G6" s="344">
        <f>E6*F6</f>
        <v>4139000</v>
      </c>
      <c r="H6" s="333" t="s">
        <v>293</v>
      </c>
    </row>
    <row r="7" spans="2:8" ht="24" customHeight="1">
      <c r="B7" s="379" t="s">
        <v>287</v>
      </c>
      <c r="C7" s="328" t="s">
        <v>296</v>
      </c>
      <c r="D7" s="333" t="s">
        <v>295</v>
      </c>
      <c r="E7" s="329">
        <v>2</v>
      </c>
      <c r="F7" s="334">
        <v>1250000</v>
      </c>
      <c r="G7" s="344">
        <f>E7*F7</f>
        <v>2500000</v>
      </c>
      <c r="H7" s="333" t="s">
        <v>293</v>
      </c>
    </row>
    <row r="8" spans="2:8" ht="24" customHeight="1">
      <c r="B8" s="379" t="s">
        <v>321</v>
      </c>
      <c r="C8" s="328" t="s">
        <v>322</v>
      </c>
      <c r="D8" s="333" t="s">
        <v>295</v>
      </c>
      <c r="E8" s="329">
        <v>500</v>
      </c>
      <c r="F8" s="334">
        <v>1000</v>
      </c>
      <c r="G8" s="344">
        <f>E8*F8</f>
        <v>500000</v>
      </c>
      <c r="H8" s="333" t="s">
        <v>293</v>
      </c>
    </row>
    <row r="9" spans="2:8" ht="24">
      <c r="B9" s="379" t="s">
        <v>280</v>
      </c>
      <c r="C9" s="328" t="s">
        <v>289</v>
      </c>
      <c r="D9" s="333" t="s">
        <v>282</v>
      </c>
      <c r="E9" s="329">
        <v>2</v>
      </c>
      <c r="F9" s="334">
        <v>75000</v>
      </c>
      <c r="G9" s="343">
        <f t="shared" ref="G9:G11" si="0">E9*F9</f>
        <v>150000</v>
      </c>
      <c r="H9" s="346" t="s">
        <v>297</v>
      </c>
    </row>
    <row r="10" spans="2:8" ht="24">
      <c r="B10" s="379" t="s">
        <v>317</v>
      </c>
      <c r="C10" s="328" t="s">
        <v>318</v>
      </c>
      <c r="D10" s="333" t="s">
        <v>282</v>
      </c>
      <c r="E10" s="329">
        <v>600</v>
      </c>
      <c r="F10" s="334">
        <v>416.666</v>
      </c>
      <c r="G10" s="343">
        <f t="shared" si="0"/>
        <v>249999.6</v>
      </c>
      <c r="H10" s="346" t="s">
        <v>297</v>
      </c>
    </row>
    <row r="11" spans="2:8" ht="24" customHeight="1">
      <c r="B11" s="379" t="s">
        <v>286</v>
      </c>
      <c r="C11" s="328" t="s">
        <v>319</v>
      </c>
      <c r="D11" s="333" t="s">
        <v>282</v>
      </c>
      <c r="E11" s="329">
        <v>1</v>
      </c>
      <c r="F11" s="334">
        <v>100000</v>
      </c>
      <c r="G11" s="343">
        <f t="shared" si="0"/>
        <v>100000</v>
      </c>
      <c r="H11" s="346" t="s">
        <v>297</v>
      </c>
    </row>
    <row r="12" spans="2:8" ht="57.75" customHeight="1">
      <c r="B12" s="475" t="s">
        <v>285</v>
      </c>
      <c r="C12" s="328" t="s">
        <v>314</v>
      </c>
      <c r="D12" s="333" t="s">
        <v>282</v>
      </c>
      <c r="E12" s="329">
        <v>1</v>
      </c>
      <c r="F12" s="334">
        <v>400000</v>
      </c>
      <c r="G12" s="343">
        <f>E12*F12</f>
        <v>400000</v>
      </c>
      <c r="H12" s="346" t="s">
        <v>297</v>
      </c>
    </row>
    <row r="13" spans="2:8" ht="24" customHeight="1">
      <c r="B13" s="476"/>
      <c r="C13" s="328" t="s">
        <v>288</v>
      </c>
      <c r="D13" s="333" t="s">
        <v>282</v>
      </c>
      <c r="E13" s="329">
        <v>1</v>
      </c>
      <c r="F13" s="334">
        <v>200000</v>
      </c>
      <c r="G13" s="343">
        <f>E13*F13</f>
        <v>200000</v>
      </c>
      <c r="H13" s="346" t="s">
        <v>297</v>
      </c>
    </row>
    <row r="14" spans="2:8" ht="38.25">
      <c r="B14" s="476"/>
      <c r="C14" s="328" t="s">
        <v>315</v>
      </c>
      <c r="D14" s="333" t="s">
        <v>282</v>
      </c>
      <c r="E14" s="329">
        <v>1</v>
      </c>
      <c r="F14" s="334">
        <v>300000</v>
      </c>
      <c r="G14" s="343">
        <f>E14*F14</f>
        <v>300000</v>
      </c>
      <c r="H14" s="346" t="s">
        <v>297</v>
      </c>
    </row>
    <row r="15" spans="2:8" ht="24" customHeight="1">
      <c r="B15" s="477"/>
      <c r="C15" s="328" t="s">
        <v>316</v>
      </c>
      <c r="D15" s="333" t="s">
        <v>282</v>
      </c>
      <c r="E15" s="329">
        <v>1</v>
      </c>
      <c r="F15" s="334">
        <v>100000</v>
      </c>
      <c r="G15" s="343">
        <f>E15*F15</f>
        <v>100000</v>
      </c>
      <c r="H15" s="346" t="s">
        <v>297</v>
      </c>
    </row>
    <row r="16" spans="2:8" ht="9" customHeight="1"/>
    <row r="17" spans="5:7">
      <c r="E17" s="337" t="s">
        <v>290</v>
      </c>
      <c r="F17" s="338"/>
      <c r="G17" s="339">
        <f>G6+G7+G8</f>
        <v>7139000</v>
      </c>
    </row>
    <row r="18" spans="5:7">
      <c r="E18" s="340" t="s">
        <v>291</v>
      </c>
      <c r="F18" s="341"/>
      <c r="G18" s="342">
        <f>SUM(G9:G15)</f>
        <v>1499999.6</v>
      </c>
    </row>
    <row r="19" spans="5:7">
      <c r="E19" s="345" t="s">
        <v>292</v>
      </c>
      <c r="G19" s="336">
        <f>G17+G18</f>
        <v>8638999.5999999996</v>
      </c>
    </row>
  </sheetData>
  <mergeCells count="1">
    <mergeCell ref="B12:B1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2060"/>
  </sheetPr>
  <dimension ref="B1:P16"/>
  <sheetViews>
    <sheetView showGridLines="0" workbookViewId="0">
      <selection activeCell="D19" sqref="D19"/>
    </sheetView>
  </sheetViews>
  <sheetFormatPr baseColWidth="10" defaultColWidth="11.42578125" defaultRowHeight="15"/>
  <cols>
    <col min="1" max="1" width="1.5703125" style="349" customWidth="1"/>
    <col min="2" max="2" width="14.28515625" style="349" customWidth="1"/>
    <col min="3" max="3" width="11" style="349" bestFit="1" customWidth="1"/>
    <col min="4" max="4" width="11.42578125" style="349" bestFit="1" customWidth="1"/>
    <col min="5" max="5" width="0.85546875" style="350" customWidth="1"/>
    <col min="6" max="6" width="14" style="349" customWidth="1"/>
    <col min="7" max="7" width="1.140625" style="349" customWidth="1"/>
    <col min="8" max="8" width="14" style="349" customWidth="1"/>
    <col min="9" max="9" width="0.85546875" style="349" customWidth="1"/>
    <col min="10" max="10" width="14" style="349" customWidth="1"/>
    <col min="11" max="11" width="1.140625" style="349" customWidth="1"/>
    <col min="12" max="12" width="14" style="349" customWidth="1"/>
    <col min="13" max="13" width="1.140625" style="349" customWidth="1"/>
    <col min="14" max="14" width="14" style="349" customWidth="1"/>
    <col min="15" max="15" width="1.7109375" style="349" customWidth="1"/>
    <col min="16" max="16" width="14" style="349" customWidth="1"/>
    <col min="17" max="17" width="1.42578125" style="349" customWidth="1"/>
    <col min="18" max="16384" width="11.42578125" style="349"/>
  </cols>
  <sheetData>
    <row r="1" spans="2:16" ht="4.5" customHeight="1"/>
    <row r="2" spans="2:16">
      <c r="B2" s="189" t="s">
        <v>313</v>
      </c>
    </row>
    <row r="3" spans="2:16" ht="6" customHeight="1"/>
    <row r="4" spans="2:16">
      <c r="F4" s="351" t="s">
        <v>306</v>
      </c>
      <c r="H4" s="351" t="s">
        <v>308</v>
      </c>
      <c r="J4" s="351" t="s">
        <v>309</v>
      </c>
      <c r="L4" s="351" t="s">
        <v>310</v>
      </c>
      <c r="N4" s="351" t="s">
        <v>311</v>
      </c>
      <c r="P4" s="351"/>
    </row>
    <row r="5" spans="2:16" s="244" customFormat="1">
      <c r="E5" s="348"/>
      <c r="F5" s="347"/>
      <c r="H5" s="376">
        <v>0.03</v>
      </c>
      <c r="J5" s="376">
        <v>0.04</v>
      </c>
      <c r="L5" s="377">
        <v>3.5000000000000003E-2</v>
      </c>
      <c r="N5" s="376">
        <v>0.04</v>
      </c>
      <c r="P5" s="347"/>
    </row>
    <row r="6" spans="2:16" ht="38.25">
      <c r="B6" s="352" t="s">
        <v>298</v>
      </c>
      <c r="C6" s="353" t="s">
        <v>305</v>
      </c>
      <c r="D6" s="352" t="s">
        <v>299</v>
      </c>
      <c r="E6" s="354"/>
      <c r="F6" s="355" t="s">
        <v>300</v>
      </c>
      <c r="H6" s="355" t="s">
        <v>300</v>
      </c>
      <c r="J6" s="355" t="s">
        <v>300</v>
      </c>
      <c r="L6" s="355" t="s">
        <v>300</v>
      </c>
      <c r="N6" s="355" t="s">
        <v>300</v>
      </c>
      <c r="P6" s="378" t="s">
        <v>312</v>
      </c>
    </row>
    <row r="7" spans="2:16" ht="3.75" customHeight="1">
      <c r="B7" s="356"/>
      <c r="C7" s="356"/>
      <c r="D7" s="356"/>
      <c r="E7" s="357"/>
    </row>
    <row r="8" spans="2:16">
      <c r="B8" s="358" t="s">
        <v>302</v>
      </c>
      <c r="C8" s="359" t="s">
        <v>301</v>
      </c>
      <c r="D8" s="360">
        <v>1200000</v>
      </c>
      <c r="E8" s="361"/>
      <c r="F8" s="362">
        <f>(1200000*12)+((1200000*12)*(0.52))</f>
        <v>21888000</v>
      </c>
      <c r="H8" s="362">
        <f>F8+(F8*H5)</f>
        <v>22544640</v>
      </c>
      <c r="J8" s="362">
        <f>H8+(H8*J5)</f>
        <v>23446425.600000001</v>
      </c>
      <c r="L8" s="362">
        <f>J8+(J8*L5)</f>
        <v>24267050.496000003</v>
      </c>
      <c r="N8" s="362">
        <f>L8+(L8*N5)</f>
        <v>25237732.515840001</v>
      </c>
      <c r="P8" s="362">
        <f>F8+H8+J8+L8+N8</f>
        <v>117383848.61184001</v>
      </c>
    </row>
    <row r="9" spans="2:16" ht="8.25" customHeight="1">
      <c r="B9" s="363"/>
      <c r="C9" s="358"/>
      <c r="D9" s="363"/>
      <c r="E9" s="364"/>
      <c r="F9" s="365"/>
      <c r="H9" s="365"/>
      <c r="J9" s="365"/>
      <c r="L9" s="365"/>
      <c r="N9" s="365"/>
      <c r="P9" s="365"/>
    </row>
    <row r="10" spans="2:16" ht="38.25">
      <c r="B10" s="358" t="s">
        <v>31</v>
      </c>
      <c r="C10" s="366" t="s">
        <v>303</v>
      </c>
      <c r="D10" s="360">
        <v>950000</v>
      </c>
      <c r="E10" s="361"/>
      <c r="F10" s="362">
        <f>(950000*12)+((950000*12)*(0.52))</f>
        <v>17328000</v>
      </c>
      <c r="H10" s="362">
        <f>F10+(F10*H5)</f>
        <v>17847840</v>
      </c>
      <c r="J10" s="362">
        <f>H10+(H10*J5)</f>
        <v>18561753.600000001</v>
      </c>
      <c r="L10" s="362">
        <f>J10+(J10*L5)</f>
        <v>19211414.976000004</v>
      </c>
      <c r="N10" s="362">
        <f>L10+(L10*N5)</f>
        <v>19979871.575040005</v>
      </c>
      <c r="P10" s="362">
        <f>F10+H10+J10+L10+N10</f>
        <v>92928880.151040018</v>
      </c>
    </row>
    <row r="11" spans="2:16" ht="7.5" customHeight="1">
      <c r="B11" s="363"/>
      <c r="C11" s="363"/>
      <c r="D11" s="363"/>
      <c r="E11" s="364"/>
      <c r="F11" s="365"/>
      <c r="H11" s="365"/>
      <c r="J11" s="365"/>
      <c r="L11" s="365"/>
      <c r="N11" s="365"/>
      <c r="P11" s="365"/>
    </row>
    <row r="12" spans="2:16" ht="25.5">
      <c r="B12" s="367" t="s">
        <v>307</v>
      </c>
      <c r="C12" s="366" t="s">
        <v>304</v>
      </c>
      <c r="D12" s="360">
        <v>950000</v>
      </c>
      <c r="E12" s="361"/>
      <c r="F12" s="362">
        <f>(950000*12)+((950000*12)*(0.52))</f>
        <v>17328000</v>
      </c>
      <c r="H12" s="362">
        <f>F12+(F12*H5)</f>
        <v>17847840</v>
      </c>
      <c r="J12" s="362">
        <f>H12+(H12*J5)</f>
        <v>18561753.600000001</v>
      </c>
      <c r="L12" s="362">
        <f>J12+(J12*L5)</f>
        <v>19211414.976000004</v>
      </c>
      <c r="N12" s="362">
        <f>L12+(L12*N5)</f>
        <v>19979871.575040005</v>
      </c>
      <c r="P12" s="362">
        <f>F12+H12+J12+L12+N12</f>
        <v>92928880.151040018</v>
      </c>
    </row>
    <row r="13" spans="2:16" s="372" customFormat="1" ht="6.75" customHeight="1">
      <c r="B13" s="368"/>
      <c r="C13" s="369"/>
      <c r="D13" s="370"/>
      <c r="E13" s="361"/>
      <c r="F13" s="371"/>
      <c r="H13" s="371"/>
      <c r="J13" s="371"/>
      <c r="L13" s="371"/>
      <c r="N13" s="371"/>
      <c r="P13" s="371"/>
    </row>
    <row r="14" spans="2:16" ht="20.25" customHeight="1">
      <c r="B14" s="373" t="s">
        <v>56</v>
      </c>
      <c r="C14" s="356"/>
      <c r="D14" s="374">
        <f>D8+D10+D12</f>
        <v>3100000</v>
      </c>
      <c r="E14" s="375"/>
      <c r="F14" s="374">
        <v>56544000</v>
      </c>
      <c r="H14" s="374">
        <f>SUM(H8:H12)</f>
        <v>58240320</v>
      </c>
      <c r="J14" s="374">
        <f>SUM(J8:J12)</f>
        <v>60569932.800000004</v>
      </c>
      <c r="L14" s="374">
        <f>SUM(L8:L12)</f>
        <v>62689880.448000006</v>
      </c>
      <c r="N14" s="374">
        <f>SUM(N8:N12)</f>
        <v>65197475.665920012</v>
      </c>
      <c r="P14" s="374">
        <f>F14+H14+J14+L14+N14</f>
        <v>303241608.91392004</v>
      </c>
    </row>
    <row r="15" spans="2:16" ht="5.25" customHeight="1"/>
    <row r="16" spans="2:16">
      <c r="F16" s="384"/>
    </row>
  </sheetData>
  <pageMargins left="0.7" right="0.7" top="0.75" bottom="0.75" header="0.3" footer="0.3"/>
  <ignoredErrors>
    <ignoredError sqref="P8 P14 P12 P10" unlockedFormula="1"/>
  </ignoredErrors>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G23:H23"/>
  <sheetViews>
    <sheetView showGridLines="0" showRowColHeaders="0" view="pageBreakPreview" zoomScaleNormal="100" zoomScaleSheetLayoutView="100" workbookViewId="0"/>
  </sheetViews>
  <sheetFormatPr baseColWidth="10" defaultRowHeight="15"/>
  <sheetData>
    <row r="23" spans="7:8" ht="20.25">
      <c r="G23" s="393" t="s">
        <v>135</v>
      </c>
      <c r="H23" s="393"/>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100-000000000000}"/>
  </hyperlinks>
  <pageMargins left="0.7" right="0.7" top="0.75" bottom="0.75" header="0.3" footer="0.3"/>
  <pageSetup paperSize="9" scale="69"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rgb="FF002060"/>
  </sheetPr>
  <dimension ref="A1:AC35"/>
  <sheetViews>
    <sheetView showGridLines="0" zoomScale="80" zoomScaleNormal="80" workbookViewId="0">
      <selection activeCell="D6" sqref="D6"/>
    </sheetView>
  </sheetViews>
  <sheetFormatPr baseColWidth="10" defaultColWidth="11.42578125" defaultRowHeight="15"/>
  <cols>
    <col min="1" max="1" width="18" style="15" customWidth="1"/>
    <col min="2" max="2" width="26.5703125" style="15" customWidth="1"/>
    <col min="3" max="3" width="22.5703125" style="15" customWidth="1"/>
    <col min="4" max="4" width="23.28515625" style="15" customWidth="1"/>
    <col min="5" max="5" width="22.5703125" style="15" customWidth="1"/>
    <col min="6" max="6" width="23.28515625" style="15" customWidth="1"/>
    <col min="7" max="10" width="9.42578125" style="15" bestFit="1" customWidth="1"/>
    <col min="11" max="11" width="4.28515625" style="15" customWidth="1"/>
    <col min="12" max="15" width="11.42578125" style="15" hidden="1" customWidth="1"/>
    <col min="16" max="19" width="12" style="15" hidden="1" customWidth="1"/>
    <col min="20" max="24" width="15.5703125" style="15" hidden="1" customWidth="1"/>
    <col min="25" max="25" width="22.140625" style="15" bestFit="1" customWidth="1"/>
    <col min="26" max="27" width="9.42578125" style="15" bestFit="1" customWidth="1"/>
    <col min="28" max="28" width="11.42578125" style="15" bestFit="1" customWidth="1"/>
    <col min="29" max="29" width="9.42578125" style="15" bestFit="1" customWidth="1"/>
    <col min="30" max="16384" width="11.42578125" style="15"/>
  </cols>
  <sheetData>
    <row r="1" spans="1:29" ht="30.75" customHeight="1">
      <c r="A1" s="395" t="s">
        <v>5</v>
      </c>
      <c r="B1" s="395"/>
      <c r="C1" s="395"/>
      <c r="D1" s="395"/>
      <c r="E1" s="395"/>
      <c r="G1" s="396" t="s">
        <v>12</v>
      </c>
      <c r="H1" s="396"/>
      <c r="I1" s="396"/>
      <c r="J1" s="396"/>
      <c r="P1" s="15" t="s">
        <v>16</v>
      </c>
      <c r="Y1" s="118" t="s">
        <v>9</v>
      </c>
      <c r="Z1" s="119">
        <v>2022</v>
      </c>
      <c r="AA1" s="16"/>
    </row>
    <row r="2" spans="1:29" ht="32.25" customHeight="1" thickBot="1">
      <c r="B2" s="120" t="s">
        <v>4</v>
      </c>
      <c r="C2" s="117" t="s">
        <v>0</v>
      </c>
      <c r="D2" s="120" t="s">
        <v>7</v>
      </c>
      <c r="E2" s="117" t="s">
        <v>1</v>
      </c>
      <c r="F2" s="19" t="s">
        <v>27</v>
      </c>
      <c r="G2" s="20">
        <f>'1'!Z1+1</f>
        <v>2023</v>
      </c>
      <c r="H2" s="20">
        <f>G2+1</f>
        <v>2024</v>
      </c>
      <c r="I2" s="20">
        <f t="shared" ref="I2:J2" si="0">H2+1</f>
        <v>2025</v>
      </c>
      <c r="J2" s="20">
        <f t="shared" si="0"/>
        <v>2026</v>
      </c>
      <c r="L2" s="15">
        <f>G2</f>
        <v>2023</v>
      </c>
      <c r="M2" s="15">
        <f>H2</f>
        <v>2024</v>
      </c>
      <c r="N2" s="15">
        <f>M2+1</f>
        <v>2025</v>
      </c>
      <c r="O2" s="15">
        <f>N2+1</f>
        <v>2026</v>
      </c>
      <c r="P2" s="15" t="s">
        <v>13</v>
      </c>
      <c r="Q2" s="15" t="s">
        <v>11</v>
      </c>
      <c r="R2" s="15" t="s">
        <v>23</v>
      </c>
      <c r="S2" s="15" t="s">
        <v>24</v>
      </c>
      <c r="T2" s="15" t="s">
        <v>17</v>
      </c>
      <c r="U2" s="15" t="s">
        <v>18</v>
      </c>
      <c r="V2" s="15" t="s">
        <v>25</v>
      </c>
      <c r="W2" s="15" t="s">
        <v>26</v>
      </c>
      <c r="Y2" s="16"/>
      <c r="Z2" s="16"/>
      <c r="AA2" s="16"/>
    </row>
    <row r="3" spans="1:29" ht="24" thickBot="1">
      <c r="A3" s="21">
        <v>1</v>
      </c>
      <c r="B3" s="13" t="s">
        <v>160</v>
      </c>
      <c r="C3" s="130">
        <v>29600</v>
      </c>
      <c r="D3" s="129">
        <v>5200</v>
      </c>
      <c r="E3" s="22">
        <f>C3*D3</f>
        <v>153920000</v>
      </c>
      <c r="F3" s="23">
        <f>IF($E$13=0,0,E3/$E$13)</f>
        <v>0.31713196662202536</v>
      </c>
      <c r="G3" s="145">
        <v>0.1</v>
      </c>
      <c r="H3" s="145">
        <v>0.12</v>
      </c>
      <c r="I3" s="145">
        <v>7.0000000000000007E-2</v>
      </c>
      <c r="J3" s="145">
        <v>0.08</v>
      </c>
      <c r="K3" s="24"/>
      <c r="L3" s="15">
        <f t="shared" ref="L3:L12" si="1">C3*(1+G3)</f>
        <v>32560.000000000004</v>
      </c>
      <c r="M3" s="15">
        <f>L3*(1+H3)</f>
        <v>36467.200000000004</v>
      </c>
      <c r="N3" s="15">
        <f t="shared" ref="N3:O3" si="2">M3*(1+I3)</f>
        <v>39019.90400000001</v>
      </c>
      <c r="O3" s="15">
        <f t="shared" si="2"/>
        <v>42141.496320000013</v>
      </c>
      <c r="P3" s="25">
        <f>D3*(1+'1'!$Z$4)</f>
        <v>5356</v>
      </c>
      <c r="Q3" s="25">
        <f>P3*(1+'1'!$AA$4)</f>
        <v>5570.24</v>
      </c>
      <c r="R3" s="25">
        <f>Q3*(1+'1'!$AB$4)</f>
        <v>5765.1983999999993</v>
      </c>
      <c r="S3" s="25">
        <f>R3*(1+'1'!$AC$4)</f>
        <v>5995.8063359999996</v>
      </c>
      <c r="T3" s="26">
        <f>L3*P3</f>
        <v>174391360.00000003</v>
      </c>
      <c r="U3" s="26">
        <f>M3*Q3</f>
        <v>203131056.12800002</v>
      </c>
      <c r="V3" s="26">
        <f>N3*R3</f>
        <v>224957488.10895362</v>
      </c>
      <c r="W3" s="26">
        <f>O3*S3</f>
        <v>252672250.64397675</v>
      </c>
      <c r="X3" s="26"/>
      <c r="Y3" s="27" t="s">
        <v>10</v>
      </c>
      <c r="Z3" s="28">
        <f>G2</f>
        <v>2023</v>
      </c>
      <c r="AA3" s="28">
        <f>Z3+1</f>
        <v>2024</v>
      </c>
      <c r="AB3" s="28">
        <f t="shared" ref="AB3:AC3" si="3">AA3+1</f>
        <v>2025</v>
      </c>
      <c r="AC3" s="29">
        <f t="shared" si="3"/>
        <v>2026</v>
      </c>
    </row>
    <row r="4" spans="1:29" ht="23.25">
      <c r="A4" s="21">
        <f>A3+1</f>
        <v>2</v>
      </c>
      <c r="B4" s="13" t="s">
        <v>161</v>
      </c>
      <c r="C4" s="130">
        <v>17500</v>
      </c>
      <c r="D4" s="129">
        <v>2800</v>
      </c>
      <c r="E4" s="22">
        <f t="shared" ref="E4:E12" si="4">C4*D4</f>
        <v>49000000</v>
      </c>
      <c r="F4" s="23">
        <f t="shared" ref="F4:F12" si="5">IF($E$13=0,0,E4/$E$13)</f>
        <v>0.10095807149479757</v>
      </c>
      <c r="G4" s="145">
        <v>7.0000000000000007E-2</v>
      </c>
      <c r="H4" s="145">
        <v>0.09</v>
      </c>
      <c r="I4" s="145">
        <v>0.04</v>
      </c>
      <c r="J4" s="145">
        <v>0.05</v>
      </c>
      <c r="K4" s="24"/>
      <c r="L4" s="15">
        <f t="shared" si="1"/>
        <v>18725</v>
      </c>
      <c r="M4" s="15">
        <f t="shared" ref="M4:M12" si="6">L4*(1+H4)</f>
        <v>20410.25</v>
      </c>
      <c r="N4" s="15">
        <f t="shared" ref="N4:N12" si="7">M4*(1+I4)</f>
        <v>21226.66</v>
      </c>
      <c r="O4" s="15">
        <f t="shared" ref="O4:O12" si="8">N4*(1+J4)</f>
        <v>22287.993000000002</v>
      </c>
      <c r="P4" s="25">
        <f>D4*(1+'1'!$Z$4)</f>
        <v>2884</v>
      </c>
      <c r="Q4" s="25">
        <f>P4*(1+'1'!$AA$4)</f>
        <v>2999.36</v>
      </c>
      <c r="R4" s="25">
        <f>Q4*(1+'1'!$AB$4)</f>
        <v>3104.3375999999998</v>
      </c>
      <c r="S4" s="25">
        <f>R4*(1+'1'!$AC$4)</f>
        <v>3228.5111040000002</v>
      </c>
      <c r="T4" s="26">
        <f t="shared" ref="T4:T12" si="9">L4*P4</f>
        <v>54002900</v>
      </c>
      <c r="U4" s="26">
        <f t="shared" ref="U4:U12" si="10">M4*Q4</f>
        <v>61217687.440000005</v>
      </c>
      <c r="V4" s="26">
        <f t="shared" ref="V4:V12" si="11">N4*R4</f>
        <v>65894718.760415994</v>
      </c>
      <c r="W4" s="26">
        <f t="shared" ref="W4:W12" si="12">O4*S4</f>
        <v>71957032.88637428</v>
      </c>
      <c r="X4" s="26"/>
      <c r="Y4" s="99" t="s">
        <v>14</v>
      </c>
      <c r="Z4" s="48">
        <v>0.03</v>
      </c>
      <c r="AA4" s="48">
        <v>0.04</v>
      </c>
      <c r="AB4" s="48">
        <v>3.5000000000000003E-2</v>
      </c>
      <c r="AC4" s="49">
        <v>0.04</v>
      </c>
    </row>
    <row r="5" spans="1:29" ht="24" thickBot="1">
      <c r="A5" s="21">
        <f t="shared" ref="A5:A12" si="13">A4+1</f>
        <v>3</v>
      </c>
      <c r="B5" s="13" t="s">
        <v>162</v>
      </c>
      <c r="C5" s="130">
        <v>43600</v>
      </c>
      <c r="D5" s="129">
        <v>1400</v>
      </c>
      <c r="E5" s="22">
        <f t="shared" si="4"/>
        <v>61040000</v>
      </c>
      <c r="F5" s="23">
        <f t="shared" si="5"/>
        <v>0.12576491191923353</v>
      </c>
      <c r="G5" s="47">
        <v>0.15</v>
      </c>
      <c r="H5" s="47">
        <v>0.17</v>
      </c>
      <c r="I5" s="47">
        <v>0.12</v>
      </c>
      <c r="J5" s="47">
        <v>0.13</v>
      </c>
      <c r="K5" s="24"/>
      <c r="L5" s="15">
        <f t="shared" si="1"/>
        <v>50139.999999999993</v>
      </c>
      <c r="M5" s="15">
        <f t="shared" si="6"/>
        <v>58663.799999999988</v>
      </c>
      <c r="N5" s="15">
        <f t="shared" si="7"/>
        <v>65703.455999999991</v>
      </c>
      <c r="O5" s="15">
        <f t="shared" si="8"/>
        <v>74244.905279999977</v>
      </c>
      <c r="P5" s="25">
        <f>D5*(1+'1'!$Z$4)</f>
        <v>1442</v>
      </c>
      <c r="Q5" s="25">
        <f>P5*(1+'1'!$AA$4)</f>
        <v>1499.68</v>
      </c>
      <c r="R5" s="25">
        <f>Q5*(1+'1'!$AB$4)</f>
        <v>1552.1687999999999</v>
      </c>
      <c r="S5" s="25">
        <f>R5*(1+'1'!$AC$4)</f>
        <v>1614.2555520000001</v>
      </c>
      <c r="T5" s="26">
        <f t="shared" si="9"/>
        <v>72301879.999999985</v>
      </c>
      <c r="U5" s="26">
        <f t="shared" si="10"/>
        <v>87976927.583999991</v>
      </c>
      <c r="V5" s="26">
        <f t="shared" si="11"/>
        <v>101982854.45537278</v>
      </c>
      <c r="W5" s="26">
        <f t="shared" si="12"/>
        <v>119850250.55595408</v>
      </c>
      <c r="X5" s="26"/>
      <c r="Y5" s="100" t="s">
        <v>15</v>
      </c>
      <c r="Z5" s="50">
        <v>0.03</v>
      </c>
      <c r="AA5" s="50">
        <v>0.03</v>
      </c>
      <c r="AB5" s="50">
        <v>0.03</v>
      </c>
      <c r="AC5" s="51">
        <v>0.03</v>
      </c>
    </row>
    <row r="6" spans="1:29" ht="15.75" thickBot="1">
      <c r="A6" s="21">
        <f t="shared" si="13"/>
        <v>4</v>
      </c>
      <c r="B6" s="13" t="s">
        <v>225</v>
      </c>
      <c r="C6" s="130">
        <v>47500</v>
      </c>
      <c r="D6" s="129">
        <v>4400</v>
      </c>
      <c r="E6" s="22">
        <f t="shared" si="4"/>
        <v>209000000</v>
      </c>
      <c r="F6" s="23">
        <f t="shared" si="5"/>
        <v>0.43061708045740188</v>
      </c>
      <c r="G6" s="47">
        <v>0.13</v>
      </c>
      <c r="H6" s="47">
        <v>0.15</v>
      </c>
      <c r="I6" s="47">
        <v>0.1</v>
      </c>
      <c r="J6" s="47">
        <v>0.11</v>
      </c>
      <c r="K6" s="24"/>
      <c r="L6" s="15">
        <f t="shared" si="1"/>
        <v>53674.999999999993</v>
      </c>
      <c r="M6" s="15">
        <f t="shared" si="6"/>
        <v>61726.249999999985</v>
      </c>
      <c r="N6" s="15">
        <f t="shared" si="7"/>
        <v>67898.874999999985</v>
      </c>
      <c r="O6" s="15">
        <f t="shared" si="8"/>
        <v>75367.751249999987</v>
      </c>
      <c r="P6" s="25">
        <f>D6*(1+'1'!$Z$4)</f>
        <v>4532</v>
      </c>
      <c r="Q6" s="25">
        <f>P6*(1+'1'!$AA$4)</f>
        <v>4713.28</v>
      </c>
      <c r="R6" s="25">
        <f>Q6*(1+'1'!$AB$4)</f>
        <v>4878.2447999999995</v>
      </c>
      <c r="S6" s="25">
        <f>R6*(1+'1'!$AC$4)</f>
        <v>5073.3745919999992</v>
      </c>
      <c r="T6" s="26">
        <f t="shared" si="9"/>
        <v>243255099.99999997</v>
      </c>
      <c r="U6" s="26">
        <f t="shared" si="10"/>
        <v>290933099.5999999</v>
      </c>
      <c r="V6" s="26">
        <f t="shared" si="11"/>
        <v>331227333.89459991</v>
      </c>
      <c r="W6" s="26">
        <f t="shared" si="12"/>
        <v>382368834.24792612</v>
      </c>
      <c r="X6" s="26"/>
    </row>
    <row r="7" spans="1:29" ht="24" thickBot="1">
      <c r="A7" s="21">
        <f t="shared" si="13"/>
        <v>5</v>
      </c>
      <c r="B7" s="13" t="s">
        <v>226</v>
      </c>
      <c r="C7" s="130">
        <v>17700</v>
      </c>
      <c r="D7" s="129">
        <v>700</v>
      </c>
      <c r="E7" s="22">
        <f>C7*D7</f>
        <v>12390000</v>
      </c>
      <c r="F7" s="23">
        <f t="shared" si="5"/>
        <v>2.5527969506541671E-2</v>
      </c>
      <c r="G7" s="47">
        <v>0.1</v>
      </c>
      <c r="H7" s="47">
        <v>0.12</v>
      </c>
      <c r="I7" s="47">
        <v>7.0000000000000007E-2</v>
      </c>
      <c r="J7" s="47">
        <v>0.08</v>
      </c>
      <c r="K7" s="24"/>
      <c r="L7" s="15">
        <f>C7*(1+G7)</f>
        <v>19470</v>
      </c>
      <c r="M7" s="15">
        <f t="shared" si="6"/>
        <v>21806.400000000001</v>
      </c>
      <c r="N7" s="15">
        <f t="shared" si="7"/>
        <v>23332.848000000002</v>
      </c>
      <c r="O7" s="15">
        <f t="shared" si="8"/>
        <v>25199.475840000003</v>
      </c>
      <c r="P7" s="25">
        <f>D7*(1+'1'!$Z$4)</f>
        <v>721</v>
      </c>
      <c r="Q7" s="25">
        <f>P7*(1+'1'!$AA$4)</f>
        <v>749.84</v>
      </c>
      <c r="R7" s="25">
        <f>Q7*(1+'1'!$AB$4)</f>
        <v>776.08439999999996</v>
      </c>
      <c r="S7" s="25">
        <f>R7*(1+'1'!$AC$4)</f>
        <v>807.12777600000004</v>
      </c>
      <c r="T7" s="26">
        <f t="shared" si="9"/>
        <v>14037870</v>
      </c>
      <c r="U7" s="26">
        <f t="shared" si="10"/>
        <v>16351310.976000002</v>
      </c>
      <c r="V7" s="26">
        <f t="shared" si="11"/>
        <v>18108259.340371199</v>
      </c>
      <c r="W7" s="26">
        <f t="shared" si="12"/>
        <v>20339196.891104937</v>
      </c>
      <c r="X7" s="26"/>
      <c r="Y7" s="30" t="s">
        <v>91</v>
      </c>
      <c r="Z7" s="31"/>
      <c r="AA7" s="31"/>
      <c r="AB7" s="52">
        <v>0.34</v>
      </c>
      <c r="AC7" s="32"/>
    </row>
    <row r="8" spans="1:29" hidden="1">
      <c r="A8" s="21">
        <f t="shared" si="13"/>
        <v>6</v>
      </c>
      <c r="B8" s="13"/>
      <c r="C8" s="53"/>
      <c r="D8" s="14"/>
      <c r="E8" s="22">
        <f t="shared" si="4"/>
        <v>0</v>
      </c>
      <c r="F8" s="23">
        <f t="shared" si="5"/>
        <v>0</v>
      </c>
      <c r="G8" s="47"/>
      <c r="H8" s="47"/>
      <c r="I8" s="47"/>
      <c r="J8" s="47"/>
      <c r="K8" s="24"/>
      <c r="L8" s="15">
        <f t="shared" si="1"/>
        <v>0</v>
      </c>
      <c r="M8" s="15">
        <f t="shared" si="6"/>
        <v>0</v>
      </c>
      <c r="N8" s="15">
        <f t="shared" si="7"/>
        <v>0</v>
      </c>
      <c r="O8" s="15">
        <f t="shared" si="8"/>
        <v>0</v>
      </c>
      <c r="P8" s="25">
        <f>D8*(1+'1'!$Z$4)</f>
        <v>0</v>
      </c>
      <c r="Q8" s="25">
        <f>P8*(1+'1'!$AA$4)</f>
        <v>0</v>
      </c>
      <c r="R8" s="25">
        <f>Q8*(1+'1'!$AB$4)</f>
        <v>0</v>
      </c>
      <c r="S8" s="25">
        <f>R8*(1+'1'!$AC$4)</f>
        <v>0</v>
      </c>
      <c r="T8" s="26">
        <f t="shared" si="9"/>
        <v>0</v>
      </c>
      <c r="U8" s="26">
        <f t="shared" si="10"/>
        <v>0</v>
      </c>
      <c r="V8" s="26">
        <f t="shared" si="11"/>
        <v>0</v>
      </c>
      <c r="W8" s="26">
        <f t="shared" si="12"/>
        <v>0</v>
      </c>
      <c r="X8" s="26"/>
    </row>
    <row r="9" spans="1:29" hidden="1">
      <c r="A9" s="21">
        <f t="shared" si="13"/>
        <v>7</v>
      </c>
      <c r="B9" s="13"/>
      <c r="C9" s="53"/>
      <c r="D9" s="14"/>
      <c r="E9" s="22">
        <f>C9*D9</f>
        <v>0</v>
      </c>
      <c r="F9" s="23">
        <f t="shared" si="5"/>
        <v>0</v>
      </c>
      <c r="G9" s="47"/>
      <c r="H9" s="47"/>
      <c r="I9" s="47"/>
      <c r="J9" s="47"/>
      <c r="K9" s="24"/>
      <c r="L9" s="15">
        <f>C9*(1+G9)</f>
        <v>0</v>
      </c>
      <c r="M9" s="15">
        <f t="shared" si="6"/>
        <v>0</v>
      </c>
      <c r="N9" s="15">
        <f t="shared" si="7"/>
        <v>0</v>
      </c>
      <c r="O9" s="15">
        <f t="shared" si="8"/>
        <v>0</v>
      </c>
      <c r="P9" s="25">
        <f>D9*(1+'1'!$Z$4)</f>
        <v>0</v>
      </c>
      <c r="Q9" s="25">
        <f>P9*(1+'1'!$AA$4)</f>
        <v>0</v>
      </c>
      <c r="R9" s="25">
        <f>Q9*(1+'1'!$AB$4)</f>
        <v>0</v>
      </c>
      <c r="S9" s="25">
        <f>R9*(1+'1'!$AC$4)</f>
        <v>0</v>
      </c>
      <c r="T9" s="26">
        <f t="shared" si="9"/>
        <v>0</v>
      </c>
      <c r="U9" s="26">
        <f t="shared" si="10"/>
        <v>0</v>
      </c>
      <c r="V9" s="26">
        <f t="shared" si="11"/>
        <v>0</v>
      </c>
      <c r="W9" s="26">
        <f t="shared" si="12"/>
        <v>0</v>
      </c>
      <c r="X9" s="26"/>
    </row>
    <row r="10" spans="1:29" hidden="1">
      <c r="A10" s="21">
        <f t="shared" si="13"/>
        <v>8</v>
      </c>
      <c r="B10" s="13"/>
      <c r="C10" s="53"/>
      <c r="D10" s="14"/>
      <c r="E10" s="22">
        <f t="shared" si="4"/>
        <v>0</v>
      </c>
      <c r="F10" s="23">
        <f t="shared" si="5"/>
        <v>0</v>
      </c>
      <c r="G10" s="47"/>
      <c r="H10" s="47"/>
      <c r="I10" s="47"/>
      <c r="J10" s="47"/>
      <c r="K10" s="24"/>
      <c r="L10" s="15">
        <f t="shared" si="1"/>
        <v>0</v>
      </c>
      <c r="M10" s="15">
        <f t="shared" si="6"/>
        <v>0</v>
      </c>
      <c r="N10" s="15">
        <f t="shared" si="7"/>
        <v>0</v>
      </c>
      <c r="O10" s="15">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hidden="1">
      <c r="A11" s="21">
        <f t="shared" si="13"/>
        <v>9</v>
      </c>
      <c r="B11" s="13"/>
      <c r="C11" s="53"/>
      <c r="D11" s="14"/>
      <c r="E11" s="22">
        <f t="shared" si="4"/>
        <v>0</v>
      </c>
      <c r="F11" s="23">
        <f t="shared" si="5"/>
        <v>0</v>
      </c>
      <c r="G11" s="47"/>
      <c r="H11" s="47"/>
      <c r="I11" s="47"/>
      <c r="J11" s="47"/>
      <c r="K11" s="24"/>
      <c r="L11" s="15">
        <f t="shared" si="1"/>
        <v>0</v>
      </c>
      <c r="M11" s="15">
        <f t="shared" si="6"/>
        <v>0</v>
      </c>
      <c r="N11" s="15">
        <f t="shared" si="7"/>
        <v>0</v>
      </c>
      <c r="O11" s="15">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hidden="1">
      <c r="A12" s="21">
        <f t="shared" si="13"/>
        <v>10</v>
      </c>
      <c r="B12" s="13"/>
      <c r="C12" s="53"/>
      <c r="D12" s="14"/>
      <c r="E12" s="22">
        <f t="shared" si="4"/>
        <v>0</v>
      </c>
      <c r="F12" s="23">
        <f t="shared" si="5"/>
        <v>0</v>
      </c>
      <c r="G12" s="47"/>
      <c r="H12" s="47"/>
      <c r="I12" s="47"/>
      <c r="J12" s="47"/>
      <c r="K12" s="24"/>
      <c r="L12" s="15">
        <f t="shared" si="1"/>
        <v>0</v>
      </c>
      <c r="M12" s="15">
        <f t="shared" si="6"/>
        <v>0</v>
      </c>
      <c r="N12" s="15">
        <f t="shared" si="7"/>
        <v>0</v>
      </c>
      <c r="O12" s="15">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4" t="s">
        <v>8</v>
      </c>
      <c r="E13" s="33">
        <f>SUM(E3:E12)</f>
        <v>485350000</v>
      </c>
      <c r="F13" s="34">
        <f>SUM(F3:F12)</f>
        <v>1</v>
      </c>
      <c r="T13" s="35">
        <f>SUM(T3:T12)</f>
        <v>557989110</v>
      </c>
      <c r="U13" s="35">
        <f>SUM(U3:U12)</f>
        <v>659610081.72799981</v>
      </c>
      <c r="V13" s="35">
        <f>SUM(V3:V12)</f>
        <v>742170654.5597136</v>
      </c>
      <c r="W13" s="35">
        <f>SUM(W3:W12)</f>
        <v>847187565.22533619</v>
      </c>
      <c r="X13" s="26"/>
    </row>
    <row r="15" spans="1:29" ht="23.25" customHeight="1">
      <c r="A15" s="395" t="s">
        <v>6</v>
      </c>
      <c r="B15" s="395"/>
      <c r="C15" s="395"/>
      <c r="D15" s="395"/>
      <c r="E15" s="395"/>
      <c r="G15" s="36"/>
    </row>
    <row r="16" spans="1:29" ht="25.5" customHeight="1">
      <c r="B16" s="17" t="s">
        <v>3</v>
      </c>
      <c r="C16" s="37" t="s">
        <v>0</v>
      </c>
      <c r="D16" s="98" t="s">
        <v>137</v>
      </c>
      <c r="E16" s="18" t="s">
        <v>2</v>
      </c>
      <c r="L16" s="15">
        <f>L2</f>
        <v>2023</v>
      </c>
      <c r="M16" s="15">
        <f t="shared" ref="M16:W16" si="14">M2</f>
        <v>2024</v>
      </c>
      <c r="N16" s="15">
        <f t="shared" si="14"/>
        <v>2025</v>
      </c>
      <c r="O16" s="15">
        <f t="shared" si="14"/>
        <v>2026</v>
      </c>
      <c r="P16" s="15" t="str">
        <f t="shared" si="14"/>
        <v>AÑO 2</v>
      </c>
      <c r="Q16" s="15" t="str">
        <f t="shared" si="14"/>
        <v>AÑO 3</v>
      </c>
      <c r="R16" s="15" t="str">
        <f t="shared" si="14"/>
        <v>AÑO 4</v>
      </c>
      <c r="S16" s="15" t="str">
        <f t="shared" si="14"/>
        <v>AÑO 5</v>
      </c>
      <c r="T16" s="15" t="str">
        <f t="shared" si="14"/>
        <v>año 2</v>
      </c>
      <c r="U16" s="15" t="str">
        <f t="shared" si="14"/>
        <v>año 3</v>
      </c>
      <c r="V16" s="15" t="str">
        <f t="shared" si="14"/>
        <v>año 4</v>
      </c>
      <c r="W16" s="15" t="str">
        <f t="shared" si="14"/>
        <v>año 5</v>
      </c>
    </row>
    <row r="17" spans="1:24">
      <c r="A17" s="21">
        <f>A3</f>
        <v>1</v>
      </c>
      <c r="B17" s="79" t="str">
        <f>B3</f>
        <v>Bolsa de maní - 500 gms</v>
      </c>
      <c r="C17" s="154">
        <f>C3</f>
        <v>29600</v>
      </c>
      <c r="D17" s="129">
        <f>D3*72%</f>
        <v>3744</v>
      </c>
      <c r="E17" s="22">
        <f>C17*D17</f>
        <v>110822400</v>
      </c>
      <c r="F17" s="23">
        <f>IF($E$27=0,0,E17/$E$27)</f>
        <v>0.31713196662202536</v>
      </c>
      <c r="L17" s="15">
        <f t="shared" ref="L17:L26" si="15">C17*(1+G3)</f>
        <v>32560.000000000004</v>
      </c>
      <c r="M17" s="15">
        <f>L17*(1+H3)</f>
        <v>36467.200000000004</v>
      </c>
      <c r="N17" s="15">
        <f t="shared" ref="N17:O17" si="16">M17*(1+I3)</f>
        <v>39019.90400000001</v>
      </c>
      <c r="O17" s="15">
        <f t="shared" si="16"/>
        <v>42141.496320000013</v>
      </c>
      <c r="P17" s="40">
        <f>D17*(1+'1'!$Z$5)</f>
        <v>3856.32</v>
      </c>
      <c r="Q17" s="25">
        <f>P17*(1+'1'!$AA$5)</f>
        <v>3972.0096000000003</v>
      </c>
      <c r="R17" s="25">
        <f>Q17*(1+'1'!$AB$5)</f>
        <v>4091.1698880000004</v>
      </c>
      <c r="S17" s="25">
        <f>R17*(1+'1'!$AC$5)</f>
        <v>4213.9049846400003</v>
      </c>
      <c r="T17" s="40">
        <f t="shared" ref="T17:U19" si="17">L17*P17</f>
        <v>125561779.20000002</v>
      </c>
      <c r="U17" s="26">
        <f t="shared" si="17"/>
        <v>144848068.48512003</v>
      </c>
      <c r="V17" s="26">
        <f t="shared" ref="V17:W17" si="18">N17*R17</f>
        <v>159637056.2774508</v>
      </c>
      <c r="W17" s="26">
        <f t="shared" si="18"/>
        <v>177580261.4030363</v>
      </c>
      <c r="X17" s="26"/>
    </row>
    <row r="18" spans="1:24">
      <c r="A18" s="21">
        <f t="shared" ref="A18:B25" si="19">A4</f>
        <v>2</v>
      </c>
      <c r="B18" s="41" t="str">
        <f t="shared" si="19"/>
        <v>Bolsa de maní - 250 gms</v>
      </c>
      <c r="C18" s="154">
        <f t="shared" ref="C18:C26" si="20">C4</f>
        <v>17500</v>
      </c>
      <c r="D18" s="129">
        <f>D4*72%</f>
        <v>2016</v>
      </c>
      <c r="E18" s="22">
        <f t="shared" ref="E18:E26" si="21">C18*D18</f>
        <v>35280000</v>
      </c>
      <c r="F18" s="23">
        <f t="shared" ref="F18:F26" si="22">IF($E$27=0,0,E18/$E$27)</f>
        <v>0.10095807149479757</v>
      </c>
      <c r="L18" s="15">
        <f t="shared" si="15"/>
        <v>18725</v>
      </c>
      <c r="M18" s="15">
        <f t="shared" ref="M18:M26" si="23">L18*(1+H4)</f>
        <v>20410.25</v>
      </c>
      <c r="N18" s="15">
        <f t="shared" ref="N18:N26" si="24">M18*(1+I4)</f>
        <v>21226.66</v>
      </c>
      <c r="O18" s="15">
        <f t="shared" ref="O18:O26" si="25">N18*(1+J4)</f>
        <v>22287.993000000002</v>
      </c>
      <c r="P18" s="40">
        <f>D18*(1+'1'!$Z$5)</f>
        <v>2076.48</v>
      </c>
      <c r="Q18" s="25">
        <f>P18*(1+'1'!$AA$5)</f>
        <v>2138.7744000000002</v>
      </c>
      <c r="R18" s="25">
        <f>Q18*(1+'1'!$AB$5)</f>
        <v>2202.9376320000001</v>
      </c>
      <c r="S18" s="25">
        <f>R18*(1+'1'!$AC$5)</f>
        <v>2269.0257609600003</v>
      </c>
      <c r="T18" s="40">
        <f t="shared" si="17"/>
        <v>38882088</v>
      </c>
      <c r="U18" s="26">
        <f t="shared" si="17"/>
        <v>43652920.197600007</v>
      </c>
      <c r="V18" s="26">
        <f t="shared" ref="V18:V26" si="26">N18*R18</f>
        <v>46761008.115669124</v>
      </c>
      <c r="W18" s="26">
        <f t="shared" ref="W18:W26" si="27">O18*S18</f>
        <v>50572030.277096167</v>
      </c>
      <c r="X18" s="26"/>
    </row>
    <row r="19" spans="1:24">
      <c r="A19" s="21">
        <f t="shared" si="19"/>
        <v>3</v>
      </c>
      <c r="B19" s="41" t="str">
        <f t="shared" si="19"/>
        <v>Bolsa de maní - 125 gms</v>
      </c>
      <c r="C19" s="154">
        <f t="shared" si="20"/>
        <v>43600</v>
      </c>
      <c r="D19" s="129">
        <f t="shared" ref="D19:D21" si="28">D5*72%</f>
        <v>1008</v>
      </c>
      <c r="E19" s="22">
        <f t="shared" si="21"/>
        <v>43948800</v>
      </c>
      <c r="F19" s="23">
        <f t="shared" si="22"/>
        <v>0.12576491191923353</v>
      </c>
      <c r="L19" s="15">
        <f t="shared" si="15"/>
        <v>50139.999999999993</v>
      </c>
      <c r="M19" s="15">
        <f t="shared" si="23"/>
        <v>58663.799999999988</v>
      </c>
      <c r="N19" s="15">
        <f t="shared" si="24"/>
        <v>65703.455999999991</v>
      </c>
      <c r="O19" s="15">
        <f t="shared" si="25"/>
        <v>74244.905279999977</v>
      </c>
      <c r="P19" s="40">
        <f>D19*(1+'1'!$Z$5)</f>
        <v>1038.24</v>
      </c>
      <c r="Q19" s="25">
        <f>P19*(1+'1'!$AA$5)</f>
        <v>1069.3872000000001</v>
      </c>
      <c r="R19" s="25">
        <f>Q19*(1+'1'!$AB$5)</f>
        <v>1101.4688160000001</v>
      </c>
      <c r="S19" s="25">
        <f>R19*(1+'1'!$AC$5)</f>
        <v>1134.5128804800001</v>
      </c>
      <c r="T19" s="40">
        <f t="shared" si="17"/>
        <v>52057353.599999994</v>
      </c>
      <c r="U19" s="26">
        <f t="shared" si="17"/>
        <v>62734316.823359996</v>
      </c>
      <c r="V19" s="26">
        <f t="shared" si="26"/>
        <v>72370307.88742809</v>
      </c>
      <c r="W19" s="26">
        <f t="shared" si="27"/>
        <v>84231801.350177541</v>
      </c>
      <c r="X19" s="26"/>
    </row>
    <row r="20" spans="1:24">
      <c r="A20" s="21">
        <f t="shared" si="19"/>
        <v>4</v>
      </c>
      <c r="B20" s="41" t="str">
        <f t="shared" si="19"/>
        <v>Ristra de mani (400 gms) - 10 unidades</v>
      </c>
      <c r="C20" s="154">
        <f t="shared" si="20"/>
        <v>47500</v>
      </c>
      <c r="D20" s="129">
        <f t="shared" si="28"/>
        <v>3168</v>
      </c>
      <c r="E20" s="22">
        <f t="shared" si="21"/>
        <v>150480000</v>
      </c>
      <c r="F20" s="23">
        <f t="shared" si="22"/>
        <v>0.43061708045740188</v>
      </c>
      <c r="L20" s="15">
        <f t="shared" si="15"/>
        <v>53674.999999999993</v>
      </c>
      <c r="M20" s="15">
        <f t="shared" si="23"/>
        <v>61726.249999999985</v>
      </c>
      <c r="N20" s="15">
        <f t="shared" si="24"/>
        <v>67898.874999999985</v>
      </c>
      <c r="O20" s="15">
        <f t="shared" si="25"/>
        <v>75367.751249999987</v>
      </c>
      <c r="P20" s="40">
        <f>D20*(1+'1'!$Z$5)</f>
        <v>3263.04</v>
      </c>
      <c r="Q20" s="25">
        <f>P20*(1+'1'!$AA$5)</f>
        <v>3360.9312</v>
      </c>
      <c r="R20" s="25">
        <f>Q20*(1+'1'!$AB$5)</f>
        <v>3461.7591360000001</v>
      </c>
      <c r="S20" s="25">
        <f>R20*(1+'1'!$AC$5)</f>
        <v>3565.6119100800001</v>
      </c>
      <c r="T20" s="40">
        <f t="shared" ref="T20:T26" si="29">L20*P20</f>
        <v>175143671.99999997</v>
      </c>
      <c r="U20" s="26">
        <f t="shared" ref="U20:U26" si="30">M20*Q20</f>
        <v>207457679.48399994</v>
      </c>
      <c r="V20" s="26">
        <f t="shared" si="26"/>
        <v>235049550.85537195</v>
      </c>
      <c r="W20" s="26">
        <f t="shared" si="27"/>
        <v>268732151.49294674</v>
      </c>
      <c r="X20" s="26"/>
    </row>
    <row r="21" spans="1:24">
      <c r="A21" s="21">
        <f t="shared" si="19"/>
        <v>5</v>
      </c>
      <c r="B21" s="41" t="str">
        <f>B7</f>
        <v>Bolsita individual 60 gms</v>
      </c>
      <c r="C21" s="154">
        <f>C7</f>
        <v>17700</v>
      </c>
      <c r="D21" s="129">
        <f t="shared" si="28"/>
        <v>504</v>
      </c>
      <c r="E21" s="22">
        <f t="shared" si="21"/>
        <v>8920800</v>
      </c>
      <c r="F21" s="23">
        <f t="shared" si="22"/>
        <v>2.5527969506541671E-2</v>
      </c>
      <c r="L21" s="15">
        <f t="shared" si="15"/>
        <v>19470</v>
      </c>
      <c r="M21" s="15">
        <f t="shared" si="23"/>
        <v>21806.400000000001</v>
      </c>
      <c r="N21" s="15">
        <f t="shared" si="24"/>
        <v>23332.848000000002</v>
      </c>
      <c r="O21" s="15">
        <f t="shared" si="25"/>
        <v>25199.475840000003</v>
      </c>
      <c r="P21" s="40">
        <f>D21*(1+'1'!$Z$5)</f>
        <v>519.12</v>
      </c>
      <c r="Q21" s="25">
        <f>P21*(1+'1'!$AA$5)</f>
        <v>534.69360000000006</v>
      </c>
      <c r="R21" s="25">
        <f>Q21*(1+'1'!$AB$5)</f>
        <v>550.73440800000003</v>
      </c>
      <c r="S21" s="25">
        <f>R21*(1+'1'!$AC$5)</f>
        <v>567.25644024000007</v>
      </c>
      <c r="T21" s="40">
        <f t="shared" si="29"/>
        <v>10107266.4</v>
      </c>
      <c r="U21" s="26">
        <f t="shared" si="30"/>
        <v>11659742.519040002</v>
      </c>
      <c r="V21" s="26">
        <f t="shared" si="26"/>
        <v>12850202.230233986</v>
      </c>
      <c r="W21" s="26">
        <f t="shared" si="27"/>
        <v>14294564.960912287</v>
      </c>
      <c r="X21" s="26"/>
    </row>
    <row r="22" spans="1:24" hidden="1">
      <c r="A22" s="21">
        <f t="shared" si="19"/>
        <v>6</v>
      </c>
      <c r="B22" s="41">
        <f t="shared" si="19"/>
        <v>0</v>
      </c>
      <c r="C22" s="39">
        <f t="shared" si="20"/>
        <v>0</v>
      </c>
      <c r="D22" s="14"/>
      <c r="E22" s="22">
        <f t="shared" si="21"/>
        <v>0</v>
      </c>
      <c r="F22" s="23">
        <f t="shared" si="22"/>
        <v>0</v>
      </c>
      <c r="L22" s="15">
        <f t="shared" si="15"/>
        <v>0</v>
      </c>
      <c r="M22" s="15">
        <f t="shared" si="23"/>
        <v>0</v>
      </c>
      <c r="N22" s="15">
        <f t="shared" si="24"/>
        <v>0</v>
      </c>
      <c r="O22" s="15">
        <f t="shared" si="25"/>
        <v>0</v>
      </c>
      <c r="P22" s="40">
        <f>D22*(1+'1'!$Z$5)</f>
        <v>0</v>
      </c>
      <c r="Q22" s="25">
        <f>P22*(1+'1'!$AA$5)</f>
        <v>0</v>
      </c>
      <c r="R22" s="25">
        <f>Q22*(1+'1'!$AB$5)</f>
        <v>0</v>
      </c>
      <c r="S22" s="25">
        <f>R22*(1+'1'!$AC$5)</f>
        <v>0</v>
      </c>
      <c r="T22" s="40">
        <f t="shared" si="29"/>
        <v>0</v>
      </c>
      <c r="U22" s="26">
        <f t="shared" si="30"/>
        <v>0</v>
      </c>
      <c r="V22" s="26">
        <f t="shared" si="26"/>
        <v>0</v>
      </c>
      <c r="W22" s="26">
        <f t="shared" si="27"/>
        <v>0</v>
      </c>
      <c r="X22" s="26"/>
    </row>
    <row r="23" spans="1:24" hidden="1">
      <c r="A23" s="21">
        <f t="shared" si="19"/>
        <v>7</v>
      </c>
      <c r="B23" s="41">
        <f>B9</f>
        <v>0</v>
      </c>
      <c r="C23" s="39">
        <f>C9</f>
        <v>0</v>
      </c>
      <c r="D23" s="14"/>
      <c r="E23" s="22">
        <f t="shared" si="21"/>
        <v>0</v>
      </c>
      <c r="F23" s="23">
        <f t="shared" si="22"/>
        <v>0</v>
      </c>
      <c r="L23" s="15">
        <f t="shared" si="15"/>
        <v>0</v>
      </c>
      <c r="M23" s="15">
        <f t="shared" si="23"/>
        <v>0</v>
      </c>
      <c r="N23" s="15">
        <f t="shared" si="24"/>
        <v>0</v>
      </c>
      <c r="O23" s="15">
        <f t="shared" si="25"/>
        <v>0</v>
      </c>
      <c r="P23" s="40">
        <f>D23*(1+'1'!$Z$5)</f>
        <v>0</v>
      </c>
      <c r="Q23" s="25">
        <f>P23*(1+'1'!$AA$5)</f>
        <v>0</v>
      </c>
      <c r="R23" s="25">
        <f>Q23*(1+'1'!$AB$5)</f>
        <v>0</v>
      </c>
      <c r="S23" s="25">
        <f>R23*(1+'1'!$AC$5)</f>
        <v>0</v>
      </c>
      <c r="T23" s="40">
        <f t="shared" si="29"/>
        <v>0</v>
      </c>
      <c r="U23" s="26">
        <f t="shared" si="30"/>
        <v>0</v>
      </c>
      <c r="V23" s="26">
        <f t="shared" si="26"/>
        <v>0</v>
      </c>
      <c r="W23" s="26">
        <f t="shared" si="27"/>
        <v>0</v>
      </c>
      <c r="X23" s="26"/>
    </row>
    <row r="24" spans="1:24" hidden="1">
      <c r="A24" s="21">
        <f t="shared" si="19"/>
        <v>8</v>
      </c>
      <c r="B24" s="41">
        <f t="shared" si="19"/>
        <v>0</v>
      </c>
      <c r="C24" s="39">
        <f t="shared" si="20"/>
        <v>0</v>
      </c>
      <c r="D24" s="14"/>
      <c r="E24" s="22">
        <f t="shared" si="21"/>
        <v>0</v>
      </c>
      <c r="F24" s="23">
        <f t="shared" si="22"/>
        <v>0</v>
      </c>
      <c r="L24" s="15">
        <f t="shared" si="15"/>
        <v>0</v>
      </c>
      <c r="M24" s="15">
        <f t="shared" si="23"/>
        <v>0</v>
      </c>
      <c r="N24" s="15">
        <f t="shared" si="24"/>
        <v>0</v>
      </c>
      <c r="O24" s="15">
        <f t="shared" si="25"/>
        <v>0</v>
      </c>
      <c r="P24" s="40">
        <f>D24*(1+'1'!$Z$5)</f>
        <v>0</v>
      </c>
      <c r="Q24" s="25">
        <f>P24*(1+'1'!$AA$5)</f>
        <v>0</v>
      </c>
      <c r="R24" s="25">
        <f>Q24*(1+'1'!$AB$5)</f>
        <v>0</v>
      </c>
      <c r="S24" s="25">
        <f>R24*(1+'1'!$AC$5)</f>
        <v>0</v>
      </c>
      <c r="T24" s="40">
        <f t="shared" si="29"/>
        <v>0</v>
      </c>
      <c r="U24" s="26">
        <f t="shared" si="30"/>
        <v>0</v>
      </c>
      <c r="V24" s="26">
        <f t="shared" si="26"/>
        <v>0</v>
      </c>
      <c r="W24" s="26">
        <f t="shared" si="27"/>
        <v>0</v>
      </c>
      <c r="X24" s="26"/>
    </row>
    <row r="25" spans="1:24" hidden="1">
      <c r="A25" s="21">
        <f t="shared" si="19"/>
        <v>9</v>
      </c>
      <c r="B25" s="41">
        <f t="shared" si="19"/>
        <v>0</v>
      </c>
      <c r="C25" s="39">
        <f t="shared" si="20"/>
        <v>0</v>
      </c>
      <c r="D25" s="14"/>
      <c r="E25" s="22">
        <f t="shared" si="21"/>
        <v>0</v>
      </c>
      <c r="F25" s="23">
        <f t="shared" si="22"/>
        <v>0</v>
      </c>
      <c r="L25" s="15">
        <f t="shared" si="15"/>
        <v>0</v>
      </c>
      <c r="M25" s="15">
        <f t="shared" si="23"/>
        <v>0</v>
      </c>
      <c r="N25" s="15">
        <f t="shared" si="24"/>
        <v>0</v>
      </c>
      <c r="O25" s="15">
        <f t="shared" si="25"/>
        <v>0</v>
      </c>
      <c r="P25" s="40">
        <f>D25*(1+'1'!$Z$5)</f>
        <v>0</v>
      </c>
      <c r="Q25" s="25">
        <f>P25*(1+'1'!$AA$5)</f>
        <v>0</v>
      </c>
      <c r="R25" s="25">
        <f>Q25*(1+'1'!$AB$5)</f>
        <v>0</v>
      </c>
      <c r="S25" s="25">
        <f>R25*(1+'1'!$AC$5)</f>
        <v>0</v>
      </c>
      <c r="T25" s="40">
        <f t="shared" si="29"/>
        <v>0</v>
      </c>
      <c r="U25" s="26">
        <f t="shared" si="30"/>
        <v>0</v>
      </c>
      <c r="V25" s="26">
        <f t="shared" si="26"/>
        <v>0</v>
      </c>
      <c r="W25" s="26">
        <f t="shared" si="27"/>
        <v>0</v>
      </c>
      <c r="X25" s="26"/>
    </row>
    <row r="26" spans="1:24" hidden="1">
      <c r="A26" s="21">
        <f>A12</f>
        <v>10</v>
      </c>
      <c r="B26" s="41">
        <f t="shared" ref="B26" si="31">B12</f>
        <v>0</v>
      </c>
      <c r="C26" s="39">
        <f t="shared" si="20"/>
        <v>0</v>
      </c>
      <c r="D26" s="14"/>
      <c r="E26" s="22">
        <f t="shared" si="21"/>
        <v>0</v>
      </c>
      <c r="F26" s="23">
        <f t="shared" si="22"/>
        <v>0</v>
      </c>
      <c r="L26" s="15">
        <f t="shared" si="15"/>
        <v>0</v>
      </c>
      <c r="M26" s="15">
        <f t="shared" si="23"/>
        <v>0</v>
      </c>
      <c r="N26" s="15">
        <f t="shared" si="24"/>
        <v>0</v>
      </c>
      <c r="O26" s="15">
        <f t="shared" si="25"/>
        <v>0</v>
      </c>
      <c r="P26" s="40">
        <f>D26*(1+'1'!$Z$5)</f>
        <v>0</v>
      </c>
      <c r="Q26" s="25">
        <f>P26*(1+'1'!$AA$5)</f>
        <v>0</v>
      </c>
      <c r="R26" s="25">
        <f>Q26*(1+'1'!$AB$5)</f>
        <v>0</v>
      </c>
      <c r="S26" s="25">
        <f>R26*(1+'1'!$AC$5)</f>
        <v>0</v>
      </c>
      <c r="T26" s="40">
        <f t="shared" si="29"/>
        <v>0</v>
      </c>
      <c r="U26" s="26">
        <f t="shared" si="30"/>
        <v>0</v>
      </c>
      <c r="V26" s="26">
        <f t="shared" si="26"/>
        <v>0</v>
      </c>
      <c r="W26" s="26">
        <f t="shared" si="27"/>
        <v>0</v>
      </c>
      <c r="X26" s="26"/>
    </row>
    <row r="27" spans="1:24">
      <c r="D27" s="84" t="str">
        <f>D13</f>
        <v>TOTAL</v>
      </c>
      <c r="E27" s="33">
        <f>SUM(E17:E26)</f>
        <v>349452000</v>
      </c>
      <c r="F27" s="34">
        <f>SUM(F17:F26)</f>
        <v>1</v>
      </c>
      <c r="T27" s="35">
        <f>SUM(T17:T26)</f>
        <v>401752159.19999993</v>
      </c>
      <c r="U27" s="35">
        <f>SUM(U17:U26)</f>
        <v>470352727.50911999</v>
      </c>
      <c r="V27" s="35">
        <f t="shared" ref="V27:W27" si="32">SUM(V17:V26)</f>
        <v>526668125.36615396</v>
      </c>
      <c r="W27" s="35">
        <f t="shared" si="32"/>
        <v>595410809.48416901</v>
      </c>
      <c r="X27" s="26"/>
    </row>
    <row r="30" spans="1:24">
      <c r="A30" s="394" t="s">
        <v>19</v>
      </c>
      <c r="B30" s="394"/>
      <c r="C30" s="394"/>
      <c r="D30" s="394"/>
      <c r="E30" s="394"/>
      <c r="F30" s="394"/>
    </row>
    <row r="31" spans="1:24" ht="26.25">
      <c r="A31" s="42" t="s">
        <v>10</v>
      </c>
      <c r="B31" s="43">
        <f>'1'!Z1</f>
        <v>2022</v>
      </c>
      <c r="C31" s="43">
        <f>B31+1</f>
        <v>2023</v>
      </c>
      <c r="D31" s="43">
        <f>C31+1</f>
        <v>2024</v>
      </c>
      <c r="E31" s="43">
        <f>D31+1</f>
        <v>2025</v>
      </c>
      <c r="F31" s="43">
        <f>E31+1</f>
        <v>2026</v>
      </c>
      <c r="H31" s="44"/>
      <c r="I31" s="44"/>
      <c r="J31" s="44"/>
      <c r="K31" s="44"/>
      <c r="L31" s="44"/>
      <c r="M31" s="44"/>
      <c r="N31" s="44"/>
      <c r="O31" s="44"/>
      <c r="P31" s="44"/>
      <c r="Q31" s="44"/>
      <c r="R31" s="44"/>
      <c r="S31" s="44"/>
      <c r="T31" s="44"/>
      <c r="U31" s="44"/>
      <c r="V31" s="44"/>
    </row>
    <row r="32" spans="1:24">
      <c r="A32" s="45" t="s">
        <v>20</v>
      </c>
      <c r="B32" s="22">
        <f>'1'!E13</f>
        <v>485350000</v>
      </c>
      <c r="C32" s="136">
        <f>'1'!T13</f>
        <v>557989110</v>
      </c>
      <c r="D32" s="136">
        <f>'1'!U13</f>
        <v>659610081.72799981</v>
      </c>
      <c r="E32" s="136">
        <f>'1'!V13</f>
        <v>742170654.5597136</v>
      </c>
      <c r="F32" s="136">
        <f>'1'!W13</f>
        <v>847187565.22533619</v>
      </c>
    </row>
    <row r="33" spans="1:6">
      <c r="A33" s="45" t="s">
        <v>21</v>
      </c>
      <c r="B33" s="22">
        <f>'1'!E27</f>
        <v>349452000</v>
      </c>
      <c r="C33" s="22">
        <f>'1'!T27</f>
        <v>401752159.19999993</v>
      </c>
      <c r="D33" s="22">
        <f>'1'!U27</f>
        <v>470352727.50911999</v>
      </c>
      <c r="E33" s="22">
        <f>'1'!V27</f>
        <v>526668125.36615396</v>
      </c>
      <c r="F33" s="22">
        <f>'1'!W27</f>
        <v>595410809.48416901</v>
      </c>
    </row>
    <row r="34" spans="1:6" ht="21" thickBot="1">
      <c r="A34" s="46" t="s">
        <v>22</v>
      </c>
      <c r="B34" s="137">
        <f>B32-B33</f>
        <v>135898000</v>
      </c>
      <c r="C34" s="137">
        <f t="shared" ref="C34:D34" si="33">C32-C33</f>
        <v>156236950.80000007</v>
      </c>
      <c r="D34" s="137">
        <f t="shared" si="33"/>
        <v>189257354.21887982</v>
      </c>
      <c r="E34" s="137">
        <f t="shared" ref="E34" si="34">E32-E33</f>
        <v>215502529.19355965</v>
      </c>
      <c r="F34" s="137">
        <f t="shared" ref="F34" si="35">F32-F33</f>
        <v>251776755.74116719</v>
      </c>
    </row>
    <row r="35" spans="1:6" ht="15.7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tabColor rgb="FFFFFF00"/>
  </sheetPr>
  <dimension ref="B1:H31"/>
  <sheetViews>
    <sheetView showGridLines="0" zoomScaleNormal="100" workbookViewId="0">
      <pane ySplit="14" topLeftCell="A16" activePane="bottomLeft" state="frozenSplit"/>
      <selection activeCell="B40" sqref="B40"/>
      <selection pane="bottomLeft" activeCell="H21" sqref="H21"/>
    </sheetView>
  </sheetViews>
  <sheetFormatPr baseColWidth="10" defaultColWidth="11.42578125" defaultRowHeight="15"/>
  <cols>
    <col min="1" max="1" width="5.42578125" style="155" customWidth="1"/>
    <col min="2" max="2" width="29.42578125" style="155" bestFit="1" customWidth="1"/>
    <col min="3" max="3" width="20.28515625" style="155" customWidth="1"/>
    <col min="4" max="4" width="11.42578125" style="155"/>
    <col min="5" max="5" width="23.28515625" style="155" customWidth="1"/>
    <col min="6" max="6" width="17.7109375" style="155" bestFit="1" customWidth="1"/>
    <col min="7" max="7" width="15.5703125" style="155" bestFit="1" customWidth="1"/>
    <col min="8" max="16384" width="11.42578125" style="155"/>
  </cols>
  <sheetData>
    <row r="1" spans="2:8">
      <c r="B1" s="397" t="s">
        <v>133</v>
      </c>
      <c r="C1" s="397"/>
      <c r="D1" s="397"/>
      <c r="E1" s="397"/>
      <c r="F1" s="397"/>
      <c r="G1" s="397"/>
      <c r="H1" s="397"/>
    </row>
    <row r="2" spans="2:8">
      <c r="B2" s="397"/>
      <c r="C2" s="397"/>
      <c r="D2" s="397"/>
      <c r="E2" s="397"/>
      <c r="F2" s="397"/>
      <c r="G2" s="397"/>
      <c r="H2" s="397"/>
    </row>
    <row r="3" spans="2:8">
      <c r="C3" s="156" t="s">
        <v>51</v>
      </c>
      <c r="F3" s="157" t="s">
        <v>92</v>
      </c>
      <c r="G3" s="157"/>
    </row>
    <row r="4" spans="2:8" hidden="1">
      <c r="B4" s="158" t="s">
        <v>43</v>
      </c>
      <c r="C4" s="159">
        <v>0</v>
      </c>
      <c r="F4" s="157"/>
      <c r="G4" s="157"/>
    </row>
    <row r="5" spans="2:8">
      <c r="B5" s="158" t="s">
        <v>46</v>
      </c>
      <c r="C5" s="160">
        <v>19215000</v>
      </c>
      <c r="F5" s="157">
        <v>10</v>
      </c>
      <c r="G5" s="161">
        <f t="shared" ref="G5:G11" si="0">C5/F5</f>
        <v>1921500</v>
      </c>
    </row>
    <row r="6" spans="2:8">
      <c r="B6" s="158" t="s">
        <v>44</v>
      </c>
      <c r="C6" s="160">
        <v>2365000</v>
      </c>
      <c r="F6" s="157">
        <v>5</v>
      </c>
      <c r="G6" s="161">
        <f t="shared" si="0"/>
        <v>473000</v>
      </c>
    </row>
    <row r="7" spans="2:8">
      <c r="B7" s="158" t="s">
        <v>45</v>
      </c>
      <c r="C7" s="160">
        <v>1260000</v>
      </c>
      <c r="F7" s="157">
        <v>5</v>
      </c>
      <c r="G7" s="161">
        <f t="shared" si="0"/>
        <v>252000</v>
      </c>
    </row>
    <row r="8" spans="2:8">
      <c r="B8" s="158" t="s">
        <v>47</v>
      </c>
      <c r="C8" s="160">
        <v>4139000</v>
      </c>
      <c r="F8" s="157">
        <v>5</v>
      </c>
      <c r="G8" s="161">
        <f t="shared" si="0"/>
        <v>827800</v>
      </c>
    </row>
    <row r="9" spans="2:8" hidden="1">
      <c r="B9" s="158" t="s">
        <v>48</v>
      </c>
      <c r="C9" s="160">
        <v>0</v>
      </c>
      <c r="F9" s="157">
        <v>5</v>
      </c>
      <c r="G9" s="161">
        <f t="shared" si="0"/>
        <v>0</v>
      </c>
    </row>
    <row r="10" spans="2:8" hidden="1">
      <c r="B10" s="162" t="s">
        <v>142</v>
      </c>
      <c r="C10" s="160">
        <v>0</v>
      </c>
      <c r="F10" s="157">
        <v>5</v>
      </c>
      <c r="G10" s="161">
        <f t="shared" si="0"/>
        <v>0</v>
      </c>
    </row>
    <row r="11" spans="2:8">
      <c r="B11" s="158" t="s">
        <v>49</v>
      </c>
      <c r="C11" s="160">
        <v>3300000</v>
      </c>
      <c r="F11" s="157">
        <v>5</v>
      </c>
      <c r="G11" s="161">
        <f t="shared" si="0"/>
        <v>660000</v>
      </c>
    </row>
    <row r="12" spans="2:8" ht="16.5" thickBot="1">
      <c r="B12" s="163" t="s">
        <v>50</v>
      </c>
      <c r="C12" s="164">
        <f>SUM(C4:C11)</f>
        <v>30279000</v>
      </c>
      <c r="F12" s="157"/>
      <c r="G12" s="161">
        <f>SUM(G5:G11)</f>
        <v>4134300</v>
      </c>
    </row>
    <row r="13" spans="2:8">
      <c r="B13" s="398" t="s">
        <v>42</v>
      </c>
      <c r="C13" s="399"/>
      <c r="D13" s="399"/>
      <c r="E13" s="399"/>
      <c r="F13" s="399"/>
      <c r="G13" s="399"/>
      <c r="H13" s="400"/>
    </row>
    <row r="14" spans="2:8" ht="15.75" thickBot="1">
      <c r="B14" s="401"/>
      <c r="C14" s="402"/>
      <c r="D14" s="402"/>
      <c r="E14" s="402"/>
      <c r="F14" s="402"/>
      <c r="G14" s="402"/>
      <c r="H14" s="403"/>
    </row>
    <row r="15" spans="2:8">
      <c r="B15" s="165"/>
      <c r="C15" s="165"/>
      <c r="D15" s="165"/>
      <c r="E15" s="165"/>
      <c r="F15" s="165"/>
      <c r="G15" s="165"/>
      <c r="H15" s="165"/>
    </row>
    <row r="16" spans="2:8">
      <c r="B16" s="163" t="s">
        <v>28</v>
      </c>
      <c r="E16" s="163" t="s">
        <v>34</v>
      </c>
      <c r="F16" s="166"/>
    </row>
    <row r="17" spans="2:6">
      <c r="C17" s="163" t="s">
        <v>30</v>
      </c>
      <c r="F17" s="163" t="str">
        <f>C17</f>
        <v>VALOR AÑO 1</v>
      </c>
    </row>
    <row r="18" spans="2:6">
      <c r="B18" s="167" t="s">
        <v>29</v>
      </c>
      <c r="C18" s="160">
        <f>(1200000*12)+((1200000*12)*(0.52))</f>
        <v>21888000</v>
      </c>
      <c r="E18" s="168" t="s">
        <v>139</v>
      </c>
      <c r="F18" s="160">
        <v>9600000</v>
      </c>
    </row>
    <row r="19" spans="2:6">
      <c r="C19" s="169"/>
      <c r="E19" s="170" t="s">
        <v>35</v>
      </c>
      <c r="F19" s="160">
        <f>400000*12</f>
        <v>4800000</v>
      </c>
    </row>
    <row r="20" spans="2:6">
      <c r="B20" s="167" t="s">
        <v>32</v>
      </c>
      <c r="C20" s="160">
        <f>(950000*12)+((950000*12)*(0.52))</f>
        <v>17328000</v>
      </c>
      <c r="E20" s="170" t="s">
        <v>36</v>
      </c>
      <c r="F20" s="160">
        <f>45000*12</f>
        <v>540000</v>
      </c>
    </row>
    <row r="21" spans="2:6">
      <c r="C21" s="169"/>
      <c r="E21" s="170" t="s">
        <v>37</v>
      </c>
      <c r="F21" s="160">
        <f>122000*12</f>
        <v>1464000</v>
      </c>
    </row>
    <row r="22" spans="2:6">
      <c r="B22" s="171" t="s">
        <v>138</v>
      </c>
      <c r="C22" s="160">
        <f>(950000*12)+((950000*12)*(0.52))</f>
        <v>17328000</v>
      </c>
      <c r="E22" s="170" t="s">
        <v>38</v>
      </c>
      <c r="F22" s="160">
        <f>15000*12</f>
        <v>180000</v>
      </c>
    </row>
    <row r="23" spans="2:6" ht="15.75">
      <c r="B23" s="155" t="s">
        <v>56</v>
      </c>
      <c r="C23" s="164">
        <f>C18+C20+C22</f>
        <v>56544000</v>
      </c>
      <c r="E23" s="170" t="s">
        <v>39</v>
      </c>
      <c r="F23" s="160">
        <v>0</v>
      </c>
    </row>
    <row r="24" spans="2:6">
      <c r="E24" s="170" t="s">
        <v>40</v>
      </c>
      <c r="F24" s="160">
        <f>30000*12</f>
        <v>360000</v>
      </c>
    </row>
    <row r="25" spans="2:6" ht="24">
      <c r="B25" s="170" t="s">
        <v>143</v>
      </c>
      <c r="C25" s="160">
        <f>1500000*12</f>
        <v>18000000</v>
      </c>
      <c r="E25" s="172" t="s">
        <v>140</v>
      </c>
      <c r="F25" s="160">
        <v>0</v>
      </c>
    </row>
    <row r="26" spans="2:6">
      <c r="C26" s="173"/>
      <c r="E26" s="176" t="s">
        <v>141</v>
      </c>
      <c r="F26" s="160">
        <v>2400000</v>
      </c>
    </row>
    <row r="27" spans="2:6">
      <c r="B27" s="174" t="s">
        <v>144</v>
      </c>
      <c r="C27" s="175"/>
      <c r="E27" s="176" t="s">
        <v>228</v>
      </c>
      <c r="F27" s="160">
        <v>50000</v>
      </c>
    </row>
    <row r="28" spans="2:6">
      <c r="B28" s="177">
        <f>'1'!G2</f>
        <v>2023</v>
      </c>
      <c r="C28" s="160">
        <v>19000000</v>
      </c>
      <c r="E28" s="176"/>
      <c r="F28" s="160">
        <v>0</v>
      </c>
    </row>
    <row r="29" spans="2:6">
      <c r="B29" s="177">
        <f>'1'!H2</f>
        <v>2024</v>
      </c>
      <c r="C29" s="160">
        <v>20000000</v>
      </c>
      <c r="E29" s="176"/>
      <c r="F29" s="160">
        <v>0</v>
      </c>
    </row>
    <row r="30" spans="2:6">
      <c r="B30" s="177">
        <f>'1'!I2</f>
        <v>2025</v>
      </c>
      <c r="C30" s="160">
        <v>21000000</v>
      </c>
      <c r="E30" s="176"/>
      <c r="F30" s="160">
        <v>0</v>
      </c>
    </row>
    <row r="31" spans="2:6" ht="15.75">
      <c r="B31" s="177">
        <f>'1'!J2</f>
        <v>2026</v>
      </c>
      <c r="C31" s="160">
        <v>22000000</v>
      </c>
      <c r="E31" s="170" t="s">
        <v>41</v>
      </c>
      <c r="F31" s="164">
        <f>SUM(F18:F30)</f>
        <v>19394000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tabColor rgb="FF002060"/>
  </sheetPr>
  <dimension ref="B2:L16"/>
  <sheetViews>
    <sheetView showGridLines="0" topLeftCell="A10" workbookViewId="0">
      <selection activeCell="C13" sqref="C13"/>
    </sheetView>
  </sheetViews>
  <sheetFormatPr baseColWidth="10" defaultColWidth="11.42578125" defaultRowHeight="15"/>
  <cols>
    <col min="1" max="1" width="11.42578125" style="15"/>
    <col min="2" max="2" width="39" style="15" bestFit="1" customWidth="1"/>
    <col min="3" max="3" width="14.42578125" style="15" bestFit="1" customWidth="1"/>
    <col min="4" max="4" width="15.5703125" style="15" bestFit="1" customWidth="1"/>
    <col min="5" max="5" width="12.85546875" style="15" customWidth="1"/>
    <col min="6" max="6" width="15.5703125" style="15" bestFit="1" customWidth="1"/>
    <col min="7" max="7" width="14.42578125" style="15" bestFit="1" customWidth="1"/>
    <col min="8" max="8" width="14.42578125" style="15" customWidth="1"/>
    <col min="9" max="9" width="17" style="15" bestFit="1" customWidth="1"/>
    <col min="10" max="10" width="15.7109375" style="15" customWidth="1"/>
    <col min="11" max="16384" width="11.42578125" style="15"/>
  </cols>
  <sheetData>
    <row r="2" spans="2:12" ht="29.25" customHeight="1">
      <c r="B2" s="395" t="s">
        <v>115</v>
      </c>
      <c r="C2" s="395"/>
      <c r="D2" s="395"/>
      <c r="E2" s="395"/>
      <c r="F2" s="395"/>
      <c r="G2" s="395"/>
      <c r="H2" s="395"/>
      <c r="I2" s="395"/>
      <c r="J2" s="395"/>
    </row>
    <row r="3" spans="2:12">
      <c r="F3" s="405" t="s">
        <v>62</v>
      </c>
      <c r="G3" s="405"/>
    </row>
    <row r="4" spans="2:12" ht="15.75">
      <c r="B4" s="16" t="s">
        <v>50</v>
      </c>
      <c r="C4" s="135">
        <f>'2'!C12</f>
        <v>30279000</v>
      </c>
      <c r="F4" s="406">
        <v>0.18</v>
      </c>
      <c r="G4" s="406"/>
      <c r="I4" s="15" t="s">
        <v>150</v>
      </c>
      <c r="J4" s="108">
        <v>3</v>
      </c>
      <c r="L4" s="64">
        <v>1</v>
      </c>
    </row>
    <row r="5" spans="2:12">
      <c r="L5" s="64">
        <v>2</v>
      </c>
    </row>
    <row r="6" spans="2:12" ht="15.75" thickBot="1">
      <c r="B6" s="16" t="s">
        <v>52</v>
      </c>
      <c r="F6" s="404" t="s">
        <v>116</v>
      </c>
      <c r="G6" s="404"/>
      <c r="H6" s="404"/>
      <c r="I6" s="404"/>
      <c r="J6" s="404"/>
      <c r="L6" s="64">
        <v>3</v>
      </c>
    </row>
    <row r="7" spans="2:12">
      <c r="C7" s="66" t="s">
        <v>54</v>
      </c>
      <c r="D7" s="66" t="s">
        <v>55</v>
      </c>
      <c r="E7" s="101"/>
      <c r="F7" s="102" t="s">
        <v>145</v>
      </c>
      <c r="G7" s="102" t="s">
        <v>146</v>
      </c>
      <c r="H7" s="102" t="s">
        <v>147</v>
      </c>
      <c r="I7" s="102" t="s">
        <v>148</v>
      </c>
      <c r="J7" s="103" t="s">
        <v>149</v>
      </c>
      <c r="L7" s="64">
        <v>4</v>
      </c>
    </row>
    <row r="8" spans="2:12">
      <c r="B8" s="46" t="s">
        <v>53</v>
      </c>
      <c r="C8" s="131">
        <v>2</v>
      </c>
      <c r="D8" s="24">
        <f>('1'!B33/12)*C8</f>
        <v>58242000</v>
      </c>
      <c r="E8" s="104" t="s">
        <v>84</v>
      </c>
      <c r="F8" s="105"/>
      <c r="G8" s="105"/>
      <c r="H8" s="105"/>
      <c r="I8" s="105"/>
      <c r="J8" s="106">
        <f>D16</f>
        <v>73898333.333333328</v>
      </c>
      <c r="L8" s="64">
        <v>5</v>
      </c>
    </row>
    <row r="9" spans="2:12" ht="16.5" customHeight="1">
      <c r="B9" s="46" t="s">
        <v>57</v>
      </c>
      <c r="C9" s="131">
        <v>2</v>
      </c>
      <c r="D9" s="24">
        <f>('2'!C23/12)*C9</f>
        <v>9424000</v>
      </c>
      <c r="E9" s="104">
        <f>'1'!B31</f>
        <v>2022</v>
      </c>
      <c r="F9" s="141">
        <f t="shared" ref="F9:F13" si="0">IF(J8&gt;0,J8,0)</f>
        <v>73898333.333333328</v>
      </c>
      <c r="G9" s="141">
        <f>F9*$F$4</f>
        <v>13301699.999999998</v>
      </c>
      <c r="H9" s="141">
        <f>IF(J8&lt;1,0,(I9-G9))</f>
        <v>20685906.766692787</v>
      </c>
      <c r="I9" s="141">
        <f>PMT(F4,J4,J8)*-1</f>
        <v>33987606.766692787</v>
      </c>
      <c r="J9" s="142">
        <f>F9-H9</f>
        <v>53212426.566640541</v>
      </c>
    </row>
    <row r="10" spans="2:12">
      <c r="B10" s="46" t="s">
        <v>58</v>
      </c>
      <c r="C10" s="131">
        <v>2</v>
      </c>
      <c r="D10" s="24">
        <f>('2'!C25/12)*C10</f>
        <v>3000000</v>
      </c>
      <c r="E10" s="104">
        <f>'1'!C31</f>
        <v>2023</v>
      </c>
      <c r="F10" s="141">
        <f t="shared" si="0"/>
        <v>53212426.566640541</v>
      </c>
      <c r="G10" s="141">
        <f t="shared" ref="G10:G13" si="1">F10*$F$4</f>
        <v>9578236.7819952965</v>
      </c>
      <c r="H10" s="141">
        <f t="shared" ref="H10:H13" si="2">IF(J9&lt;1,0,(I10-G10))</f>
        <v>24409369.984697491</v>
      </c>
      <c r="I10" s="141">
        <f>IF(J9&lt;1,0,(I9*(1+$K$7)))</f>
        <v>33987606.766692787</v>
      </c>
      <c r="J10" s="142">
        <f t="shared" ref="J10:J13" si="3">F10-H10</f>
        <v>28803056.58194305</v>
      </c>
    </row>
    <row r="11" spans="2:12">
      <c r="B11" s="46" t="s">
        <v>33</v>
      </c>
      <c r="C11" s="131">
        <v>2</v>
      </c>
      <c r="D11" s="24">
        <f>('2'!F31/12)*C11</f>
        <v>3232333.3333333335</v>
      </c>
      <c r="E11" s="104">
        <f>'1'!D31</f>
        <v>2024</v>
      </c>
      <c r="F11" s="141">
        <f t="shared" si="0"/>
        <v>28803056.58194305</v>
      </c>
      <c r="G11" s="141">
        <f t="shared" si="1"/>
        <v>5184550.1847497486</v>
      </c>
      <c r="H11" s="141">
        <f t="shared" si="2"/>
        <v>28803056.581943039</v>
      </c>
      <c r="I11" s="141">
        <f t="shared" ref="I11:I13" si="4">IF(J10&lt;1,0,(I10*(1+$K$7)))</f>
        <v>33987606.766692787</v>
      </c>
      <c r="J11" s="142">
        <f t="shared" si="3"/>
        <v>0</v>
      </c>
    </row>
    <row r="12" spans="2:12" ht="15.75">
      <c r="B12" s="67" t="s">
        <v>8</v>
      </c>
      <c r="C12" s="56"/>
      <c r="D12" s="138">
        <f>SUM(D8:D11)</f>
        <v>73898333.333333328</v>
      </c>
      <c r="E12" s="104">
        <f>'1'!E31</f>
        <v>2025</v>
      </c>
      <c r="F12" s="141">
        <f t="shared" si="0"/>
        <v>0</v>
      </c>
      <c r="G12" s="141">
        <f t="shared" si="1"/>
        <v>0</v>
      </c>
      <c r="H12" s="141">
        <f t="shared" si="2"/>
        <v>0</v>
      </c>
      <c r="I12" s="141">
        <f t="shared" si="4"/>
        <v>0</v>
      </c>
      <c r="J12" s="142">
        <f t="shared" si="3"/>
        <v>0</v>
      </c>
    </row>
    <row r="13" spans="2:12" ht="15.75" thickBot="1">
      <c r="D13" s="36"/>
      <c r="E13" s="107">
        <f>'1'!F31</f>
        <v>2026</v>
      </c>
      <c r="F13" s="143">
        <f t="shared" si="0"/>
        <v>0</v>
      </c>
      <c r="G13" s="143">
        <f t="shared" si="1"/>
        <v>0</v>
      </c>
      <c r="H13" s="143">
        <f t="shared" si="2"/>
        <v>0</v>
      </c>
      <c r="I13" s="143">
        <f t="shared" si="4"/>
        <v>0</v>
      </c>
      <c r="J13" s="144">
        <f t="shared" si="3"/>
        <v>0</v>
      </c>
    </row>
    <row r="14" spans="2:12" ht="15.75">
      <c r="B14" s="46" t="s">
        <v>59</v>
      </c>
      <c r="D14" s="135">
        <f>C4+D12</f>
        <v>104177333.33333333</v>
      </c>
    </row>
    <row r="15" spans="2:12">
      <c r="B15" s="46" t="s">
        <v>60</v>
      </c>
      <c r="D15" s="139">
        <v>30279000</v>
      </c>
    </row>
    <row r="16" spans="2:12" ht="15.75">
      <c r="B16" s="46" t="s">
        <v>61</v>
      </c>
      <c r="D16" s="140">
        <f>D14-D15</f>
        <v>73898333.333333328</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400-000000000000}">
      <formula1>$L$4:$L$8</formula1>
    </dataValidation>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H60"/>
  <sheetViews>
    <sheetView showGridLines="0" zoomScale="90" zoomScaleNormal="90" workbookViewId="0">
      <pane xSplit="7" ySplit="1" topLeftCell="H5" activePane="bottomRight" state="frozenSplit"/>
      <selection pane="topRight" activeCell="E1" sqref="E1"/>
      <selection pane="bottomLeft" activeCell="A12" sqref="A12"/>
      <selection pane="bottomRight" activeCell="I11" sqref="I11"/>
    </sheetView>
  </sheetViews>
  <sheetFormatPr baseColWidth="10" defaultColWidth="11.42578125" defaultRowHeight="15"/>
  <cols>
    <col min="1" max="1" width="22" style="15" customWidth="1"/>
    <col min="2" max="2" width="19.42578125" style="15" customWidth="1"/>
    <col min="3" max="5" width="16.140625" style="15" bestFit="1" customWidth="1"/>
    <col min="6" max="7" width="17.5703125" style="15" bestFit="1" customWidth="1"/>
    <col min="8" max="16384" width="11.42578125" style="15"/>
  </cols>
  <sheetData>
    <row r="1" spans="1:7" ht="34.5" customHeight="1">
      <c r="A1" s="407" t="s">
        <v>117</v>
      </c>
      <c r="B1" s="407"/>
      <c r="C1" s="407"/>
      <c r="D1" s="407"/>
      <c r="E1" s="407"/>
      <c r="F1" s="407"/>
      <c r="G1" s="407"/>
    </row>
    <row r="2" spans="1:7" ht="23.25">
      <c r="A2" s="408" t="s">
        <v>132</v>
      </c>
      <c r="B2" s="408"/>
      <c r="C2" s="408"/>
      <c r="D2" s="408"/>
      <c r="E2" s="408"/>
      <c r="F2" s="408"/>
      <c r="G2" s="408"/>
    </row>
    <row r="3" spans="1:7" ht="8.25" customHeight="1">
      <c r="A3" s="54"/>
      <c r="B3" s="54"/>
      <c r="C3" s="54"/>
      <c r="D3" s="54"/>
      <c r="E3" s="54"/>
      <c r="F3" s="54"/>
      <c r="G3" s="54"/>
    </row>
    <row r="4" spans="1:7" ht="15.75">
      <c r="A4" s="409" t="s">
        <v>89</v>
      </c>
      <c r="B4" s="409"/>
      <c r="C4" s="409"/>
      <c r="D4" s="409"/>
      <c r="E4" s="409"/>
      <c r="F4" s="409"/>
      <c r="G4" s="409"/>
    </row>
    <row r="5" spans="1:7" ht="23.25">
      <c r="C5" s="58">
        <f>'1'!B31</f>
        <v>2022</v>
      </c>
      <c r="D5" s="58">
        <f>'1'!C31</f>
        <v>2023</v>
      </c>
      <c r="E5" s="58">
        <f>'1'!D31</f>
        <v>2024</v>
      </c>
      <c r="F5" s="58">
        <f>'1'!E31</f>
        <v>2025</v>
      </c>
      <c r="G5" s="58">
        <f>'1'!F31</f>
        <v>2026</v>
      </c>
    </row>
    <row r="6" spans="1:7">
      <c r="B6" s="15" t="s">
        <v>31</v>
      </c>
      <c r="C6" s="24">
        <f>'1'!B32</f>
        <v>485350000</v>
      </c>
      <c r="D6" s="24">
        <f>'1'!C32</f>
        <v>557989110</v>
      </c>
      <c r="E6" s="24">
        <f>'1'!D32</f>
        <v>659610081.72799981</v>
      </c>
      <c r="F6" s="24">
        <f>'1'!E32</f>
        <v>742170654.5597136</v>
      </c>
      <c r="G6" s="24">
        <f>'1'!F32</f>
        <v>847187565.22533619</v>
      </c>
    </row>
    <row r="7" spans="1:7">
      <c r="B7" s="15" t="s">
        <v>66</v>
      </c>
      <c r="C7" s="24">
        <f>'1'!B33</f>
        <v>349452000</v>
      </c>
      <c r="D7" s="24">
        <f>'1'!C33</f>
        <v>401752159.19999993</v>
      </c>
      <c r="E7" s="24">
        <f>'1'!D33</f>
        <v>470352727.50911999</v>
      </c>
      <c r="F7" s="24">
        <f>'1'!E33</f>
        <v>526668125.36615396</v>
      </c>
      <c r="G7" s="24">
        <f>'1'!F33</f>
        <v>595410809.48416901</v>
      </c>
    </row>
    <row r="8" spans="1:7" ht="15.75" thickBot="1">
      <c r="B8" s="178" t="s">
        <v>67</v>
      </c>
      <c r="C8" s="179">
        <f>C6-C7</f>
        <v>135898000</v>
      </c>
      <c r="D8" s="179">
        <f t="shared" ref="D8:G8" si="0">D6-D7</f>
        <v>156236950.80000007</v>
      </c>
      <c r="E8" s="179">
        <f t="shared" si="0"/>
        <v>189257354.21887982</v>
      </c>
      <c r="F8" s="179">
        <f t="shared" si="0"/>
        <v>215502529.19355965</v>
      </c>
      <c r="G8" s="179">
        <f t="shared" si="0"/>
        <v>251776755.74116719</v>
      </c>
    </row>
    <row r="9" spans="1:7" ht="15.75" thickTop="1">
      <c r="B9" s="15" t="s">
        <v>68</v>
      </c>
      <c r="C9" s="24">
        <f>'2'!C23</f>
        <v>56544000</v>
      </c>
      <c r="D9" s="24">
        <f>C9*(1+'1'!Z4)</f>
        <v>58240320</v>
      </c>
      <c r="E9" s="24">
        <f>D9*(1+'1'!AA4)</f>
        <v>60569932.800000004</v>
      </c>
      <c r="F9" s="24">
        <f>E9*(1+'1'!AB4)</f>
        <v>62689880.447999999</v>
      </c>
      <c r="G9" s="24">
        <f>F9*(1+'1'!AC4)</f>
        <v>65197475.665920004</v>
      </c>
    </row>
    <row r="10" spans="1:7">
      <c r="B10" s="15" t="s">
        <v>134</v>
      </c>
      <c r="C10" s="24">
        <f>'2'!F31</f>
        <v>19394000</v>
      </c>
      <c r="D10" s="24">
        <f>C10*(1+'1'!Z4)</f>
        <v>19975820</v>
      </c>
      <c r="E10" s="24">
        <f>D10*(1+'1'!AA4)</f>
        <v>20774852.800000001</v>
      </c>
      <c r="F10" s="24">
        <f>E10*(1+'1'!AB4)</f>
        <v>21501972.647999998</v>
      </c>
      <c r="G10" s="24">
        <f>F10*(1+'1'!AC4)</f>
        <v>22362051.553919997</v>
      </c>
    </row>
    <row r="11" spans="1:7">
      <c r="B11" s="15" t="s">
        <v>69</v>
      </c>
      <c r="C11" s="24">
        <f>'2'!C25</f>
        <v>18000000</v>
      </c>
      <c r="D11" s="24">
        <f>'2'!C28</f>
        <v>19000000</v>
      </c>
      <c r="E11" s="24">
        <f>'2'!C29</f>
        <v>20000000</v>
      </c>
      <c r="F11" s="24">
        <f>'2'!C30</f>
        <v>21000000</v>
      </c>
      <c r="G11" s="24">
        <f>'2'!C31</f>
        <v>22000000</v>
      </c>
    </row>
    <row r="12" spans="1:7">
      <c r="B12" s="15" t="s">
        <v>86</v>
      </c>
      <c r="C12" s="24">
        <f>'2'!G12</f>
        <v>4134300</v>
      </c>
      <c r="D12" s="24">
        <f>C12</f>
        <v>4134300</v>
      </c>
      <c r="E12" s="24">
        <f t="shared" ref="E12:G12" si="1">D12</f>
        <v>4134300</v>
      </c>
      <c r="F12" s="24">
        <f t="shared" si="1"/>
        <v>4134300</v>
      </c>
      <c r="G12" s="24">
        <f t="shared" si="1"/>
        <v>4134300</v>
      </c>
    </row>
    <row r="13" spans="1:7" ht="15.75" thickBot="1">
      <c r="B13" s="181" t="s">
        <v>70</v>
      </c>
      <c r="C13" s="182">
        <f>C8-C9-C10-C11-C12</f>
        <v>37825700</v>
      </c>
      <c r="D13" s="182">
        <f t="shared" ref="D13:G13" si="2">D8-D9-D10-D11-D12</f>
        <v>54886510.800000072</v>
      </c>
      <c r="E13" s="182">
        <f t="shared" si="2"/>
        <v>83778268.61887981</v>
      </c>
      <c r="F13" s="182">
        <f t="shared" si="2"/>
        <v>106176376.09755963</v>
      </c>
      <c r="G13" s="182">
        <f t="shared" si="2"/>
        <v>138082928.52132717</v>
      </c>
    </row>
    <row r="14" spans="1:7" ht="15.75" thickTop="1">
      <c r="B14" s="15" t="s">
        <v>71</v>
      </c>
      <c r="C14" s="24">
        <f>'3'!G9</f>
        <v>13301699.999999998</v>
      </c>
      <c r="D14" s="24">
        <f>'3'!G10</f>
        <v>9578236.7819952965</v>
      </c>
      <c r="E14" s="24">
        <f>'3'!G11</f>
        <v>5184550.1847497486</v>
      </c>
      <c r="F14" s="24">
        <f>'3'!G12</f>
        <v>0</v>
      </c>
      <c r="G14" s="24">
        <f>'3'!G13</f>
        <v>0</v>
      </c>
    </row>
    <row r="15" spans="1:7" ht="15.75" thickBot="1">
      <c r="B15" s="59" t="s">
        <v>72</v>
      </c>
      <c r="C15" s="180">
        <f>C13-C14</f>
        <v>24524000</v>
      </c>
      <c r="D15" s="180">
        <f t="shared" ref="D15:G15" si="3">D13-D14</f>
        <v>45308274.018004775</v>
      </c>
      <c r="E15" s="180">
        <f t="shared" si="3"/>
        <v>78593718.434130058</v>
      </c>
      <c r="F15" s="180">
        <f t="shared" si="3"/>
        <v>106176376.09755963</v>
      </c>
      <c r="G15" s="180">
        <f t="shared" si="3"/>
        <v>138082928.52132717</v>
      </c>
    </row>
    <row r="16" spans="1:7" ht="15.75" thickTop="1">
      <c r="B16" s="15" t="s">
        <v>73</v>
      </c>
      <c r="C16" s="36">
        <f>IF(C15*'1'!$AB$7&lt;0,0,C15*'1'!$AB$7)</f>
        <v>8338160.0000000009</v>
      </c>
      <c r="D16" s="36">
        <f>IF(D15*'1'!$AB$7&lt;0,0,D15*'1'!$AB$7)</f>
        <v>15404813.166121624</v>
      </c>
      <c r="E16" s="36">
        <f>IF(E15*'1'!$AB$7&lt;0,0,E15*'1'!$AB$7)</f>
        <v>26721864.267604221</v>
      </c>
      <c r="F16" s="36">
        <f>IF(F15*'1'!$AB$7&lt;0,0,F15*'1'!$AB$7)</f>
        <v>36099967.873170279</v>
      </c>
      <c r="G16" s="36">
        <f>IF(G15*'1'!$AB$7&lt;0,0,G15*'1'!$AB$7)</f>
        <v>46948195.697251238</v>
      </c>
    </row>
    <row r="17" spans="1:8" ht="15.75" thickBot="1">
      <c r="B17" s="183" t="s">
        <v>74</v>
      </c>
      <c r="C17" s="184">
        <f>C15-C16</f>
        <v>16185840</v>
      </c>
      <c r="D17" s="184">
        <f t="shared" ref="D17:G17" si="4">D15-D16</f>
        <v>29903460.851883151</v>
      </c>
      <c r="E17" s="184">
        <f t="shared" si="4"/>
        <v>51871854.166525841</v>
      </c>
      <c r="F17" s="184">
        <f t="shared" si="4"/>
        <v>70076408.224389344</v>
      </c>
      <c r="G17" s="184">
        <f t="shared" si="4"/>
        <v>91134732.824075937</v>
      </c>
    </row>
    <row r="19" spans="1:8" ht="15.75">
      <c r="A19" s="409" t="s">
        <v>64</v>
      </c>
      <c r="B19" s="409"/>
      <c r="C19" s="409"/>
      <c r="D19" s="409"/>
      <c r="E19" s="409"/>
      <c r="F19" s="409"/>
      <c r="G19" s="409"/>
    </row>
    <row r="20" spans="1:8" ht="23.25">
      <c r="B20" s="61" t="s">
        <v>84</v>
      </c>
      <c r="C20" s="58">
        <f>C5</f>
        <v>2022</v>
      </c>
      <c r="D20" s="58">
        <f>D5</f>
        <v>2023</v>
      </c>
      <c r="E20" s="58">
        <f>E5</f>
        <v>2024</v>
      </c>
      <c r="F20" s="58">
        <f>F5</f>
        <v>2025</v>
      </c>
      <c r="G20" s="58">
        <f>G5</f>
        <v>2026</v>
      </c>
    </row>
    <row r="21" spans="1:8">
      <c r="A21" s="410" t="s">
        <v>65</v>
      </c>
      <c r="B21" s="410"/>
      <c r="C21" s="410"/>
      <c r="D21" s="410"/>
      <c r="E21" s="410"/>
      <c r="F21" s="410"/>
      <c r="G21" s="410"/>
    </row>
    <row r="22" spans="1:8">
      <c r="A22" s="15" t="s">
        <v>95</v>
      </c>
      <c r="B22" s="26">
        <f>B38-B26</f>
        <v>73898333.333333328</v>
      </c>
      <c r="C22" s="26">
        <f t="shared" ref="C22:G22" si="5">C38-C26</f>
        <v>81870726.566640541</v>
      </c>
      <c r="D22" s="26">
        <f t="shared" si="5"/>
        <v>82379930.599947825</v>
      </c>
      <c r="E22" s="26">
        <f t="shared" si="5"/>
        <v>90996618.434130058</v>
      </c>
      <c r="F22" s="26">
        <f t="shared" si="5"/>
        <v>122713576.09755963</v>
      </c>
      <c r="G22" s="26">
        <f t="shared" si="5"/>
        <v>158754428.52132717</v>
      </c>
    </row>
    <row r="23" spans="1:8">
      <c r="A23" s="15" t="s">
        <v>93</v>
      </c>
      <c r="B23" s="26">
        <f>'2'!C4</f>
        <v>0</v>
      </c>
      <c r="C23" s="26">
        <f>B23</f>
        <v>0</v>
      </c>
      <c r="D23" s="26">
        <f t="shared" ref="D23:G23" si="6">C23</f>
        <v>0</v>
      </c>
      <c r="E23" s="26">
        <f t="shared" si="6"/>
        <v>0</v>
      </c>
      <c r="F23" s="26">
        <f t="shared" si="6"/>
        <v>0</v>
      </c>
      <c r="G23" s="26">
        <f t="shared" si="6"/>
        <v>0</v>
      </c>
      <c r="H23" s="26"/>
    </row>
    <row r="24" spans="1:8">
      <c r="A24" s="15" t="s">
        <v>94</v>
      </c>
      <c r="B24" s="26">
        <f>'2'!C12-'2'!C4</f>
        <v>30279000</v>
      </c>
      <c r="C24" s="26">
        <f>B24</f>
        <v>30279000</v>
      </c>
      <c r="D24" s="26">
        <f t="shared" ref="D24:G24" si="7">C24</f>
        <v>30279000</v>
      </c>
      <c r="E24" s="26">
        <f t="shared" si="7"/>
        <v>30279000</v>
      </c>
      <c r="F24" s="26">
        <f t="shared" si="7"/>
        <v>30279000</v>
      </c>
      <c r="G24" s="26">
        <f t="shared" si="7"/>
        <v>30279000</v>
      </c>
      <c r="H24" s="26"/>
    </row>
    <row r="25" spans="1:8">
      <c r="A25" s="15" t="s">
        <v>87</v>
      </c>
      <c r="B25" s="26">
        <v>0</v>
      </c>
      <c r="C25" s="26">
        <f>C12</f>
        <v>4134300</v>
      </c>
      <c r="D25" s="26">
        <f>D12+C12</f>
        <v>8268600</v>
      </c>
      <c r="E25" s="26">
        <f>E12+D12+C12</f>
        <v>12402900</v>
      </c>
      <c r="F25" s="26">
        <f>F12+E12+D12+C12</f>
        <v>16537200</v>
      </c>
      <c r="G25" s="26">
        <f>F25+G12</f>
        <v>20671500</v>
      </c>
      <c r="H25" s="26"/>
    </row>
    <row r="26" spans="1:8">
      <c r="A26" s="15" t="s">
        <v>88</v>
      </c>
      <c r="B26" s="26">
        <f>B23+(B24-B25)</f>
        <v>30279000</v>
      </c>
      <c r="C26" s="26">
        <f>C23+(C24-C25)</f>
        <v>26144700</v>
      </c>
      <c r="D26" s="26">
        <f t="shared" ref="D26:G26" si="8">D23+(D24-D25)</f>
        <v>22010400</v>
      </c>
      <c r="E26" s="26">
        <f t="shared" si="8"/>
        <v>17876100</v>
      </c>
      <c r="F26" s="26">
        <f t="shared" si="8"/>
        <v>13741800</v>
      </c>
      <c r="G26" s="26">
        <f t="shared" si="8"/>
        <v>9607500</v>
      </c>
      <c r="H26" s="26"/>
    </row>
    <row r="27" spans="1:8" ht="15.75" thickBot="1">
      <c r="A27" s="59" t="s">
        <v>85</v>
      </c>
      <c r="B27" s="62">
        <f>B22+B26</f>
        <v>104177333.33333333</v>
      </c>
      <c r="C27" s="62">
        <f t="shared" ref="C27:G27" si="9">C22+C26</f>
        <v>108015426.56664054</v>
      </c>
      <c r="D27" s="62">
        <f t="shared" si="9"/>
        <v>104390330.59994783</v>
      </c>
      <c r="E27" s="62">
        <f t="shared" si="9"/>
        <v>108872718.43413006</v>
      </c>
      <c r="F27" s="62">
        <f t="shared" si="9"/>
        <v>136455376.09755963</v>
      </c>
      <c r="G27" s="62">
        <f t="shared" si="9"/>
        <v>168361928.52132717</v>
      </c>
      <c r="H27" s="26"/>
    </row>
    <row r="28" spans="1:8" ht="15.75" thickTop="1">
      <c r="A28" s="410" t="s">
        <v>75</v>
      </c>
      <c r="B28" s="410"/>
      <c r="C28" s="410"/>
      <c r="D28" s="410"/>
      <c r="E28" s="410"/>
      <c r="F28" s="410"/>
      <c r="G28" s="410"/>
    </row>
    <row r="29" spans="1:8">
      <c r="A29" s="15" t="s">
        <v>76</v>
      </c>
      <c r="B29" s="15">
        <v>0</v>
      </c>
      <c r="C29" s="60">
        <f>C16</f>
        <v>8338160.0000000009</v>
      </c>
      <c r="D29" s="60">
        <f>D16</f>
        <v>15404813.166121624</v>
      </c>
      <c r="E29" s="60">
        <f>E16</f>
        <v>26721864.267604221</v>
      </c>
      <c r="F29" s="60">
        <f>F16</f>
        <v>36099967.873170279</v>
      </c>
      <c r="G29" s="60">
        <f>G16</f>
        <v>46948195.697251238</v>
      </c>
    </row>
    <row r="30" spans="1:8">
      <c r="A30" s="15" t="s">
        <v>77</v>
      </c>
      <c r="B30" s="60">
        <f>B29</f>
        <v>0</v>
      </c>
      <c r="C30" s="60">
        <f t="shared" ref="C30:G30" si="10">C29</f>
        <v>8338160.0000000009</v>
      </c>
      <c r="D30" s="60">
        <f t="shared" si="10"/>
        <v>15404813.166121624</v>
      </c>
      <c r="E30" s="60">
        <f t="shared" si="10"/>
        <v>26721864.267604221</v>
      </c>
      <c r="F30" s="60">
        <f t="shared" si="10"/>
        <v>36099967.873170279</v>
      </c>
      <c r="G30" s="60">
        <f t="shared" si="10"/>
        <v>46948195.697251238</v>
      </c>
    </row>
    <row r="31" spans="1:8">
      <c r="A31" s="15" t="s">
        <v>78</v>
      </c>
      <c r="B31" s="25">
        <f>'3'!J8</f>
        <v>73898333.333333328</v>
      </c>
      <c r="C31" s="25">
        <f>'3'!J9</f>
        <v>53212426.566640541</v>
      </c>
      <c r="D31" s="25">
        <f>'3'!J10</f>
        <v>28803056.58194305</v>
      </c>
      <c r="E31" s="25">
        <f>'3'!J11</f>
        <v>0</v>
      </c>
      <c r="F31" s="25">
        <f>'3'!J12</f>
        <v>0</v>
      </c>
      <c r="G31" s="25">
        <f>'3'!J13</f>
        <v>0</v>
      </c>
    </row>
    <row r="32" spans="1:8" ht="15.75" thickBot="1">
      <c r="A32" s="59" t="s">
        <v>75</v>
      </c>
      <c r="B32" s="62">
        <f>B30+B31</f>
        <v>73898333.333333328</v>
      </c>
      <c r="C32" s="62">
        <f t="shared" ref="C32:G32" si="11">C30+C31</f>
        <v>61550586.566640541</v>
      </c>
      <c r="D32" s="62">
        <f t="shared" si="11"/>
        <v>44207869.748064674</v>
      </c>
      <c r="E32" s="62">
        <f t="shared" si="11"/>
        <v>26721864.267604221</v>
      </c>
      <c r="F32" s="62">
        <f t="shared" si="11"/>
        <v>36099967.873170279</v>
      </c>
      <c r="G32" s="62">
        <f t="shared" si="11"/>
        <v>46948195.697251238</v>
      </c>
    </row>
    <row r="33" spans="1:7" ht="15.75" thickTop="1">
      <c r="A33" s="410" t="s">
        <v>79</v>
      </c>
      <c r="B33" s="410"/>
      <c r="C33" s="410"/>
      <c r="D33" s="410"/>
      <c r="E33" s="410"/>
      <c r="F33" s="410"/>
      <c r="G33" s="410"/>
    </row>
    <row r="34" spans="1:7">
      <c r="A34" s="15" t="s">
        <v>80</v>
      </c>
      <c r="B34" s="26">
        <f>'3'!D15</f>
        <v>30279000</v>
      </c>
      <c r="C34" s="26">
        <f>B34</f>
        <v>30279000</v>
      </c>
      <c r="D34" s="26">
        <f t="shared" ref="D34:G34" si="12">C34</f>
        <v>30279000</v>
      </c>
      <c r="E34" s="26">
        <f t="shared" si="12"/>
        <v>30279000</v>
      </c>
      <c r="F34" s="26">
        <f t="shared" si="12"/>
        <v>30279000</v>
      </c>
      <c r="G34" s="26">
        <f t="shared" si="12"/>
        <v>30279000</v>
      </c>
    </row>
    <row r="35" spans="1:7">
      <c r="A35" s="15" t="s">
        <v>81</v>
      </c>
      <c r="B35" s="15">
        <v>0</v>
      </c>
      <c r="C35" s="60">
        <f>C17</f>
        <v>16185840</v>
      </c>
      <c r="D35" s="60">
        <f>D17</f>
        <v>29903460.851883151</v>
      </c>
      <c r="E35" s="60">
        <f>E17</f>
        <v>51871854.166525841</v>
      </c>
      <c r="F35" s="60">
        <f>F17</f>
        <v>70076408.224389344</v>
      </c>
      <c r="G35" s="60">
        <f>G17</f>
        <v>91134732.824075937</v>
      </c>
    </row>
    <row r="36" spans="1:7" ht="15.75" thickBot="1">
      <c r="A36" s="59" t="s">
        <v>82</v>
      </c>
      <c r="B36" s="62">
        <f>B34+B35</f>
        <v>30279000</v>
      </c>
      <c r="C36" s="62">
        <f t="shared" ref="C36:G36" si="13">C34+C35</f>
        <v>46464840</v>
      </c>
      <c r="D36" s="62">
        <f t="shared" si="13"/>
        <v>60182460.851883151</v>
      </c>
      <c r="E36" s="62">
        <f t="shared" si="13"/>
        <v>82150854.166525841</v>
      </c>
      <c r="F36" s="62">
        <f t="shared" si="13"/>
        <v>100355408.22438934</v>
      </c>
      <c r="G36" s="62">
        <f t="shared" si="13"/>
        <v>121413732.82407594</v>
      </c>
    </row>
    <row r="37" spans="1:7" ht="15.75" thickTop="1"/>
    <row r="38" spans="1:7" ht="15.75" thickBot="1">
      <c r="A38" s="59" t="s">
        <v>83</v>
      </c>
      <c r="B38" s="62">
        <f>B32+B36</f>
        <v>104177333.33333333</v>
      </c>
      <c r="C38" s="62">
        <f t="shared" ref="C38:G38" si="14">C32+C36</f>
        <v>108015426.56664054</v>
      </c>
      <c r="D38" s="62">
        <f t="shared" si="14"/>
        <v>104390330.59994783</v>
      </c>
      <c r="E38" s="62">
        <f t="shared" si="14"/>
        <v>108872718.43413006</v>
      </c>
      <c r="F38" s="62">
        <f t="shared" si="14"/>
        <v>136455376.09755963</v>
      </c>
      <c r="G38" s="62">
        <f t="shared" si="14"/>
        <v>168361928.52132717</v>
      </c>
    </row>
    <row r="39" spans="1:7" ht="15.75" thickTop="1">
      <c r="A39" s="56" t="s">
        <v>90</v>
      </c>
      <c r="B39" s="63">
        <f>B27-B38</f>
        <v>0</v>
      </c>
      <c r="C39" s="63">
        <f t="shared" ref="C39:G39" si="15">C27-C38</f>
        <v>0</v>
      </c>
      <c r="D39" s="63">
        <f t="shared" si="15"/>
        <v>0</v>
      </c>
      <c r="E39" s="63">
        <f t="shared" si="15"/>
        <v>0</v>
      </c>
      <c r="F39" s="63">
        <f t="shared" si="15"/>
        <v>0</v>
      </c>
      <c r="G39" s="63">
        <f t="shared" si="15"/>
        <v>0</v>
      </c>
    </row>
    <row r="41" spans="1:7" ht="15.75">
      <c r="A41" s="409" t="s">
        <v>96</v>
      </c>
      <c r="B41" s="409"/>
      <c r="C41" s="409"/>
      <c r="D41" s="409"/>
      <c r="E41" s="409"/>
      <c r="F41" s="409"/>
      <c r="G41" s="409"/>
    </row>
    <row r="42" spans="1:7">
      <c r="A42" s="410" t="s">
        <v>97</v>
      </c>
      <c r="B42" s="410"/>
      <c r="C42" s="410"/>
      <c r="D42" s="410"/>
      <c r="E42" s="410"/>
      <c r="F42" s="410"/>
      <c r="G42" s="410"/>
    </row>
    <row r="43" spans="1:7" ht="23.25">
      <c r="A43" s="11"/>
      <c r="B43" s="61" t="s">
        <v>84</v>
      </c>
      <c r="C43" s="58">
        <f>C20</f>
        <v>2022</v>
      </c>
      <c r="D43" s="58">
        <f t="shared" ref="D43:G43" si="16">D20</f>
        <v>2023</v>
      </c>
      <c r="E43" s="58">
        <f t="shared" si="16"/>
        <v>2024</v>
      </c>
      <c r="F43" s="58">
        <f t="shared" si="16"/>
        <v>2025</v>
      </c>
      <c r="G43" s="58">
        <f t="shared" si="16"/>
        <v>2026</v>
      </c>
    </row>
    <row r="44" spans="1:7">
      <c r="A44" s="1" t="s">
        <v>98</v>
      </c>
      <c r="B44" s="2">
        <f>B22</f>
        <v>73898333.333333328</v>
      </c>
      <c r="C44" s="2">
        <f t="shared" ref="C44:G44" si="17">C22</f>
        <v>81870726.566640541</v>
      </c>
      <c r="D44" s="2">
        <f t="shared" si="17"/>
        <v>82379930.599947825</v>
      </c>
      <c r="E44" s="2">
        <f t="shared" si="17"/>
        <v>90996618.434130058</v>
      </c>
      <c r="F44" s="2">
        <f t="shared" si="17"/>
        <v>122713576.09755963</v>
      </c>
      <c r="G44" s="2">
        <f t="shared" si="17"/>
        <v>158754428.52132717</v>
      </c>
    </row>
    <row r="45" spans="1:7" ht="15.75" thickBot="1">
      <c r="A45" s="1" t="s">
        <v>99</v>
      </c>
      <c r="B45" s="3">
        <f>B29</f>
        <v>0</v>
      </c>
      <c r="C45" s="3">
        <f t="shared" ref="C45:G45" si="18">C29</f>
        <v>8338160.0000000009</v>
      </c>
      <c r="D45" s="3">
        <f t="shared" si="18"/>
        <v>15404813.166121624</v>
      </c>
      <c r="E45" s="3">
        <f t="shared" si="18"/>
        <v>26721864.267604221</v>
      </c>
      <c r="F45" s="3">
        <f t="shared" si="18"/>
        <v>36099967.873170279</v>
      </c>
      <c r="G45" s="3">
        <f t="shared" si="18"/>
        <v>46948195.697251238</v>
      </c>
    </row>
    <row r="46" spans="1:7" ht="15.75" thickTop="1">
      <c r="A46" s="4" t="s">
        <v>100</v>
      </c>
      <c r="B46" s="5">
        <f t="shared" ref="B46:G46" si="19">B44-B45</f>
        <v>73898333.333333328</v>
      </c>
      <c r="C46" s="5">
        <f t="shared" si="19"/>
        <v>73532566.566640541</v>
      </c>
      <c r="D46" s="5">
        <f t="shared" si="19"/>
        <v>66975117.433826201</v>
      </c>
      <c r="E46" s="5">
        <f t="shared" si="19"/>
        <v>64274754.166525841</v>
      </c>
      <c r="F46" s="5">
        <f t="shared" si="19"/>
        <v>86613608.224389344</v>
      </c>
      <c r="G46" s="5">
        <f t="shared" si="19"/>
        <v>111806232.82407594</v>
      </c>
    </row>
    <row r="47" spans="1:7">
      <c r="A47" s="1"/>
      <c r="B47" s="2"/>
      <c r="C47" s="2"/>
      <c r="D47" s="2"/>
      <c r="E47" s="2"/>
      <c r="F47" s="2"/>
      <c r="G47" s="2"/>
    </row>
    <row r="48" spans="1:7">
      <c r="A48" s="4" t="s">
        <v>101</v>
      </c>
      <c r="B48" s="2">
        <f>B26</f>
        <v>30279000</v>
      </c>
      <c r="C48" s="2">
        <f t="shared" ref="C48:G48" si="20">C26</f>
        <v>26144700</v>
      </c>
      <c r="D48" s="2">
        <f t="shared" si="20"/>
        <v>22010400</v>
      </c>
      <c r="E48" s="2">
        <f t="shared" si="20"/>
        <v>17876100</v>
      </c>
      <c r="F48" s="2">
        <f t="shared" si="20"/>
        <v>13741800</v>
      </c>
      <c r="G48" s="2">
        <f t="shared" si="20"/>
        <v>9607500</v>
      </c>
    </row>
    <row r="49" spans="1:7" ht="15.75" thickBot="1">
      <c r="A49" s="1" t="s">
        <v>102</v>
      </c>
      <c r="B49" s="3">
        <f>B25</f>
        <v>0</v>
      </c>
      <c r="C49" s="3">
        <f t="shared" ref="C49:G49" si="21">C25</f>
        <v>4134300</v>
      </c>
      <c r="D49" s="3">
        <f t="shared" si="21"/>
        <v>8268600</v>
      </c>
      <c r="E49" s="3">
        <f t="shared" si="21"/>
        <v>12402900</v>
      </c>
      <c r="F49" s="3">
        <f t="shared" si="21"/>
        <v>16537200</v>
      </c>
      <c r="G49" s="3">
        <f t="shared" si="21"/>
        <v>20671500</v>
      </c>
    </row>
    <row r="50" spans="1:7" ht="15.75" thickTop="1">
      <c r="A50" s="4" t="s">
        <v>103</v>
      </c>
      <c r="B50" s="5">
        <f t="shared" ref="B50:G50" si="22">B48+B49</f>
        <v>30279000</v>
      </c>
      <c r="C50" s="5">
        <f t="shared" si="22"/>
        <v>30279000</v>
      </c>
      <c r="D50" s="5">
        <f t="shared" si="22"/>
        <v>30279000</v>
      </c>
      <c r="E50" s="5">
        <f t="shared" si="22"/>
        <v>30279000</v>
      </c>
      <c r="F50" s="5">
        <f t="shared" si="22"/>
        <v>30279000</v>
      </c>
      <c r="G50" s="5">
        <f t="shared" si="22"/>
        <v>30279000</v>
      </c>
    </row>
    <row r="51" spans="1:7">
      <c r="A51" s="1"/>
      <c r="B51" s="2"/>
      <c r="C51" s="2"/>
      <c r="D51" s="2"/>
      <c r="E51" s="2"/>
      <c r="F51" s="2"/>
      <c r="G51" s="2"/>
    </row>
    <row r="52" spans="1:7" ht="15.75" thickBot="1">
      <c r="A52" s="12" t="s">
        <v>104</v>
      </c>
      <c r="B52" s="6">
        <f t="shared" ref="B52:G52" si="23">B46+B48</f>
        <v>104177333.33333333</v>
      </c>
      <c r="C52" s="6">
        <f t="shared" si="23"/>
        <v>99677266.566640541</v>
      </c>
      <c r="D52" s="6">
        <f t="shared" si="23"/>
        <v>88985517.433826208</v>
      </c>
      <c r="E52" s="6">
        <f t="shared" si="23"/>
        <v>82150854.166525841</v>
      </c>
      <c r="F52" s="6">
        <f t="shared" si="23"/>
        <v>100355408.22438934</v>
      </c>
      <c r="G52" s="6">
        <f t="shared" si="23"/>
        <v>121413732.82407594</v>
      </c>
    </row>
    <row r="53" spans="1:7" ht="15.75" thickTop="1">
      <c r="A53" s="7"/>
      <c r="B53" s="2"/>
      <c r="C53" s="2"/>
      <c r="D53" s="2"/>
      <c r="E53" s="2"/>
      <c r="F53" s="2"/>
      <c r="G53" s="2"/>
    </row>
    <row r="54" spans="1:7">
      <c r="A54" s="411" t="s">
        <v>105</v>
      </c>
      <c r="B54" s="411"/>
      <c r="C54" s="411"/>
      <c r="D54" s="411"/>
      <c r="E54" s="411"/>
      <c r="F54" s="411"/>
      <c r="G54" s="411"/>
    </row>
    <row r="55" spans="1:7">
      <c r="A55" s="1" t="s">
        <v>106</v>
      </c>
      <c r="B55" s="8"/>
      <c r="C55" s="9">
        <f>C13</f>
        <v>37825700</v>
      </c>
      <c r="D55" s="9">
        <f t="shared" ref="D55:G55" si="24">D13</f>
        <v>54886510.800000072</v>
      </c>
      <c r="E55" s="9">
        <f t="shared" si="24"/>
        <v>83778268.61887981</v>
      </c>
      <c r="F55" s="9">
        <f t="shared" si="24"/>
        <v>106176376.09755963</v>
      </c>
      <c r="G55" s="9">
        <f t="shared" si="24"/>
        <v>138082928.52132717</v>
      </c>
    </row>
    <row r="56" spans="1:7" ht="15.75" thickBot="1">
      <c r="A56" s="1" t="s">
        <v>107</v>
      </c>
      <c r="B56" s="8"/>
      <c r="C56" s="10">
        <f>C55*'1'!$AB$7</f>
        <v>12860738</v>
      </c>
      <c r="D56" s="10">
        <f>D55*'1'!$AB$7</f>
        <v>18661413.672000024</v>
      </c>
      <c r="E56" s="10">
        <f>E55*'1'!$AB$7</f>
        <v>28484611.330419138</v>
      </c>
      <c r="F56" s="10">
        <f>F55*'1'!$AB$7</f>
        <v>36099967.873170279</v>
      </c>
      <c r="G56" s="10">
        <f>G55*'1'!$AB$7</f>
        <v>46948195.697251238</v>
      </c>
    </row>
    <row r="57" spans="1:7" ht="15.75" thickTop="1">
      <c r="A57" s="4" t="s">
        <v>108</v>
      </c>
      <c r="B57" s="8"/>
      <c r="C57" s="9">
        <f>C55-C56</f>
        <v>24964962</v>
      </c>
      <c r="D57" s="9">
        <f>D55-D56</f>
        <v>36225097.128000051</v>
      </c>
      <c r="E57" s="9">
        <f>E55-E56</f>
        <v>55293657.288460672</v>
      </c>
      <c r="F57" s="9">
        <f>F55-F56</f>
        <v>70076408.224389344</v>
      </c>
      <c r="G57" s="9">
        <f>G55-G56</f>
        <v>91134732.824075937</v>
      </c>
    </row>
    <row r="58" spans="1:7" ht="15.75" thickBot="1">
      <c r="A58" s="1" t="s">
        <v>109</v>
      </c>
      <c r="B58" s="8"/>
      <c r="C58" s="10">
        <f>-(C52-B52)</f>
        <v>4500066.7666927874</v>
      </c>
      <c r="D58" s="10">
        <f t="shared" ref="D58:G58" si="25">-(D52-C52)</f>
        <v>10691749.132814333</v>
      </c>
      <c r="E58" s="10">
        <f t="shared" si="25"/>
        <v>6834663.2673003674</v>
      </c>
      <c r="F58" s="10">
        <f t="shared" si="25"/>
        <v>-18204554.057863504</v>
      </c>
      <c r="G58" s="10">
        <f t="shared" si="25"/>
        <v>-21058324.599686593</v>
      </c>
    </row>
    <row r="59" spans="1:7" ht="16.5" thickTop="1" thickBot="1">
      <c r="A59" s="55" t="s">
        <v>110</v>
      </c>
      <c r="B59" s="56"/>
      <c r="C59" s="57">
        <f>SUM(C57:C58)</f>
        <v>29465028.766692787</v>
      </c>
      <c r="D59" s="57">
        <f t="shared" ref="D59:G59" si="26">SUM(D57:D58)</f>
        <v>46916846.260814384</v>
      </c>
      <c r="E59" s="57">
        <f t="shared" si="26"/>
        <v>62128320.555761039</v>
      </c>
      <c r="F59" s="57">
        <f t="shared" si="26"/>
        <v>51871854.166525841</v>
      </c>
      <c r="G59" s="57">
        <f t="shared" si="26"/>
        <v>70076408.224389344</v>
      </c>
    </row>
    <row r="60" spans="1:7" ht="15.75" thickTop="1"/>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2:P66"/>
  <sheetViews>
    <sheetView showGridLines="0" topLeftCell="A4" zoomScale="80" zoomScaleNormal="80" workbookViewId="0">
      <selection activeCell="D34" sqref="D34"/>
    </sheetView>
  </sheetViews>
  <sheetFormatPr baseColWidth="10" defaultColWidth="11.42578125" defaultRowHeight="15"/>
  <cols>
    <col min="1" max="1" width="11.42578125" style="15"/>
    <col min="2" max="2" width="32.5703125" style="15" customWidth="1"/>
    <col min="3" max="3" width="24.28515625" style="15" bestFit="1" customWidth="1"/>
    <col min="4" max="4" width="31.7109375" style="15" bestFit="1" customWidth="1"/>
    <col min="5" max="5" width="33.140625" style="15" bestFit="1" customWidth="1"/>
    <col min="6" max="6" width="26" style="15" customWidth="1"/>
    <col min="7" max="8" width="20.7109375" style="15" bestFit="1" customWidth="1"/>
    <col min="9" max="9" width="11.42578125" style="15"/>
    <col min="10" max="10" width="12" style="15" bestFit="1" customWidth="1"/>
    <col min="11" max="14" width="11.42578125" style="15"/>
    <col min="15" max="15" width="15.28515625" style="15" bestFit="1" customWidth="1"/>
    <col min="16" max="16" width="21.5703125" style="15" bestFit="1" customWidth="1"/>
    <col min="17" max="16384" width="11.42578125" style="15"/>
  </cols>
  <sheetData>
    <row r="2" spans="2:16" ht="38.25" customHeight="1">
      <c r="B2" s="395" t="s">
        <v>131</v>
      </c>
      <c r="C2" s="395"/>
      <c r="D2" s="395"/>
      <c r="E2" s="395"/>
      <c r="F2" s="395"/>
      <c r="G2" s="395"/>
      <c r="H2" s="395"/>
    </row>
    <row r="3" spans="2:16" ht="15.75" customHeight="1">
      <c r="B3" s="412" t="s">
        <v>159</v>
      </c>
      <c r="C3" s="412"/>
      <c r="D3" s="412"/>
      <c r="E3" s="413">
        <v>0.2</v>
      </c>
      <c r="F3" s="413"/>
    </row>
    <row r="4" spans="2:16" ht="16.5" customHeight="1">
      <c r="B4" s="412"/>
      <c r="C4" s="412"/>
      <c r="D4" s="412"/>
      <c r="E4" s="413"/>
      <c r="F4" s="413"/>
      <c r="O4" s="87"/>
    </row>
    <row r="5" spans="2:16" ht="16.5" customHeight="1">
      <c r="B5" s="416"/>
      <c r="C5" s="416"/>
      <c r="D5" s="416"/>
      <c r="E5" s="114"/>
      <c r="F5" s="114"/>
      <c r="O5" s="87"/>
    </row>
    <row r="6" spans="2:16" ht="15.75" thickBot="1">
      <c r="O6" s="87"/>
      <c r="P6" s="90"/>
    </row>
    <row r="7" spans="2:16" ht="23.25">
      <c r="B7" s="86" t="s">
        <v>111</v>
      </c>
      <c r="C7" s="68" t="s">
        <v>112</v>
      </c>
      <c r="D7" s="69">
        <f>'4'!C20</f>
        <v>2022</v>
      </c>
      <c r="E7" s="69">
        <f>'4'!D20</f>
        <v>2023</v>
      </c>
      <c r="F7" s="69">
        <f>'4'!E20</f>
        <v>2024</v>
      </c>
      <c r="G7" s="69">
        <f>'4'!F20</f>
        <v>2025</v>
      </c>
      <c r="H7" s="70">
        <f>'4'!G20</f>
        <v>2026</v>
      </c>
      <c r="O7" s="87"/>
      <c r="P7" s="89"/>
    </row>
    <row r="8" spans="2:16" ht="19.5" thickBot="1">
      <c r="B8" s="71"/>
      <c r="C8" s="132">
        <f>-'3'!D14</f>
        <v>-104177333.33333333</v>
      </c>
      <c r="D8" s="132">
        <f>'4'!C59</f>
        <v>29465028.766692787</v>
      </c>
      <c r="E8" s="132">
        <f>'4'!D59</f>
        <v>46916846.260814384</v>
      </c>
      <c r="F8" s="132">
        <f>'4'!E59</f>
        <v>62128320.555761039</v>
      </c>
      <c r="G8" s="132">
        <f>'4'!F59</f>
        <v>51871854.166525841</v>
      </c>
      <c r="H8" s="133">
        <f>'4'!G59</f>
        <v>70076408.224389344</v>
      </c>
      <c r="O8" s="87"/>
      <c r="P8" s="89"/>
    </row>
    <row r="9" spans="2:16" ht="15.75" thickBot="1">
      <c r="C9" s="91">
        <f>C8/(1+$E$3)^0</f>
        <v>-104177333.33333333</v>
      </c>
      <c r="D9" s="91">
        <f>D8/(1+$E$3)^1</f>
        <v>24554190.638910659</v>
      </c>
      <c r="E9" s="91">
        <f>E8/(1+$E$3)^2</f>
        <v>32581143.236676656</v>
      </c>
      <c r="F9" s="91">
        <f>F8/(1+$E$3)^3</f>
        <v>35953889.210509859</v>
      </c>
      <c r="G9" s="91">
        <f>G8/(1+$E$3)^4</f>
        <v>25015361.770122416</v>
      </c>
      <c r="H9" s="91">
        <f>H8/(1+$E$3)^5</f>
        <v>28162136.792851944</v>
      </c>
      <c r="I9" s="96"/>
      <c r="O9" s="87"/>
      <c r="P9" s="89"/>
    </row>
    <row r="10" spans="2:16" ht="24" thickBot="1">
      <c r="B10" s="30" t="s">
        <v>113</v>
      </c>
      <c r="C10" s="31"/>
      <c r="D10" s="134">
        <f>NPV(E3,D8:H8)+$C$8</f>
        <v>42089388.315738216</v>
      </c>
      <c r="O10" s="87"/>
      <c r="P10" s="89"/>
    </row>
    <row r="11" spans="2:16" ht="28.5" thickBot="1">
      <c r="B11" s="95" t="s">
        <v>114</v>
      </c>
      <c r="C11" s="31"/>
      <c r="D11" s="97">
        <f>IF(ISERROR(IRR(C8:H8)),"NO_APLICA",(IRR(C8:H8)))</f>
        <v>0.34947967880179753</v>
      </c>
      <c r="F11" s="92" t="s">
        <v>136</v>
      </c>
      <c r="G11" s="31"/>
      <c r="H11" s="93">
        <f>IF(ISERROR(-C9/AVERAGE(D9:H9)),"NO_APLICA",(-C9/AVERAGE(D9:H9)))</f>
        <v>3.5612110587697248</v>
      </c>
      <c r="I11" s="94" t="s">
        <v>63</v>
      </c>
      <c r="P11" s="88"/>
    </row>
    <row r="13" spans="2:16" ht="18.75">
      <c r="B13" s="414" t="s">
        <v>118</v>
      </c>
      <c r="C13" s="414"/>
      <c r="D13" s="414"/>
      <c r="E13" s="414"/>
      <c r="F13" s="414"/>
      <c r="G13" s="414"/>
      <c r="H13" s="414"/>
    </row>
    <row r="14" spans="2:16" ht="36.75">
      <c r="B14" s="72" t="str">
        <f>'1'!B2</f>
        <v>NOMBRE DEL PRODUCTO O SERVICIO</v>
      </c>
      <c r="C14" s="72" t="s">
        <v>119</v>
      </c>
      <c r="D14" s="72" t="s">
        <v>120</v>
      </c>
      <c r="E14" s="72" t="s">
        <v>121</v>
      </c>
      <c r="F14" s="72" t="s">
        <v>123</v>
      </c>
      <c r="H14" s="64"/>
      <c r="I14" s="64"/>
      <c r="J14" s="64" t="s">
        <v>127</v>
      </c>
    </row>
    <row r="15" spans="2:16">
      <c r="B15" s="73" t="str">
        <f>'1'!B3</f>
        <v>Bolsa de maní - 500 gms</v>
      </c>
      <c r="C15" s="74">
        <f>'1'!D3-'1'!D17</f>
        <v>1456</v>
      </c>
      <c r="D15" s="75">
        <f>'1'!F3</f>
        <v>0.31713196662202536</v>
      </c>
      <c r="E15" s="76">
        <f>C15*D15</f>
        <v>461.74414340166891</v>
      </c>
      <c r="F15" s="77">
        <f t="shared" ref="F15:F24" si="0">$E$28*D15</f>
        <v>26463.750598406597</v>
      </c>
      <c r="G15" s="38" t="s">
        <v>122</v>
      </c>
      <c r="H15" s="65">
        <f>'1'!D3</f>
        <v>5200</v>
      </c>
      <c r="I15" s="78">
        <f t="shared" ref="I15:I24" si="1">$B$35*D15</f>
        <v>52927.501196813195</v>
      </c>
      <c r="J15" s="65">
        <f>'1'!D17</f>
        <v>3744</v>
      </c>
    </row>
    <row r="16" spans="2:16">
      <c r="B16" s="79" t="str">
        <f>'1'!B4</f>
        <v>Bolsa de maní - 250 gms</v>
      </c>
      <c r="C16" s="74">
        <f>'1'!D4-'1'!D18</f>
        <v>784</v>
      </c>
      <c r="D16" s="75">
        <f>'1'!F4</f>
        <v>0.10095807149479757</v>
      </c>
      <c r="E16" s="76">
        <f t="shared" ref="E16:E24" si="2">C16*D16</f>
        <v>79.151128051921305</v>
      </c>
      <c r="F16" s="77">
        <f t="shared" si="0"/>
        <v>8424.6607284428483</v>
      </c>
      <c r="G16" s="38" t="str">
        <f>G15</f>
        <v>UNIDADES</v>
      </c>
      <c r="H16" s="65">
        <f>'1'!D4</f>
        <v>2800</v>
      </c>
      <c r="I16" s="78">
        <f t="shared" si="1"/>
        <v>16849.321456885697</v>
      </c>
      <c r="J16" s="65">
        <f>'1'!D18</f>
        <v>2016</v>
      </c>
    </row>
    <row r="17" spans="1:10">
      <c r="B17" s="79" t="str">
        <f>'1'!B5</f>
        <v>Bolsa de maní - 125 gms</v>
      </c>
      <c r="C17" s="74">
        <f>'1'!D5-'1'!D19</f>
        <v>392</v>
      </c>
      <c r="D17" s="75">
        <f>'1'!F5</f>
        <v>0.12576491191923353</v>
      </c>
      <c r="E17" s="76">
        <f t="shared" si="2"/>
        <v>49.299845472339541</v>
      </c>
      <c r="F17" s="77">
        <f t="shared" si="0"/>
        <v>10494.720221717376</v>
      </c>
      <c r="G17" s="38" t="str">
        <f t="shared" ref="G17:G24" si="3">G16</f>
        <v>UNIDADES</v>
      </c>
      <c r="H17" s="65">
        <f>'1'!D5</f>
        <v>1400</v>
      </c>
      <c r="I17" s="78">
        <f t="shared" si="1"/>
        <v>20989.440443434753</v>
      </c>
      <c r="J17" s="65">
        <f>'1'!D19</f>
        <v>1008</v>
      </c>
    </row>
    <row r="18" spans="1:10">
      <c r="B18" s="79" t="str">
        <f>'1'!B6</f>
        <v>Ristra de mani (400 gms) - 10 unidades</v>
      </c>
      <c r="C18" s="74">
        <f>'1'!D6-'1'!D20</f>
        <v>1232</v>
      </c>
      <c r="D18" s="75">
        <f>'1'!F6</f>
        <v>0.43061708045740188</v>
      </c>
      <c r="E18" s="76">
        <f t="shared" si="2"/>
        <v>530.52024312351909</v>
      </c>
      <c r="F18" s="77">
        <f t="shared" si="0"/>
        <v>35933.75698458276</v>
      </c>
      <c r="G18" s="38" t="str">
        <f t="shared" si="3"/>
        <v>UNIDADES</v>
      </c>
      <c r="H18" s="65">
        <f>'1'!D6</f>
        <v>4400</v>
      </c>
      <c r="I18" s="78">
        <f t="shared" si="1"/>
        <v>71867.51396916552</v>
      </c>
      <c r="J18" s="65">
        <f>'1'!D20</f>
        <v>3168</v>
      </c>
    </row>
    <row r="19" spans="1:10">
      <c r="B19" s="79" t="str">
        <f>'1'!B7</f>
        <v>Bolsita individual 60 gms</v>
      </c>
      <c r="C19" s="74">
        <f>'1'!D7-'1'!D21</f>
        <v>196</v>
      </c>
      <c r="D19" s="75">
        <f>'1'!F7</f>
        <v>2.5527969506541671E-2</v>
      </c>
      <c r="E19" s="76">
        <f t="shared" si="2"/>
        <v>5.0034820232821673</v>
      </c>
      <c r="F19" s="77">
        <f t="shared" si="0"/>
        <v>2130.2356413348343</v>
      </c>
      <c r="G19" s="38" t="str">
        <f t="shared" si="3"/>
        <v>UNIDADES</v>
      </c>
      <c r="H19" s="65">
        <f>'1'!D7</f>
        <v>700</v>
      </c>
      <c r="I19" s="78">
        <f t="shared" si="1"/>
        <v>4260.4712826696687</v>
      </c>
      <c r="J19" s="65">
        <f>'1'!D21</f>
        <v>504</v>
      </c>
    </row>
    <row r="20" spans="1:10">
      <c r="B20" s="79">
        <f>'1'!B8</f>
        <v>0</v>
      </c>
      <c r="C20" s="74">
        <f>'1'!D8-'1'!D22</f>
        <v>0</v>
      </c>
      <c r="D20" s="75">
        <f>'1'!F8</f>
        <v>0</v>
      </c>
      <c r="E20" s="76">
        <f t="shared" si="2"/>
        <v>0</v>
      </c>
      <c r="F20" s="77">
        <f t="shared" si="0"/>
        <v>0</v>
      </c>
      <c r="G20" s="38" t="str">
        <f t="shared" si="3"/>
        <v>UNIDADES</v>
      </c>
      <c r="H20" s="65">
        <f>'1'!D8</f>
        <v>0</v>
      </c>
      <c r="I20" s="78">
        <f t="shared" si="1"/>
        <v>0</v>
      </c>
      <c r="J20" s="65">
        <f>'1'!D22</f>
        <v>0</v>
      </c>
    </row>
    <row r="21" spans="1:10">
      <c r="B21" s="79">
        <f>'1'!B9</f>
        <v>0</v>
      </c>
      <c r="C21" s="74">
        <f>'1'!D9-'1'!D23</f>
        <v>0</v>
      </c>
      <c r="D21" s="75">
        <f>'1'!F9</f>
        <v>0</v>
      </c>
      <c r="E21" s="76">
        <f t="shared" si="2"/>
        <v>0</v>
      </c>
      <c r="F21" s="77">
        <f t="shared" si="0"/>
        <v>0</v>
      </c>
      <c r="G21" s="38" t="str">
        <f t="shared" si="3"/>
        <v>UNIDADES</v>
      </c>
      <c r="H21" s="65">
        <f>'1'!D9</f>
        <v>0</v>
      </c>
      <c r="I21" s="78">
        <f t="shared" si="1"/>
        <v>0</v>
      </c>
      <c r="J21" s="65">
        <f>'1'!D23</f>
        <v>0</v>
      </c>
    </row>
    <row r="22" spans="1:10">
      <c r="B22" s="79">
        <f>'1'!B10</f>
        <v>0</v>
      </c>
      <c r="C22" s="74">
        <f>'1'!D10-'1'!D24</f>
        <v>0</v>
      </c>
      <c r="D22" s="75">
        <f>'1'!F10</f>
        <v>0</v>
      </c>
      <c r="E22" s="76">
        <f t="shared" si="2"/>
        <v>0</v>
      </c>
      <c r="F22" s="77">
        <f t="shared" si="0"/>
        <v>0</v>
      </c>
      <c r="G22" s="38" t="str">
        <f t="shared" si="3"/>
        <v>UNIDADES</v>
      </c>
      <c r="H22" s="65">
        <f>'1'!D10</f>
        <v>0</v>
      </c>
      <c r="I22" s="78">
        <f t="shared" si="1"/>
        <v>0</v>
      </c>
      <c r="J22" s="65">
        <f>'1'!D24</f>
        <v>0</v>
      </c>
    </row>
    <row r="23" spans="1:10">
      <c r="B23" s="79">
        <f>'1'!B11</f>
        <v>0</v>
      </c>
      <c r="C23" s="74">
        <f>'1'!D11-'1'!D25</f>
        <v>0</v>
      </c>
      <c r="D23" s="75">
        <f>'1'!F11</f>
        <v>0</v>
      </c>
      <c r="E23" s="76">
        <f t="shared" si="2"/>
        <v>0</v>
      </c>
      <c r="F23" s="77">
        <f t="shared" si="0"/>
        <v>0</v>
      </c>
      <c r="G23" s="38" t="str">
        <f t="shared" si="3"/>
        <v>UNIDADES</v>
      </c>
      <c r="H23" s="65">
        <f>'1'!D11</f>
        <v>0</v>
      </c>
      <c r="I23" s="78">
        <f t="shared" si="1"/>
        <v>0</v>
      </c>
      <c r="J23" s="65">
        <f>'1'!D25</f>
        <v>0</v>
      </c>
    </row>
    <row r="24" spans="1:10">
      <c r="B24" s="73">
        <f>'1'!B12</f>
        <v>0</v>
      </c>
      <c r="C24" s="74">
        <f>'1'!D12-'1'!D26</f>
        <v>0</v>
      </c>
      <c r="D24" s="75">
        <f>'1'!F12</f>
        <v>0</v>
      </c>
      <c r="E24" s="76">
        <f t="shared" si="2"/>
        <v>0</v>
      </c>
      <c r="F24" s="77">
        <f t="shared" si="0"/>
        <v>0</v>
      </c>
      <c r="G24" s="38" t="str">
        <f t="shared" si="3"/>
        <v>UNIDADES</v>
      </c>
      <c r="H24" s="65">
        <f>'1'!D12</f>
        <v>0</v>
      </c>
      <c r="I24" s="78">
        <f t="shared" si="1"/>
        <v>0</v>
      </c>
      <c r="J24" s="65">
        <f>'1'!D26</f>
        <v>0</v>
      </c>
    </row>
    <row r="25" spans="1:10" ht="26.25">
      <c r="B25" s="80"/>
      <c r="C25" s="81"/>
      <c r="D25" s="82"/>
      <c r="E25" s="26"/>
      <c r="F25" s="83">
        <f>SUM(F15:F24)</f>
        <v>83447.124174484416</v>
      </c>
      <c r="G25" s="15" t="str">
        <f>G24</f>
        <v>UNIDADES</v>
      </c>
      <c r="H25" s="65"/>
      <c r="I25" s="78"/>
      <c r="J25" s="65"/>
    </row>
    <row r="26" spans="1:10" ht="12.75" customHeight="1">
      <c r="B26" s="80"/>
      <c r="C26" s="81"/>
      <c r="D26" s="82"/>
      <c r="E26" s="26"/>
      <c r="F26" s="83"/>
      <c r="H26" s="65"/>
      <c r="I26" s="78"/>
      <c r="J26" s="65"/>
    </row>
    <row r="27" spans="1:10" ht="21" customHeight="1">
      <c r="B27" s="417" t="s">
        <v>130</v>
      </c>
      <c r="C27" s="417"/>
      <c r="D27" s="417"/>
      <c r="E27" s="146">
        <f>SUM(E15:E24)</f>
        <v>1125.7188420727311</v>
      </c>
      <c r="H27" s="64"/>
      <c r="I27" s="64"/>
      <c r="J27" s="64"/>
    </row>
    <row r="28" spans="1:10" ht="19.5" customHeight="1">
      <c r="B28" s="417" t="s">
        <v>129</v>
      </c>
      <c r="C28" s="417"/>
      <c r="D28" s="417"/>
      <c r="E28" s="147">
        <f>IF(E27=0,0,('2'!C23+'2'!F31+'2'!C25)/'5'!E27)</f>
        <v>83447.124174484416</v>
      </c>
      <c r="F28" s="84" t="s">
        <v>122</v>
      </c>
      <c r="H28" s="85"/>
    </row>
    <row r="29" spans="1:10" ht="26.25">
      <c r="B29" s="417" t="s">
        <v>153</v>
      </c>
      <c r="C29" s="417"/>
      <c r="D29" s="417"/>
      <c r="E29" s="146">
        <f>E49</f>
        <v>335492857.14285713</v>
      </c>
    </row>
    <row r="30" spans="1:10">
      <c r="B30" s="109"/>
      <c r="C30" s="109"/>
      <c r="D30" s="109"/>
      <c r="E30" s="109"/>
      <c r="F30" s="109"/>
      <c r="G30" s="109"/>
    </row>
    <row r="31" spans="1:10" s="64" customFormat="1">
      <c r="A31" s="240"/>
      <c r="B31" s="240"/>
      <c r="C31" s="240"/>
      <c r="D31" s="240"/>
    </row>
    <row r="32" spans="1:10" s="64" customFormat="1">
      <c r="A32" s="240"/>
      <c r="B32" s="240"/>
      <c r="C32" s="243" t="s">
        <v>124</v>
      </c>
      <c r="D32" s="243" t="s">
        <v>125</v>
      </c>
      <c r="E32" s="64" t="s">
        <v>128</v>
      </c>
      <c r="F32" s="64" t="s">
        <v>126</v>
      </c>
    </row>
    <row r="33" spans="1:6" s="64" customFormat="1">
      <c r="A33" s="240"/>
      <c r="B33" s="240">
        <v>0</v>
      </c>
      <c r="C33" s="241">
        <f>'2'!C25+'2'!F31+'2'!C23</f>
        <v>93938000</v>
      </c>
      <c r="D33" s="240">
        <f>0</f>
        <v>0</v>
      </c>
      <c r="E33" s="64">
        <v>0</v>
      </c>
      <c r="F33" s="65">
        <f>C33+E33</f>
        <v>93938000</v>
      </c>
    </row>
    <row r="34" spans="1:6" s="64" customFormat="1">
      <c r="A34" s="240"/>
      <c r="B34" s="242">
        <f>F25</f>
        <v>83447.124174484416</v>
      </c>
      <c r="C34" s="241">
        <f>C33</f>
        <v>93938000</v>
      </c>
      <c r="D34" s="25">
        <f>SUMPRODUCT(F15:F24,H15:H24)</f>
        <v>335492857.14285713</v>
      </c>
      <c r="E34" s="110">
        <f>SUMPRODUCT(F15:F24,J15:J24)</f>
        <v>241554857.14285713</v>
      </c>
      <c r="F34" s="65">
        <f t="shared" ref="F34:F35" si="4">C34+E34</f>
        <v>335492857.14285713</v>
      </c>
    </row>
    <row r="35" spans="1:6" s="64" customFormat="1">
      <c r="A35" s="240"/>
      <c r="B35" s="242">
        <f>B34*2</f>
        <v>166894.24834896883</v>
      </c>
      <c r="C35" s="241">
        <f>C34</f>
        <v>93938000</v>
      </c>
      <c r="D35" s="25">
        <f>SUMPRODUCT(H15:H24,I15:I24)</f>
        <v>670985714.28571427</v>
      </c>
      <c r="E35" s="110">
        <f>SUMPRODUCT(I15:I24,J15:J24)</f>
        <v>483109714.28571427</v>
      </c>
      <c r="F35" s="65">
        <f t="shared" si="4"/>
        <v>577047714.28571427</v>
      </c>
    </row>
    <row r="36" spans="1:6" s="64" customFormat="1">
      <c r="A36" s="240"/>
      <c r="B36" s="240"/>
      <c r="C36" s="241"/>
      <c r="D36" s="240"/>
    </row>
    <row r="37" spans="1:6" s="64" customFormat="1">
      <c r="B37" s="240"/>
      <c r="C37" s="241"/>
      <c r="D37" s="240"/>
    </row>
    <row r="38" spans="1:6" s="64" customFormat="1">
      <c r="C38" s="111" t="s">
        <v>151</v>
      </c>
      <c r="D38" s="64" t="s">
        <v>122</v>
      </c>
      <c r="E38" s="64" t="s">
        <v>152</v>
      </c>
    </row>
    <row r="39" spans="1:6" s="64" customFormat="1">
      <c r="B39" s="64">
        <v>1</v>
      </c>
      <c r="C39" s="65">
        <f>'1'!D3</f>
        <v>5200</v>
      </c>
      <c r="D39" s="78">
        <f>F15</f>
        <v>26463.750598406597</v>
      </c>
      <c r="E39" s="64">
        <f>C39*D39</f>
        <v>137611503.1117143</v>
      </c>
    </row>
    <row r="40" spans="1:6" s="64" customFormat="1">
      <c r="B40" s="64">
        <f>B39+1</f>
        <v>2</v>
      </c>
      <c r="C40" s="65">
        <f>'1'!D4</f>
        <v>2800</v>
      </c>
      <c r="D40" s="78">
        <f t="shared" ref="D40:D48" si="5">F16</f>
        <v>8424.6607284428483</v>
      </c>
      <c r="E40" s="64">
        <f t="shared" ref="E40:E48" si="6">C40*D40</f>
        <v>23589050.039639976</v>
      </c>
    </row>
    <row r="41" spans="1:6" s="64" customFormat="1">
      <c r="B41" s="64">
        <f t="shared" ref="B41:B48" si="7">B40+1</f>
        <v>3</v>
      </c>
      <c r="C41" s="65">
        <f>'1'!D5</f>
        <v>1400</v>
      </c>
      <c r="D41" s="78">
        <f t="shared" si="5"/>
        <v>10494.720221717376</v>
      </c>
      <c r="E41" s="64">
        <f t="shared" si="6"/>
        <v>14692608.310404327</v>
      </c>
    </row>
    <row r="42" spans="1:6" s="64" customFormat="1">
      <c r="B42" s="64">
        <f t="shared" si="7"/>
        <v>4</v>
      </c>
      <c r="C42" s="65">
        <f>'1'!D6</f>
        <v>4400</v>
      </c>
      <c r="D42" s="78">
        <f t="shared" si="5"/>
        <v>35933.75698458276</v>
      </c>
      <c r="E42" s="64">
        <f t="shared" si="6"/>
        <v>158108530.73216414</v>
      </c>
    </row>
    <row r="43" spans="1:6" s="64" customFormat="1">
      <c r="B43" s="64">
        <f t="shared" si="7"/>
        <v>5</v>
      </c>
      <c r="C43" s="65">
        <f>'1'!D7</f>
        <v>700</v>
      </c>
      <c r="D43" s="78">
        <f t="shared" si="5"/>
        <v>2130.2356413348343</v>
      </c>
      <c r="E43" s="64">
        <f t="shared" si="6"/>
        <v>1491164.9489343839</v>
      </c>
    </row>
    <row r="44" spans="1:6" s="64" customFormat="1">
      <c r="B44" s="64">
        <f t="shared" si="7"/>
        <v>6</v>
      </c>
      <c r="C44" s="65">
        <f>'1'!D8</f>
        <v>0</v>
      </c>
      <c r="D44" s="78">
        <f t="shared" si="5"/>
        <v>0</v>
      </c>
      <c r="E44" s="64">
        <f t="shared" si="6"/>
        <v>0</v>
      </c>
    </row>
    <row r="45" spans="1:6" s="64" customFormat="1">
      <c r="B45" s="64">
        <f t="shared" si="7"/>
        <v>7</v>
      </c>
      <c r="C45" s="65">
        <f>'1'!D9</f>
        <v>0</v>
      </c>
      <c r="D45" s="78">
        <f t="shared" si="5"/>
        <v>0</v>
      </c>
      <c r="E45" s="64">
        <f t="shared" si="6"/>
        <v>0</v>
      </c>
    </row>
    <row r="46" spans="1:6" s="64" customFormat="1">
      <c r="B46" s="64">
        <f t="shared" si="7"/>
        <v>8</v>
      </c>
      <c r="C46" s="65">
        <f>'1'!D10</f>
        <v>0</v>
      </c>
      <c r="D46" s="78">
        <f t="shared" si="5"/>
        <v>0</v>
      </c>
      <c r="E46" s="64">
        <f t="shared" si="6"/>
        <v>0</v>
      </c>
    </row>
    <row r="47" spans="1:6" s="64" customFormat="1">
      <c r="B47" s="64">
        <f t="shared" si="7"/>
        <v>9</v>
      </c>
      <c r="C47" s="65">
        <f>'1'!D11</f>
        <v>0</v>
      </c>
      <c r="D47" s="78">
        <f t="shared" si="5"/>
        <v>0</v>
      </c>
      <c r="E47" s="64">
        <f t="shared" si="6"/>
        <v>0</v>
      </c>
    </row>
    <row r="48" spans="1:6" s="64" customFormat="1">
      <c r="B48" s="64">
        <f t="shared" si="7"/>
        <v>10</v>
      </c>
      <c r="C48" s="65">
        <f>'1'!D12</f>
        <v>0</v>
      </c>
      <c r="D48" s="78">
        <f t="shared" si="5"/>
        <v>0</v>
      </c>
      <c r="E48" s="64">
        <f t="shared" si="6"/>
        <v>0</v>
      </c>
    </row>
    <row r="49" spans="2:8" s="64" customFormat="1">
      <c r="C49" s="65"/>
      <c r="E49" s="112">
        <f>SUM(E39:E48)</f>
        <v>335492857.14285713</v>
      </c>
    </row>
    <row r="50" spans="2:8" s="64" customFormat="1"/>
    <row r="51" spans="2:8" s="64" customFormat="1">
      <c r="C51" s="65"/>
    </row>
    <row r="52" spans="2:8" s="64" customFormat="1">
      <c r="B52" s="415"/>
      <c r="C52" s="415"/>
      <c r="D52" s="415"/>
      <c r="G52" s="64" t="s">
        <v>154</v>
      </c>
      <c r="H52" s="113">
        <f>'4'!B32/'4'!B27</f>
        <v>0.70935136242048813</v>
      </c>
    </row>
    <row r="53" spans="2:8" s="64" customFormat="1">
      <c r="C53" s="65"/>
      <c r="G53" s="64" t="s">
        <v>155</v>
      </c>
      <c r="H53" s="113">
        <f>'4'!B36/'4'!B27</f>
        <v>0.29064863757951187</v>
      </c>
    </row>
    <row r="54" spans="2:8" s="64" customFormat="1">
      <c r="G54" s="64" t="s">
        <v>156</v>
      </c>
      <c r="H54" s="64">
        <f>'1'!AB7</f>
        <v>0.34</v>
      </c>
    </row>
    <row r="55" spans="2:8" s="64" customFormat="1">
      <c r="G55" s="64" t="s">
        <v>157</v>
      </c>
      <c r="H55" s="113">
        <f>'3'!F4</f>
        <v>0.18</v>
      </c>
    </row>
    <row r="56" spans="2:8" s="64" customFormat="1">
      <c r="G56" s="64" t="s">
        <v>158</v>
      </c>
    </row>
    <row r="57" spans="2:8" s="64" customFormat="1"/>
    <row r="58" spans="2:8" s="64" customFormat="1"/>
    <row r="59" spans="2:8" s="64" customFormat="1"/>
    <row r="60" spans="2:8" s="64" customFormat="1"/>
    <row r="61" spans="2:8" s="64" customFormat="1"/>
    <row r="62" spans="2:8">
      <c r="B62" s="109"/>
      <c r="C62" s="109"/>
      <c r="D62" s="109"/>
      <c r="E62" s="109"/>
      <c r="F62" s="109"/>
      <c r="G62" s="109"/>
    </row>
    <row r="63" spans="2:8">
      <c r="B63" s="109"/>
      <c r="C63" s="109"/>
      <c r="D63" s="109"/>
      <c r="E63" s="109"/>
      <c r="F63" s="109"/>
      <c r="G63" s="109"/>
    </row>
    <row r="64" spans="2:8">
      <c r="B64" s="109"/>
      <c r="C64" s="109"/>
      <c r="D64" s="109"/>
      <c r="E64" s="109"/>
      <c r="F64" s="109"/>
      <c r="G64" s="109"/>
    </row>
    <row r="65" spans="2:7">
      <c r="B65" s="109"/>
      <c r="C65" s="109"/>
      <c r="D65" s="109"/>
      <c r="E65" s="109"/>
      <c r="F65" s="109"/>
      <c r="G65" s="109"/>
    </row>
    <row r="66" spans="2:7">
      <c r="B66" s="109"/>
      <c r="C66" s="109"/>
      <c r="D66" s="109"/>
      <c r="E66" s="109"/>
      <c r="F66" s="109"/>
      <c r="G66" s="109"/>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B1:W20"/>
  <sheetViews>
    <sheetView showGridLines="0" zoomScale="120" zoomScaleNormal="120" workbookViewId="0">
      <selection activeCell="E6" sqref="E6"/>
    </sheetView>
  </sheetViews>
  <sheetFormatPr baseColWidth="10" defaultColWidth="11.42578125" defaultRowHeight="15"/>
  <cols>
    <col min="1" max="1" width="0.7109375" style="185" customWidth="1"/>
    <col min="2" max="2" width="14.5703125" style="185" customWidth="1"/>
    <col min="3" max="3" width="4.42578125" style="185" customWidth="1"/>
    <col min="4" max="4" width="6.7109375" style="185" customWidth="1"/>
    <col min="5" max="5" width="6" style="185" bestFit="1" customWidth="1"/>
    <col min="6" max="6" width="5.42578125" style="185" customWidth="1"/>
    <col min="7" max="7" width="5.7109375" style="185" customWidth="1"/>
    <col min="8" max="10" width="3.140625" style="185" customWidth="1"/>
    <col min="11" max="11" width="4.28515625" style="185" customWidth="1"/>
    <col min="12" max="12" width="6.7109375" style="185" customWidth="1"/>
    <col min="13" max="13" width="9.5703125" style="185" customWidth="1"/>
    <col min="14" max="14" width="9.28515625" style="185" customWidth="1"/>
    <col min="15" max="15" width="8.7109375" style="185" customWidth="1"/>
    <col min="16" max="16" width="7" style="185" customWidth="1"/>
    <col min="17" max="17" width="7.140625" style="185" customWidth="1"/>
    <col min="18" max="18" width="6.28515625" style="185" customWidth="1"/>
    <col min="19" max="19" width="8" style="185" customWidth="1"/>
    <col min="20" max="20" width="8.7109375" style="185" customWidth="1"/>
    <col min="21" max="22" width="9.28515625" style="185" customWidth="1"/>
    <col min="23" max="23" width="8.7109375" style="185" customWidth="1"/>
    <col min="24" max="24" width="8.85546875" style="185" customWidth="1"/>
    <col min="25" max="25" width="9.140625" style="185" bestFit="1" customWidth="1"/>
    <col min="26" max="26" width="7.28515625" style="185" bestFit="1" customWidth="1"/>
    <col min="27" max="27" width="10.85546875" style="185" bestFit="1" customWidth="1"/>
    <col min="28" max="28" width="6.85546875" style="185" bestFit="1" customWidth="1"/>
    <col min="29" max="29" width="6" style="185" bestFit="1" customWidth="1"/>
    <col min="30" max="30" width="7.140625" style="185" bestFit="1" customWidth="1"/>
    <col min="31" max="31" width="8.85546875" style="185" bestFit="1" customWidth="1"/>
    <col min="32" max="33" width="8.85546875" style="185" customWidth="1"/>
    <col min="34" max="34" width="9.140625" style="185" bestFit="1" customWidth="1"/>
    <col min="35" max="35" width="7.28515625" style="185" bestFit="1" customWidth="1"/>
    <col min="36" max="36" width="11.42578125" style="185"/>
    <col min="37" max="37" width="6.85546875" style="185" bestFit="1" customWidth="1"/>
    <col min="38" max="38" width="6" style="185" bestFit="1" customWidth="1"/>
    <col min="39" max="39" width="7.140625" style="185" bestFit="1" customWidth="1"/>
    <col min="40" max="40" width="8.85546875" style="185" bestFit="1" customWidth="1"/>
    <col min="41" max="42" width="8.85546875" style="185" customWidth="1"/>
    <col min="43" max="43" width="9.140625" style="185" bestFit="1" customWidth="1"/>
    <col min="44" max="44" width="7.28515625" style="185" bestFit="1" customWidth="1"/>
    <col min="45" max="16384" width="11.42578125" style="185"/>
  </cols>
  <sheetData>
    <row r="1" spans="2:23" ht="19.5" customHeight="1">
      <c r="B1" s="423" t="s">
        <v>163</v>
      </c>
      <c r="C1" s="423"/>
      <c r="D1" s="423"/>
      <c r="E1" s="423"/>
      <c r="F1" s="423"/>
      <c r="G1" s="423"/>
      <c r="H1" s="423"/>
      <c r="I1" s="423"/>
      <c r="J1" s="423"/>
      <c r="K1" s="423"/>
      <c r="L1" s="423"/>
      <c r="M1" s="423"/>
      <c r="N1" s="423"/>
      <c r="O1" s="423"/>
      <c r="P1" s="423"/>
      <c r="Q1" s="423"/>
      <c r="R1" s="423"/>
      <c r="S1" s="423"/>
      <c r="T1" s="423"/>
      <c r="U1" s="423"/>
      <c r="V1" s="423"/>
      <c r="W1" s="423"/>
    </row>
    <row r="2" spans="2:23" ht="15.75" customHeight="1">
      <c r="B2" s="424" t="s">
        <v>238</v>
      </c>
      <c r="C2" s="424"/>
      <c r="D2" s="424"/>
      <c r="E2" s="424"/>
      <c r="F2" s="424"/>
      <c r="G2" s="424"/>
      <c r="H2" s="424"/>
      <c r="I2" s="424"/>
      <c r="J2" s="424"/>
      <c r="K2" s="424"/>
      <c r="L2" s="424"/>
      <c r="M2" s="424"/>
      <c r="N2" s="424"/>
      <c r="O2" s="424"/>
      <c r="P2" s="424"/>
      <c r="Q2" s="424"/>
      <c r="R2" s="424"/>
      <c r="S2" s="424"/>
      <c r="T2" s="424"/>
      <c r="U2" s="424"/>
      <c r="V2" s="424"/>
      <c r="W2" s="424"/>
    </row>
    <row r="3" spans="2:23" ht="6" customHeight="1" thickBot="1">
      <c r="G3" s="186"/>
      <c r="H3" s="115"/>
      <c r="I3" s="115"/>
      <c r="J3" s="115"/>
      <c r="K3" s="115"/>
      <c r="L3" s="115"/>
      <c r="M3" s="115"/>
      <c r="N3" s="115"/>
      <c r="O3" s="115"/>
      <c r="P3" s="115"/>
      <c r="Q3" s="115"/>
      <c r="R3" s="115"/>
      <c r="S3" s="115"/>
      <c r="T3" s="115"/>
      <c r="U3" s="115"/>
      <c r="V3" s="115"/>
      <c r="W3" s="115"/>
    </row>
    <row r="4" spans="2:23" ht="15.75" customHeight="1" thickBot="1">
      <c r="G4" s="116"/>
      <c r="H4" s="425" t="s">
        <v>250</v>
      </c>
      <c r="I4" s="426"/>
      <c r="J4" s="426"/>
      <c r="K4" s="426"/>
      <c r="L4" s="426"/>
      <c r="M4" s="426"/>
      <c r="N4" s="426"/>
      <c r="O4" s="426"/>
      <c r="P4" s="426"/>
      <c r="Q4" s="426"/>
      <c r="R4" s="426"/>
      <c r="S4" s="426"/>
      <c r="T4" s="426"/>
      <c r="U4" s="426"/>
      <c r="V4" s="426"/>
      <c r="W4" s="427"/>
    </row>
    <row r="5" spans="2:23" ht="15.75" customHeight="1" thickBot="1">
      <c r="B5" s="186" t="s">
        <v>233</v>
      </c>
      <c r="C5" s="186"/>
      <c r="D5" s="186"/>
      <c r="E5" s="186"/>
      <c r="F5" s="186"/>
      <c r="G5" s="116"/>
      <c r="H5" s="419" t="s">
        <v>253</v>
      </c>
      <c r="I5" s="420"/>
      <c r="J5" s="420"/>
      <c r="K5" s="420"/>
      <c r="L5" s="420"/>
      <c r="M5" s="420"/>
      <c r="N5" s="420"/>
      <c r="O5" s="421"/>
      <c r="P5" s="440" t="s">
        <v>254</v>
      </c>
      <c r="Q5" s="441"/>
      <c r="R5" s="441"/>
      <c r="S5" s="441"/>
      <c r="T5" s="441"/>
      <c r="U5" s="441"/>
      <c r="V5" s="441"/>
      <c r="W5" s="442"/>
    </row>
    <row r="6" spans="2:23" ht="63" customHeight="1" thickBot="1">
      <c r="B6" s="215" t="s">
        <v>164</v>
      </c>
      <c r="C6" s="203"/>
      <c r="D6" s="204"/>
      <c r="F6" s="216">
        <v>5.6</v>
      </c>
      <c r="G6" s="116"/>
      <c r="H6" s="428" t="s">
        <v>255</v>
      </c>
      <c r="I6" s="429"/>
      <c r="J6" s="429"/>
      <c r="K6" s="429"/>
      <c r="L6" s="430" t="s">
        <v>249</v>
      </c>
      <c r="M6" s="431"/>
      <c r="N6" s="432" t="s">
        <v>252</v>
      </c>
      <c r="O6" s="433"/>
      <c r="P6" s="443" t="s">
        <v>251</v>
      </c>
      <c r="Q6" s="444"/>
      <c r="R6" s="437" t="s">
        <v>239</v>
      </c>
      <c r="S6" s="438"/>
      <c r="T6" s="439"/>
      <c r="U6" s="434" t="s">
        <v>245</v>
      </c>
      <c r="V6" s="435"/>
      <c r="W6" s="436"/>
    </row>
    <row r="7" spans="2:23" ht="75" customHeight="1" thickBot="1">
      <c r="B7" s="192" t="s">
        <v>165</v>
      </c>
      <c r="C7" s="208" t="s">
        <v>237</v>
      </c>
      <c r="D7" s="208" t="s">
        <v>323</v>
      </c>
      <c r="E7" s="199" t="s">
        <v>166</v>
      </c>
      <c r="F7" s="199" t="s">
        <v>167</v>
      </c>
      <c r="G7" s="208" t="s">
        <v>230</v>
      </c>
      <c r="H7" s="217" t="s">
        <v>168</v>
      </c>
      <c r="I7" s="217" t="s">
        <v>169</v>
      </c>
      <c r="J7" s="217" t="s">
        <v>170</v>
      </c>
      <c r="K7" s="218" t="s">
        <v>171</v>
      </c>
      <c r="L7" s="220" t="s">
        <v>172</v>
      </c>
      <c r="M7" s="220" t="s">
        <v>235</v>
      </c>
      <c r="N7" s="200" t="s">
        <v>173</v>
      </c>
      <c r="O7" s="200" t="s">
        <v>174</v>
      </c>
      <c r="P7" s="235" t="s">
        <v>246</v>
      </c>
      <c r="Q7" s="239" t="s">
        <v>174</v>
      </c>
      <c r="R7" s="225" t="s">
        <v>256</v>
      </c>
      <c r="S7" s="225" t="s">
        <v>236</v>
      </c>
      <c r="T7" s="228" t="s">
        <v>231</v>
      </c>
      <c r="U7" s="234" t="s">
        <v>244</v>
      </c>
      <c r="V7" s="230" t="s">
        <v>232</v>
      </c>
      <c r="W7" s="230" t="s">
        <v>231</v>
      </c>
    </row>
    <row r="8" spans="2:23" ht="30" customHeight="1">
      <c r="B8" s="209" t="s">
        <v>247</v>
      </c>
      <c r="C8" s="193">
        <v>400</v>
      </c>
      <c r="D8" s="193">
        <f>275+(8*10)</f>
        <v>355</v>
      </c>
      <c r="E8" s="213">
        <f>(C8*$F$6)</f>
        <v>2240</v>
      </c>
      <c r="F8" s="213">
        <f>D8+E8</f>
        <v>2595</v>
      </c>
      <c r="G8" s="194">
        <f>(H8-F8)/H8</f>
        <v>0.31710526315789472</v>
      </c>
      <c r="H8" s="422">
        <v>3800</v>
      </c>
      <c r="I8" s="422"/>
      <c r="J8" s="422"/>
      <c r="K8" s="422"/>
      <c r="L8" s="219">
        <v>4700</v>
      </c>
      <c r="M8" s="221">
        <f>(L8-H8)/L8</f>
        <v>0.19148936170212766</v>
      </c>
      <c r="N8" s="222">
        <v>6000</v>
      </c>
      <c r="O8" s="223">
        <f>(N8-L8)/N8</f>
        <v>0.21666666666666667</v>
      </c>
      <c r="P8" s="237">
        <v>6000</v>
      </c>
      <c r="Q8" s="236">
        <f>(P8-F8)/P8</f>
        <v>0.5675</v>
      </c>
      <c r="R8" s="224">
        <f>N8</f>
        <v>6000</v>
      </c>
      <c r="S8" s="226">
        <v>0.25</v>
      </c>
      <c r="T8" s="227">
        <f>((R8-(R8*S8))-F8)/(R8-(R8*S8))</f>
        <v>0.42333333333333334</v>
      </c>
      <c r="U8" s="229">
        <f>N8-(N8*5%)</f>
        <v>5700</v>
      </c>
      <c r="V8" s="231">
        <v>0.17</v>
      </c>
      <c r="W8" s="232">
        <f>((U8-(U8*V8))-F8)/(U8-(U8*V8))</f>
        <v>0.45149017121116042</v>
      </c>
    </row>
    <row r="9" spans="2:23" ht="22.5" customHeight="1">
      <c r="B9" s="210" t="s">
        <v>175</v>
      </c>
      <c r="C9" s="187">
        <v>125</v>
      </c>
      <c r="D9" s="187">
        <v>20</v>
      </c>
      <c r="E9" s="214">
        <f>(C9*$F$6)</f>
        <v>700</v>
      </c>
      <c r="F9" s="214">
        <f t="shared" ref="F9" si="0">D9+E9</f>
        <v>720</v>
      </c>
      <c r="G9" s="191">
        <f t="shared" ref="G9:G10" si="1">(H9-F9)/H9</f>
        <v>0.44615384615384618</v>
      </c>
      <c r="H9" s="418">
        <v>1300</v>
      </c>
      <c r="I9" s="418"/>
      <c r="J9" s="418"/>
      <c r="K9" s="418"/>
      <c r="L9" s="195">
        <v>1500</v>
      </c>
      <c r="M9" s="196">
        <f>(L9-H9)/L9</f>
        <v>0.13333333333333333</v>
      </c>
      <c r="N9" s="197">
        <v>2000</v>
      </c>
      <c r="O9" s="198">
        <f>(N9-L9)/N9</f>
        <v>0.25</v>
      </c>
      <c r="P9" s="238">
        <v>2000</v>
      </c>
      <c r="Q9" s="236">
        <f t="shared" ref="Q9:Q12" si="2">(P9-F9)/P9</f>
        <v>0.64</v>
      </c>
      <c r="R9" s="212">
        <f t="shared" ref="R9:R12" si="3">N9</f>
        <v>2000</v>
      </c>
      <c r="S9" s="207">
        <v>0.25</v>
      </c>
      <c r="T9" s="206">
        <f>((R9-(R9*S9))-F9)/(R9-(R9*S9))</f>
        <v>0.52</v>
      </c>
      <c r="U9" s="201">
        <f>N9-(N9*5%)</f>
        <v>1900</v>
      </c>
      <c r="V9" s="205">
        <v>0.17</v>
      </c>
      <c r="W9" s="202">
        <f>((U9-(U9*V9))-F9)/(U9-(U9*V9))</f>
        <v>0.54343690551680401</v>
      </c>
    </row>
    <row r="10" spans="2:23" ht="22.5" customHeight="1">
      <c r="B10" s="210" t="s">
        <v>176</v>
      </c>
      <c r="C10" s="187">
        <v>250</v>
      </c>
      <c r="D10" s="187">
        <v>32</v>
      </c>
      <c r="E10" s="214">
        <f>(C10*$F$6)</f>
        <v>1400</v>
      </c>
      <c r="F10" s="214">
        <f>D10+E10</f>
        <v>1432</v>
      </c>
      <c r="G10" s="191">
        <f t="shared" si="1"/>
        <v>0.42720000000000002</v>
      </c>
      <c r="H10" s="418">
        <v>2500</v>
      </c>
      <c r="I10" s="418"/>
      <c r="J10" s="418"/>
      <c r="K10" s="418"/>
      <c r="L10" s="195">
        <v>2900</v>
      </c>
      <c r="M10" s="196">
        <f>(L10-H10)/L10</f>
        <v>0.13793103448275862</v>
      </c>
      <c r="N10" s="197">
        <v>3500</v>
      </c>
      <c r="O10" s="198">
        <f>(N10-L10)/N10</f>
        <v>0.17142857142857143</v>
      </c>
      <c r="P10" s="238">
        <v>3500</v>
      </c>
      <c r="Q10" s="236">
        <f t="shared" si="2"/>
        <v>0.59085714285714286</v>
      </c>
      <c r="R10" s="212">
        <f t="shared" si="3"/>
        <v>3500</v>
      </c>
      <c r="S10" s="207">
        <v>0.25</v>
      </c>
      <c r="T10" s="206">
        <f>((R10-(R10*S10))-F10)/(R10-(R10*S10))</f>
        <v>0.45447619047619048</v>
      </c>
      <c r="U10" s="201">
        <f>N10-(N10*5%)</f>
        <v>3325</v>
      </c>
      <c r="V10" s="205">
        <v>0.17</v>
      </c>
      <c r="W10" s="202">
        <f>((U10-(U10*V10))-F10)/(U10-(U10*V10))</f>
        <v>0.48111241960322493</v>
      </c>
    </row>
    <row r="11" spans="2:23" ht="22.5" customHeight="1">
      <c r="B11" s="210" t="s">
        <v>177</v>
      </c>
      <c r="C11" s="187">
        <v>500</v>
      </c>
      <c r="D11" s="187">
        <v>40</v>
      </c>
      <c r="E11" s="214">
        <f>(C11*$F$6)</f>
        <v>2800</v>
      </c>
      <c r="F11" s="214">
        <f>D11+E11</f>
        <v>2840</v>
      </c>
      <c r="G11" s="191">
        <f>(H11-F11)/H11</f>
        <v>0.432</v>
      </c>
      <c r="H11" s="418">
        <v>5000</v>
      </c>
      <c r="I11" s="418"/>
      <c r="J11" s="418"/>
      <c r="K11" s="418"/>
      <c r="L11" s="195">
        <v>6000</v>
      </c>
      <c r="M11" s="196">
        <f>(L11-H11)/L11</f>
        <v>0.16666666666666666</v>
      </c>
      <c r="N11" s="197">
        <v>7000</v>
      </c>
      <c r="O11" s="198">
        <f>(N11-L11)/N11</f>
        <v>0.14285714285714285</v>
      </c>
      <c r="P11" s="238">
        <v>7000</v>
      </c>
      <c r="Q11" s="236">
        <f t="shared" si="2"/>
        <v>0.59428571428571431</v>
      </c>
      <c r="R11" s="212">
        <f t="shared" si="3"/>
        <v>7000</v>
      </c>
      <c r="S11" s="207">
        <v>0.25</v>
      </c>
      <c r="T11" s="206">
        <f>((R11-(R11*S11))-F11)/(R11-(R11*S11))</f>
        <v>0.45904761904761904</v>
      </c>
      <c r="U11" s="201">
        <f>N11-(N11*5%)</f>
        <v>6650</v>
      </c>
      <c r="V11" s="205">
        <v>0.17</v>
      </c>
      <c r="W11" s="202">
        <f>((U11-(U11*V11))-F11)/(U11-(U11*V11))</f>
        <v>0.48546063955068391</v>
      </c>
    </row>
    <row r="12" spans="2:23" ht="15.75" thickBot="1">
      <c r="B12" s="211" t="s">
        <v>248</v>
      </c>
      <c r="C12" s="188">
        <v>60</v>
      </c>
      <c r="D12" s="188">
        <v>8</v>
      </c>
      <c r="E12" s="214">
        <f>(C12*$F$6)</f>
        <v>336</v>
      </c>
      <c r="F12" s="214">
        <f>D12+E12</f>
        <v>344</v>
      </c>
      <c r="G12" s="191">
        <f>(H12-F12)/H12</f>
        <v>0.37454545454545457</v>
      </c>
      <c r="H12" s="418">
        <v>550</v>
      </c>
      <c r="I12" s="418"/>
      <c r="J12" s="418"/>
      <c r="K12" s="418"/>
      <c r="L12" s="195">
        <v>700</v>
      </c>
      <c r="M12" s="196">
        <f>(L12-H12)/L12</f>
        <v>0.21428571428571427</v>
      </c>
      <c r="N12" s="197">
        <v>1000</v>
      </c>
      <c r="O12" s="198">
        <f>(N12-L12)/N12</f>
        <v>0.3</v>
      </c>
      <c r="P12" s="238">
        <v>1000</v>
      </c>
      <c r="Q12" s="236">
        <f t="shared" si="2"/>
        <v>0.65600000000000003</v>
      </c>
      <c r="R12" s="212">
        <f t="shared" si="3"/>
        <v>1000</v>
      </c>
      <c r="S12" s="207">
        <v>0.25</v>
      </c>
      <c r="T12" s="206">
        <f>((R12-(R12*S12))-F12)/(R12-(R12*S12))</f>
        <v>0.54133333333333333</v>
      </c>
      <c r="U12" s="201" t="s">
        <v>234</v>
      </c>
      <c r="V12" s="201" t="s">
        <v>234</v>
      </c>
      <c r="W12" s="201" t="s">
        <v>234</v>
      </c>
    </row>
    <row r="13" spans="2:23" ht="5.25" customHeight="1">
      <c r="B13" s="189"/>
      <c r="C13" s="189"/>
      <c r="D13" s="189"/>
      <c r="E13" s="189"/>
      <c r="F13" s="189"/>
      <c r="G13" s="189"/>
    </row>
    <row r="14" spans="2:23">
      <c r="B14" s="233" t="s">
        <v>240</v>
      </c>
      <c r="C14" s="189"/>
      <c r="D14" s="189"/>
      <c r="E14" s="189"/>
      <c r="F14" s="189"/>
      <c r="G14" s="189"/>
    </row>
    <row r="15" spans="2:23" ht="6.75" customHeight="1">
      <c r="B15" s="189"/>
      <c r="C15" s="189"/>
      <c r="D15" s="189"/>
      <c r="E15" s="189"/>
      <c r="F15" s="189"/>
      <c r="G15" s="189"/>
    </row>
    <row r="16" spans="2:23">
      <c r="B16" s="190" t="s">
        <v>242</v>
      </c>
      <c r="C16" s="190"/>
      <c r="D16" s="190"/>
      <c r="E16" s="190"/>
      <c r="F16" s="190"/>
      <c r="G16" s="190"/>
    </row>
    <row r="17" spans="2:7" ht="9" customHeight="1">
      <c r="C17" s="190"/>
      <c r="D17" s="190"/>
      <c r="E17" s="190"/>
      <c r="F17" s="190"/>
      <c r="G17" s="190"/>
    </row>
    <row r="18" spans="2:7">
      <c r="B18" s="190" t="s">
        <v>241</v>
      </c>
    </row>
    <row r="19" spans="2:7" ht="9" customHeight="1"/>
    <row r="20" spans="2:7">
      <c r="B20" s="190" t="s">
        <v>243</v>
      </c>
    </row>
  </sheetData>
  <mergeCells count="16">
    <mergeCell ref="B1:W1"/>
    <mergeCell ref="B2:W2"/>
    <mergeCell ref="H4:W4"/>
    <mergeCell ref="H6:K6"/>
    <mergeCell ref="L6:M6"/>
    <mergeCell ref="N6:O6"/>
    <mergeCell ref="U6:W6"/>
    <mergeCell ref="R6:T6"/>
    <mergeCell ref="P5:W5"/>
    <mergeCell ref="P6:Q6"/>
    <mergeCell ref="H11:K11"/>
    <mergeCell ref="H12:K12"/>
    <mergeCell ref="H5:O5"/>
    <mergeCell ref="H8:K8"/>
    <mergeCell ref="H9:K9"/>
    <mergeCell ref="H10:K10"/>
  </mergeCells>
  <pageMargins left="0.31496062992125984" right="0.31496062992125984" top="0.15748031496062992" bottom="0.15748031496062992" header="0.31496062992125984" footer="0.31496062992125984"/>
  <pageSetup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B1:V39"/>
  <sheetViews>
    <sheetView showGridLines="0" zoomScaleNormal="100" workbookViewId="0">
      <pane xSplit="4" ySplit="5" topLeftCell="E6" activePane="bottomRight" state="frozen"/>
      <selection pane="topRight" activeCell="E1" sqref="E1"/>
      <selection pane="bottomLeft" activeCell="A6" sqref="A6"/>
      <selection pane="bottomRight" activeCell="G6" sqref="G6:G10"/>
    </sheetView>
  </sheetViews>
  <sheetFormatPr baseColWidth="10" defaultColWidth="11.42578125" defaultRowHeight="15"/>
  <cols>
    <col min="1" max="1" width="0.7109375" style="244" customWidth="1"/>
    <col min="2" max="2" width="3.28515625" style="244" customWidth="1"/>
    <col min="3" max="3" width="13" style="244" customWidth="1"/>
    <col min="4" max="4" width="7" style="244" customWidth="1"/>
    <col min="5" max="5" width="6.5703125" style="244" bestFit="1" customWidth="1"/>
    <col min="6" max="6" width="12" style="244" bestFit="1" customWidth="1"/>
    <col min="7" max="7" width="5" style="244" bestFit="1" customWidth="1"/>
    <col min="8" max="8" width="5.7109375" style="244" bestFit="1" customWidth="1"/>
    <col min="9" max="9" width="12" style="244" bestFit="1" customWidth="1"/>
    <col min="10" max="10" width="5" style="244" customWidth="1"/>
    <col min="11" max="11" width="5.7109375" style="244" bestFit="1" customWidth="1"/>
    <col min="12" max="12" width="12" style="244" bestFit="1" customWidth="1"/>
    <col min="13" max="13" width="5" style="244" customWidth="1"/>
    <col min="14" max="14" width="5.7109375" style="244" bestFit="1" customWidth="1"/>
    <col min="15" max="15" width="12" style="244" bestFit="1" customWidth="1"/>
    <col min="16" max="16" width="4.28515625" style="244" bestFit="1" customWidth="1"/>
    <col min="17" max="17" width="5.7109375" style="244" bestFit="1" customWidth="1"/>
    <col min="18" max="18" width="12" style="244" bestFit="1" customWidth="1"/>
    <col min="19" max="19" width="4.28515625" style="244" bestFit="1" customWidth="1"/>
    <col min="20" max="20" width="5.7109375" style="244" bestFit="1" customWidth="1"/>
    <col min="21" max="21" width="12" style="244" bestFit="1" customWidth="1"/>
    <col min="22" max="22" width="4.28515625" style="244" bestFit="1" customWidth="1"/>
    <col min="23" max="23" width="8.85546875" style="244" customWidth="1"/>
    <col min="24" max="24" width="9.140625" style="244" bestFit="1" customWidth="1"/>
    <col min="25" max="25" width="7.28515625" style="244" bestFit="1" customWidth="1"/>
    <col min="26" max="26" width="10.85546875" style="244" bestFit="1" customWidth="1"/>
    <col min="27" max="27" width="6.85546875" style="244" bestFit="1" customWidth="1"/>
    <col min="28" max="28" width="6" style="244" bestFit="1" customWidth="1"/>
    <col min="29" max="29" width="7.140625" style="244" bestFit="1" customWidth="1"/>
    <col min="30" max="30" width="8.85546875" style="244" bestFit="1" customWidth="1"/>
    <col min="31" max="32" width="8.85546875" style="244" customWidth="1"/>
    <col min="33" max="33" width="9.140625" style="244" bestFit="1" customWidth="1"/>
    <col min="34" max="34" width="7.28515625" style="244" bestFit="1" customWidth="1"/>
    <col min="35" max="35" width="11.42578125" style="244"/>
    <col min="36" max="36" width="6.85546875" style="244" bestFit="1" customWidth="1"/>
    <col min="37" max="37" width="6" style="244" bestFit="1" customWidth="1"/>
    <col min="38" max="38" width="7.140625" style="244" bestFit="1" customWidth="1"/>
    <col min="39" max="39" width="8.85546875" style="244" bestFit="1" customWidth="1"/>
    <col min="40" max="41" width="8.85546875" style="244" customWidth="1"/>
    <col min="42" max="42" width="9.140625" style="244" bestFit="1" customWidth="1"/>
    <col min="43" max="43" width="7.28515625" style="244" bestFit="1" customWidth="1"/>
    <col min="44" max="16384" width="11.42578125" style="244"/>
  </cols>
  <sheetData>
    <row r="1" spans="2:22" ht="19.5" customHeight="1">
      <c r="B1" s="445" t="s">
        <v>257</v>
      </c>
      <c r="C1" s="445"/>
      <c r="D1" s="445"/>
      <c r="E1" s="445"/>
      <c r="F1" s="445"/>
      <c r="G1" s="445"/>
      <c r="H1" s="445"/>
      <c r="I1" s="445"/>
      <c r="J1" s="445"/>
      <c r="K1" s="445"/>
      <c r="L1" s="445"/>
      <c r="M1" s="445"/>
      <c r="N1" s="445"/>
      <c r="O1" s="445"/>
      <c r="P1" s="445"/>
      <c r="Q1" s="445"/>
      <c r="R1" s="445"/>
      <c r="S1" s="445"/>
      <c r="T1" s="445"/>
      <c r="U1" s="445"/>
      <c r="V1" s="445"/>
    </row>
    <row r="2" spans="2:22" ht="3.75" customHeight="1" thickBot="1">
      <c r="B2" s="245"/>
      <c r="C2" s="245"/>
      <c r="D2" s="245"/>
      <c r="E2" s="245"/>
      <c r="F2" s="245"/>
      <c r="G2" s="245"/>
      <c r="H2" s="245"/>
      <c r="I2" s="245"/>
      <c r="J2" s="245"/>
      <c r="K2" s="245"/>
      <c r="L2" s="245"/>
      <c r="M2" s="245"/>
      <c r="N2" s="245"/>
      <c r="O2" s="245"/>
      <c r="P2" s="245"/>
      <c r="Q2" s="245"/>
      <c r="R2" s="245"/>
      <c r="S2" s="245"/>
      <c r="T2" s="245"/>
      <c r="U2" s="245"/>
      <c r="V2" s="245"/>
    </row>
    <row r="3" spans="2:22" ht="15.75" customHeight="1" thickBot="1">
      <c r="H3" s="446" t="s">
        <v>253</v>
      </c>
      <c r="I3" s="447"/>
      <c r="J3" s="447"/>
      <c r="K3" s="447"/>
      <c r="L3" s="447"/>
      <c r="M3" s="448"/>
      <c r="N3" s="449" t="s">
        <v>254</v>
      </c>
      <c r="O3" s="450"/>
      <c r="P3" s="450"/>
      <c r="Q3" s="450"/>
      <c r="R3" s="450"/>
      <c r="S3" s="450"/>
      <c r="T3" s="450"/>
      <c r="U3" s="450"/>
      <c r="V3" s="451"/>
    </row>
    <row r="4" spans="2:22" ht="49.5" customHeight="1" thickBot="1">
      <c r="C4" s="246"/>
      <c r="D4" s="246"/>
      <c r="E4" s="452" t="s">
        <v>258</v>
      </c>
      <c r="F4" s="453"/>
      <c r="G4" s="454"/>
      <c r="H4" s="455" t="s">
        <v>259</v>
      </c>
      <c r="I4" s="456"/>
      <c r="J4" s="457"/>
      <c r="K4" s="458" t="s">
        <v>260</v>
      </c>
      <c r="L4" s="459"/>
      <c r="M4" s="460"/>
      <c r="N4" s="461" t="s">
        <v>261</v>
      </c>
      <c r="O4" s="462"/>
      <c r="P4" s="463"/>
      <c r="Q4" s="464" t="s">
        <v>262</v>
      </c>
      <c r="R4" s="465"/>
      <c r="S4" s="466"/>
      <c r="T4" s="467" t="s">
        <v>263</v>
      </c>
      <c r="U4" s="468"/>
      <c r="V4" s="469"/>
    </row>
    <row r="5" spans="2:22" ht="57.75" customHeight="1" thickBot="1">
      <c r="B5" s="247" t="s">
        <v>10</v>
      </c>
      <c r="C5" s="248" t="s">
        <v>165</v>
      </c>
      <c r="D5" s="249" t="s">
        <v>264</v>
      </c>
      <c r="E5" s="250" t="s">
        <v>265</v>
      </c>
      <c r="F5" s="251" t="s">
        <v>266</v>
      </c>
      <c r="G5" s="252" t="s">
        <v>267</v>
      </c>
      <c r="H5" s="253" t="s">
        <v>265</v>
      </c>
      <c r="I5" s="254" t="s">
        <v>266</v>
      </c>
      <c r="J5" s="255" t="s">
        <v>267</v>
      </c>
      <c r="K5" s="256" t="s">
        <v>265</v>
      </c>
      <c r="L5" s="257" t="s">
        <v>266</v>
      </c>
      <c r="M5" s="258" t="s">
        <v>267</v>
      </c>
      <c r="N5" s="259" t="s">
        <v>265</v>
      </c>
      <c r="O5" s="260" t="s">
        <v>266</v>
      </c>
      <c r="P5" s="261" t="s">
        <v>267</v>
      </c>
      <c r="Q5" s="262" t="s">
        <v>265</v>
      </c>
      <c r="R5" s="263" t="s">
        <v>266</v>
      </c>
      <c r="S5" s="264" t="s">
        <v>267</v>
      </c>
      <c r="T5" s="265" t="s">
        <v>265</v>
      </c>
      <c r="U5" s="266" t="s">
        <v>266</v>
      </c>
      <c r="V5" s="267" t="s">
        <v>267</v>
      </c>
    </row>
    <row r="6" spans="2:22">
      <c r="B6" s="470" t="s">
        <v>268</v>
      </c>
      <c r="C6" s="268" t="s">
        <v>269</v>
      </c>
      <c r="D6" s="269">
        <v>4400</v>
      </c>
      <c r="E6" s="270">
        <f>F6/D6</f>
        <v>47500</v>
      </c>
      <c r="F6" s="271">
        <v>209000000</v>
      </c>
      <c r="G6" s="272">
        <f>F6/F$11</f>
        <v>0.43061708045740188</v>
      </c>
      <c r="H6" s="273">
        <f>I6/$D6</f>
        <v>16625</v>
      </c>
      <c r="I6" s="274">
        <f>$G6*I$11</f>
        <v>73150000</v>
      </c>
      <c r="J6" s="275">
        <f>I6/$F6</f>
        <v>0.35</v>
      </c>
      <c r="K6" s="276">
        <f>L6/$D6</f>
        <v>9500</v>
      </c>
      <c r="L6" s="277">
        <f>$G6*L$11</f>
        <v>41800000</v>
      </c>
      <c r="M6" s="278">
        <f>L6/$F6</f>
        <v>0.2</v>
      </c>
      <c r="N6" s="279">
        <f>O6/$D6</f>
        <v>7125</v>
      </c>
      <c r="O6" s="280">
        <f>$G6*O$11</f>
        <v>31350000</v>
      </c>
      <c r="P6" s="281">
        <f>O6/$F6</f>
        <v>0.15</v>
      </c>
      <c r="Q6" s="282">
        <f>R6/$D6</f>
        <v>7125</v>
      </c>
      <c r="R6" s="283">
        <f>$G6*R$11</f>
        <v>31350000</v>
      </c>
      <c r="S6" s="284">
        <f>R6/$F6</f>
        <v>0.15</v>
      </c>
      <c r="T6" s="285">
        <f>U6/$D6</f>
        <v>7125</v>
      </c>
      <c r="U6" s="286">
        <f>$G6*U$11</f>
        <v>31350000</v>
      </c>
      <c r="V6" s="287">
        <f>U6/$F6</f>
        <v>0.15</v>
      </c>
    </row>
    <row r="7" spans="2:22">
      <c r="B7" s="471"/>
      <c r="C7" s="288" t="s">
        <v>175</v>
      </c>
      <c r="D7" s="289">
        <v>1400</v>
      </c>
      <c r="E7" s="290">
        <f t="shared" ref="E7:E10" si="0">F7/D7</f>
        <v>43600</v>
      </c>
      <c r="F7" s="291">
        <v>61040000</v>
      </c>
      <c r="G7" s="292">
        <f t="shared" ref="G7:G11" si="1">F7/F$11</f>
        <v>0.12576491191923353</v>
      </c>
      <c r="H7" s="293">
        <f t="shared" ref="H7:H10" si="2">I7/$D7</f>
        <v>15259.999999999998</v>
      </c>
      <c r="I7" s="294">
        <f t="shared" ref="I7:I10" si="3">$G7*I$11</f>
        <v>21363999.999999996</v>
      </c>
      <c r="J7" s="295">
        <f t="shared" ref="J7:J10" si="4">I7/$F7</f>
        <v>0.34999999999999992</v>
      </c>
      <c r="K7" s="296">
        <f t="shared" ref="K7:K10" si="5">L7/$D7</f>
        <v>8719.9999999999982</v>
      </c>
      <c r="L7" s="297">
        <f t="shared" ref="L7:L10" si="6">$G7*L$11</f>
        <v>12207999.999999998</v>
      </c>
      <c r="M7" s="298">
        <f t="shared" ref="M7:M10" si="7">L7/$F7</f>
        <v>0.19999999999999998</v>
      </c>
      <c r="N7" s="299">
        <f t="shared" ref="N7:N10" si="8">O7/$D7</f>
        <v>6539.9999999999991</v>
      </c>
      <c r="O7" s="300">
        <f t="shared" ref="O7:O10" si="9">$G7*O$11</f>
        <v>9155999.9999999981</v>
      </c>
      <c r="P7" s="301">
        <f t="shared" ref="P7:P10" si="10">O7/$F7</f>
        <v>0.14999999999999997</v>
      </c>
      <c r="Q7" s="302">
        <f t="shared" ref="Q7:Q10" si="11">R7/$D7</f>
        <v>6539.9999999999991</v>
      </c>
      <c r="R7" s="303">
        <f t="shared" ref="R7:R10" si="12">$G7*R$11</f>
        <v>9155999.9999999981</v>
      </c>
      <c r="S7" s="304">
        <f t="shared" ref="S7:S10" si="13">R7/$F7</f>
        <v>0.14999999999999997</v>
      </c>
      <c r="T7" s="305">
        <f t="shared" ref="T7:T10" si="14">U7/$D7</f>
        <v>6539.9999999999991</v>
      </c>
      <c r="U7" s="306">
        <f t="shared" ref="U7:U10" si="15">$G7*U$11</f>
        <v>9155999.9999999981</v>
      </c>
      <c r="V7" s="307">
        <f t="shared" ref="V7:V10" si="16">U7/$F7</f>
        <v>0.14999999999999997</v>
      </c>
    </row>
    <row r="8" spans="2:22">
      <c r="B8" s="471"/>
      <c r="C8" s="288" t="s">
        <v>176</v>
      </c>
      <c r="D8" s="289">
        <v>2800</v>
      </c>
      <c r="E8" s="290">
        <f t="shared" si="0"/>
        <v>17500</v>
      </c>
      <c r="F8" s="291">
        <v>49000000</v>
      </c>
      <c r="G8" s="292">
        <f t="shared" si="1"/>
        <v>0.10095807149479757</v>
      </c>
      <c r="H8" s="293">
        <f t="shared" si="2"/>
        <v>6125</v>
      </c>
      <c r="I8" s="294">
        <f t="shared" si="3"/>
        <v>17150000</v>
      </c>
      <c r="J8" s="295">
        <f t="shared" si="4"/>
        <v>0.35</v>
      </c>
      <c r="K8" s="296">
        <f t="shared" si="5"/>
        <v>3500</v>
      </c>
      <c r="L8" s="297">
        <f t="shared" si="6"/>
        <v>9800000</v>
      </c>
      <c r="M8" s="298">
        <f t="shared" si="7"/>
        <v>0.2</v>
      </c>
      <c r="N8" s="299">
        <f t="shared" si="8"/>
        <v>2625</v>
      </c>
      <c r="O8" s="300">
        <f t="shared" si="9"/>
        <v>7350000</v>
      </c>
      <c r="P8" s="301">
        <f t="shared" si="10"/>
        <v>0.15</v>
      </c>
      <c r="Q8" s="302">
        <f t="shared" si="11"/>
        <v>2625</v>
      </c>
      <c r="R8" s="303">
        <f t="shared" si="12"/>
        <v>7350000</v>
      </c>
      <c r="S8" s="304">
        <f t="shared" si="13"/>
        <v>0.15</v>
      </c>
      <c r="T8" s="305">
        <f t="shared" si="14"/>
        <v>2625</v>
      </c>
      <c r="U8" s="306">
        <f t="shared" si="15"/>
        <v>7350000</v>
      </c>
      <c r="V8" s="307">
        <f t="shared" si="16"/>
        <v>0.15</v>
      </c>
    </row>
    <row r="9" spans="2:22">
      <c r="B9" s="471"/>
      <c r="C9" s="288" t="s">
        <v>177</v>
      </c>
      <c r="D9" s="289">
        <v>5200</v>
      </c>
      <c r="E9" s="290">
        <f t="shared" si="0"/>
        <v>29600</v>
      </c>
      <c r="F9" s="291">
        <v>153920000</v>
      </c>
      <c r="G9" s="292">
        <f t="shared" si="1"/>
        <v>0.31713196662202536</v>
      </c>
      <c r="H9" s="293">
        <f t="shared" si="2"/>
        <v>10360</v>
      </c>
      <c r="I9" s="294">
        <f t="shared" si="3"/>
        <v>53872000</v>
      </c>
      <c r="J9" s="295">
        <f t="shared" si="4"/>
        <v>0.35</v>
      </c>
      <c r="K9" s="296">
        <f t="shared" si="5"/>
        <v>5920.0000000000009</v>
      </c>
      <c r="L9" s="297">
        <f t="shared" si="6"/>
        <v>30784000.000000004</v>
      </c>
      <c r="M9" s="298">
        <f t="shared" si="7"/>
        <v>0.2</v>
      </c>
      <c r="N9" s="299">
        <f t="shared" si="8"/>
        <v>4440</v>
      </c>
      <c r="O9" s="300">
        <f t="shared" si="9"/>
        <v>23088000</v>
      </c>
      <c r="P9" s="301">
        <f t="shared" si="10"/>
        <v>0.15</v>
      </c>
      <c r="Q9" s="302">
        <f t="shared" si="11"/>
        <v>4440</v>
      </c>
      <c r="R9" s="303">
        <f t="shared" si="12"/>
        <v>23088000</v>
      </c>
      <c r="S9" s="304">
        <f t="shared" si="13"/>
        <v>0.15</v>
      </c>
      <c r="T9" s="305">
        <f t="shared" si="14"/>
        <v>4440</v>
      </c>
      <c r="U9" s="306">
        <f t="shared" si="15"/>
        <v>23088000</v>
      </c>
      <c r="V9" s="307">
        <f t="shared" si="16"/>
        <v>0.15</v>
      </c>
    </row>
    <row r="10" spans="2:22">
      <c r="B10" s="471"/>
      <c r="C10" s="288" t="s">
        <v>248</v>
      </c>
      <c r="D10" s="289">
        <v>700</v>
      </c>
      <c r="E10" s="290">
        <f t="shared" si="0"/>
        <v>17700</v>
      </c>
      <c r="F10" s="291">
        <v>12390000</v>
      </c>
      <c r="G10" s="292">
        <f t="shared" si="1"/>
        <v>2.5527969506541671E-2</v>
      </c>
      <c r="H10" s="293">
        <f t="shared" si="2"/>
        <v>6195</v>
      </c>
      <c r="I10" s="294">
        <f t="shared" si="3"/>
        <v>4336500</v>
      </c>
      <c r="J10" s="295">
        <f t="shared" si="4"/>
        <v>0.35</v>
      </c>
      <c r="K10" s="296">
        <f t="shared" si="5"/>
        <v>3540</v>
      </c>
      <c r="L10" s="297">
        <f t="shared" si="6"/>
        <v>2478000</v>
      </c>
      <c r="M10" s="298">
        <f t="shared" si="7"/>
        <v>0.2</v>
      </c>
      <c r="N10" s="299">
        <f t="shared" si="8"/>
        <v>2655</v>
      </c>
      <c r="O10" s="300">
        <f t="shared" si="9"/>
        <v>1858500</v>
      </c>
      <c r="P10" s="301">
        <f t="shared" si="10"/>
        <v>0.15</v>
      </c>
      <c r="Q10" s="302">
        <f t="shared" si="11"/>
        <v>2655</v>
      </c>
      <c r="R10" s="303">
        <f t="shared" si="12"/>
        <v>1858500</v>
      </c>
      <c r="S10" s="304">
        <f t="shared" si="13"/>
        <v>0.15</v>
      </c>
      <c r="T10" s="305">
        <f t="shared" si="14"/>
        <v>2655</v>
      </c>
      <c r="U10" s="306">
        <f t="shared" si="15"/>
        <v>1858500</v>
      </c>
      <c r="V10" s="307">
        <f t="shared" si="16"/>
        <v>0.15</v>
      </c>
    </row>
    <row r="11" spans="2:22" ht="19.5" customHeight="1" thickBot="1">
      <c r="B11" s="472"/>
      <c r="C11" s="473" t="s">
        <v>270</v>
      </c>
      <c r="D11" s="474"/>
      <c r="E11" s="308">
        <f>SUM(E6:E10)</f>
        <v>155900</v>
      </c>
      <c r="F11" s="309">
        <f>SUM(F6:F10)</f>
        <v>485350000</v>
      </c>
      <c r="G11" s="310">
        <f t="shared" si="1"/>
        <v>1</v>
      </c>
      <c r="H11" s="311">
        <f>SUM(H6:H10)</f>
        <v>54565</v>
      </c>
      <c r="I11" s="312">
        <f>F11*J11</f>
        <v>169872500</v>
      </c>
      <c r="J11" s="313">
        <v>0.35</v>
      </c>
      <c r="K11" s="314">
        <f>SUM(K6:K10)</f>
        <v>31180</v>
      </c>
      <c r="L11" s="315">
        <f>$F11*M11</f>
        <v>97070000</v>
      </c>
      <c r="M11" s="316">
        <v>0.2</v>
      </c>
      <c r="N11" s="317">
        <f>SUM(N6:N10)</f>
        <v>23385</v>
      </c>
      <c r="O11" s="318">
        <f>$F11*P11</f>
        <v>72802500</v>
      </c>
      <c r="P11" s="319">
        <v>0.15</v>
      </c>
      <c r="Q11" s="320">
        <f>SUM(Q6:Q10)</f>
        <v>23385</v>
      </c>
      <c r="R11" s="321">
        <f>$F11*S11</f>
        <v>72802500</v>
      </c>
      <c r="S11" s="322">
        <v>0.15</v>
      </c>
      <c r="T11" s="323">
        <f>SUM(T6:T10)</f>
        <v>23385</v>
      </c>
      <c r="U11" s="324">
        <f>$F11*V11</f>
        <v>72802500</v>
      </c>
      <c r="V11" s="325">
        <v>0.15</v>
      </c>
    </row>
    <row r="12" spans="2:22" ht="5.25" customHeight="1" thickBot="1">
      <c r="C12" s="326"/>
      <c r="D12" s="326"/>
    </row>
    <row r="13" spans="2:22">
      <c r="B13" s="470" t="s">
        <v>271</v>
      </c>
      <c r="C13" s="268" t="s">
        <v>269</v>
      </c>
      <c r="D13" s="269">
        <f>D6+(D6*5%)</f>
        <v>4620</v>
      </c>
      <c r="E13" s="270">
        <f>F13/D13</f>
        <v>52008.580405892659</v>
      </c>
      <c r="F13" s="271">
        <f>F18*G13</f>
        <v>240279641.47522408</v>
      </c>
      <c r="G13" s="272">
        <v>0.43061708045740188</v>
      </c>
      <c r="H13" s="273">
        <f>I13/$D13</f>
        <v>15833.333333333334</v>
      </c>
      <c r="I13" s="274">
        <f>$G13*I$11</f>
        <v>73150000</v>
      </c>
      <c r="J13" s="275">
        <f>I13/$F13</f>
        <v>0.30443694501493046</v>
      </c>
      <c r="K13" s="276">
        <f>L13/$D13</f>
        <v>9047.6190476190477</v>
      </c>
      <c r="L13" s="277">
        <f>$G13*L$11</f>
        <v>41800000</v>
      </c>
      <c r="M13" s="278">
        <f>L13/$F13</f>
        <v>0.17396396857996027</v>
      </c>
      <c r="N13" s="279">
        <f>O13/$D13</f>
        <v>6785.7142857142853</v>
      </c>
      <c r="O13" s="280">
        <f>$G13*O$11</f>
        <v>31350000</v>
      </c>
      <c r="P13" s="281">
        <f>O13/$F13</f>
        <v>0.13047297643497019</v>
      </c>
      <c r="Q13" s="282">
        <f>R13/$D13</f>
        <v>6785.7142857142853</v>
      </c>
      <c r="R13" s="283">
        <f>$G13*R$11</f>
        <v>31350000</v>
      </c>
      <c r="S13" s="284">
        <f>R13/$F13</f>
        <v>0.13047297643497019</v>
      </c>
      <c r="T13" s="285">
        <f>U13/$D13</f>
        <v>6785.7142857142853</v>
      </c>
      <c r="U13" s="286">
        <f>$G13*U$11</f>
        <v>31350000</v>
      </c>
      <c r="V13" s="287">
        <f>U13/$F13</f>
        <v>0.13047297643497019</v>
      </c>
    </row>
    <row r="14" spans="2:22">
      <c r="B14" s="471"/>
      <c r="C14" s="288" t="s">
        <v>175</v>
      </c>
      <c r="D14" s="289">
        <f t="shared" ref="D14:D17" si="17">D7+(D7*5%)</f>
        <v>1470</v>
      </c>
      <c r="E14" s="290">
        <f t="shared" ref="E14:E17" si="18">F14/D14</f>
        <v>47738.402225198304</v>
      </c>
      <c r="F14" s="291">
        <f>F18*G14</f>
        <v>70175451.271041512</v>
      </c>
      <c r="G14" s="292">
        <v>0.12576491191923353</v>
      </c>
      <c r="H14" s="293">
        <f t="shared" ref="H14:H17" si="19">I14/$D14</f>
        <v>14533.33333333333</v>
      </c>
      <c r="I14" s="294">
        <f t="shared" ref="I14:I17" si="20">$G14*I$11</f>
        <v>21363999.999999996</v>
      </c>
      <c r="J14" s="295">
        <f t="shared" ref="J14:J17" si="21">I14/$F14</f>
        <v>0.30443694501493046</v>
      </c>
      <c r="K14" s="296">
        <f t="shared" ref="K14:K17" si="22">L14/$D14</f>
        <v>8304.7619047619028</v>
      </c>
      <c r="L14" s="297">
        <f t="shared" ref="L14:L17" si="23">$G14*L$11</f>
        <v>12207999.999999998</v>
      </c>
      <c r="M14" s="298">
        <f t="shared" ref="M14:M17" si="24">L14/$F14</f>
        <v>0.17396396857996027</v>
      </c>
      <c r="N14" s="299">
        <f t="shared" ref="N14:N17" si="25">O14/$D14</f>
        <v>6228.5714285714275</v>
      </c>
      <c r="O14" s="300">
        <f t="shared" ref="O14:O17" si="26">$G14*O$11</f>
        <v>9155999.9999999981</v>
      </c>
      <c r="P14" s="301">
        <f t="shared" ref="P14:P17" si="27">O14/$F14</f>
        <v>0.13047297643497019</v>
      </c>
      <c r="Q14" s="302">
        <f t="shared" ref="Q14:Q17" si="28">R14/$D14</f>
        <v>6228.5714285714275</v>
      </c>
      <c r="R14" s="303">
        <f t="shared" ref="R14:R17" si="29">$G14*R$11</f>
        <v>9155999.9999999981</v>
      </c>
      <c r="S14" s="304">
        <f t="shared" ref="S14:S17" si="30">R14/$F14</f>
        <v>0.13047297643497019</v>
      </c>
      <c r="T14" s="305">
        <f t="shared" ref="T14:T17" si="31">U14/$D14</f>
        <v>6228.5714285714275</v>
      </c>
      <c r="U14" s="306">
        <f t="shared" ref="U14:U17" si="32">$G14*U$11</f>
        <v>9155999.9999999981</v>
      </c>
      <c r="V14" s="307">
        <f t="shared" ref="V14:V17" si="33">U14/$F14</f>
        <v>0.13047297643497019</v>
      </c>
    </row>
    <row r="15" spans="2:22">
      <c r="B15" s="471"/>
      <c r="C15" s="288" t="s">
        <v>176</v>
      </c>
      <c r="D15" s="289">
        <f t="shared" si="17"/>
        <v>2940</v>
      </c>
      <c r="E15" s="290">
        <f t="shared" si="18"/>
        <v>19161.055939013084</v>
      </c>
      <c r="F15" s="291">
        <f>F18*G15</f>
        <v>56333504.46069847</v>
      </c>
      <c r="G15" s="292">
        <v>0.10095807149479757</v>
      </c>
      <c r="H15" s="293">
        <f t="shared" si="19"/>
        <v>5833.333333333333</v>
      </c>
      <c r="I15" s="294">
        <f t="shared" si="20"/>
        <v>17150000</v>
      </c>
      <c r="J15" s="295">
        <f t="shared" si="21"/>
        <v>0.30443694501493046</v>
      </c>
      <c r="K15" s="296">
        <f t="shared" si="22"/>
        <v>3333.3333333333335</v>
      </c>
      <c r="L15" s="297">
        <f t="shared" si="23"/>
        <v>9800000</v>
      </c>
      <c r="M15" s="298">
        <f t="shared" si="24"/>
        <v>0.17396396857996027</v>
      </c>
      <c r="N15" s="299">
        <f t="shared" si="25"/>
        <v>2500</v>
      </c>
      <c r="O15" s="300">
        <f t="shared" si="26"/>
        <v>7350000</v>
      </c>
      <c r="P15" s="301">
        <f t="shared" si="27"/>
        <v>0.13047297643497019</v>
      </c>
      <c r="Q15" s="302">
        <f t="shared" si="28"/>
        <v>2500</v>
      </c>
      <c r="R15" s="303">
        <f t="shared" si="29"/>
        <v>7350000</v>
      </c>
      <c r="S15" s="304">
        <f t="shared" si="30"/>
        <v>0.13047297643497019</v>
      </c>
      <c r="T15" s="305">
        <f t="shared" si="31"/>
        <v>2500</v>
      </c>
      <c r="U15" s="306">
        <f t="shared" si="32"/>
        <v>7350000</v>
      </c>
      <c r="V15" s="307">
        <f t="shared" si="33"/>
        <v>0.13047297643497019</v>
      </c>
    </row>
    <row r="16" spans="2:22">
      <c r="B16" s="471"/>
      <c r="C16" s="288" t="s">
        <v>177</v>
      </c>
      <c r="D16" s="289">
        <f t="shared" si="17"/>
        <v>5460</v>
      </c>
      <c r="E16" s="290">
        <f t="shared" si="18"/>
        <v>32409.55747398785</v>
      </c>
      <c r="F16" s="291">
        <f>F18*G16</f>
        <v>176956183.80797365</v>
      </c>
      <c r="G16" s="292">
        <v>0.31713196662202536</v>
      </c>
      <c r="H16" s="293">
        <f t="shared" si="19"/>
        <v>9866.6666666666661</v>
      </c>
      <c r="I16" s="294">
        <f t="shared" si="20"/>
        <v>53872000</v>
      </c>
      <c r="J16" s="295">
        <f t="shared" si="21"/>
        <v>0.30443694501493046</v>
      </c>
      <c r="K16" s="296">
        <f t="shared" si="22"/>
        <v>5638.0952380952385</v>
      </c>
      <c r="L16" s="297">
        <f t="shared" si="23"/>
        <v>30784000.000000004</v>
      </c>
      <c r="M16" s="298">
        <f t="shared" si="24"/>
        <v>0.17396396857996027</v>
      </c>
      <c r="N16" s="299">
        <f t="shared" si="25"/>
        <v>4228.5714285714284</v>
      </c>
      <c r="O16" s="300">
        <f t="shared" si="26"/>
        <v>23088000</v>
      </c>
      <c r="P16" s="301">
        <f t="shared" si="27"/>
        <v>0.13047297643497019</v>
      </c>
      <c r="Q16" s="302">
        <f t="shared" si="28"/>
        <v>4228.5714285714284</v>
      </c>
      <c r="R16" s="303">
        <f t="shared" si="29"/>
        <v>23088000</v>
      </c>
      <c r="S16" s="304">
        <f t="shared" si="30"/>
        <v>0.13047297643497019</v>
      </c>
      <c r="T16" s="305">
        <f t="shared" si="31"/>
        <v>4228.5714285714284</v>
      </c>
      <c r="U16" s="306">
        <f t="shared" si="32"/>
        <v>23088000</v>
      </c>
      <c r="V16" s="307">
        <f t="shared" si="33"/>
        <v>0.13047297643497019</v>
      </c>
    </row>
    <row r="17" spans="2:22">
      <c r="B17" s="471"/>
      <c r="C17" s="288" t="s">
        <v>248</v>
      </c>
      <c r="D17" s="289">
        <f t="shared" si="17"/>
        <v>735</v>
      </c>
      <c r="E17" s="290">
        <f t="shared" si="18"/>
        <v>19380.039435458944</v>
      </c>
      <c r="F17" s="291">
        <f>F18*G17</f>
        <v>14244328.985062325</v>
      </c>
      <c r="G17" s="292">
        <v>2.5527969506541671E-2</v>
      </c>
      <c r="H17" s="293">
        <f t="shared" si="19"/>
        <v>5900</v>
      </c>
      <c r="I17" s="294">
        <f t="shared" si="20"/>
        <v>4336500</v>
      </c>
      <c r="J17" s="295">
        <f t="shared" si="21"/>
        <v>0.30443694501493052</v>
      </c>
      <c r="K17" s="296">
        <f t="shared" si="22"/>
        <v>3371.4285714285716</v>
      </c>
      <c r="L17" s="297">
        <f t="shared" si="23"/>
        <v>2478000</v>
      </c>
      <c r="M17" s="298">
        <f t="shared" si="24"/>
        <v>0.1739639685799603</v>
      </c>
      <c r="N17" s="299">
        <f t="shared" si="25"/>
        <v>2528.5714285714284</v>
      </c>
      <c r="O17" s="300">
        <f t="shared" si="26"/>
        <v>1858500</v>
      </c>
      <c r="P17" s="301">
        <f t="shared" si="27"/>
        <v>0.13047297643497022</v>
      </c>
      <c r="Q17" s="302">
        <f t="shared" si="28"/>
        <v>2528.5714285714284</v>
      </c>
      <c r="R17" s="303">
        <f t="shared" si="29"/>
        <v>1858500</v>
      </c>
      <c r="S17" s="304">
        <f t="shared" si="30"/>
        <v>0.13047297643497022</v>
      </c>
      <c r="T17" s="305">
        <f t="shared" si="31"/>
        <v>2528.5714285714284</v>
      </c>
      <c r="U17" s="306">
        <f t="shared" si="32"/>
        <v>1858500</v>
      </c>
      <c r="V17" s="307">
        <f t="shared" si="33"/>
        <v>0.13047297643497022</v>
      </c>
    </row>
    <row r="18" spans="2:22" ht="19.5" customHeight="1" thickBot="1">
      <c r="B18" s="472"/>
      <c r="C18" s="473" t="s">
        <v>270</v>
      </c>
      <c r="D18" s="474"/>
      <c r="E18" s="308">
        <f>SUM(E13:E17)</f>
        <v>170697.63547955087</v>
      </c>
      <c r="F18" s="309">
        <v>557989110</v>
      </c>
      <c r="G18" s="310">
        <f>F18/F18</f>
        <v>1</v>
      </c>
      <c r="H18" s="311">
        <f>SUM(H13:H17)</f>
        <v>51966.666666666664</v>
      </c>
      <c r="I18" s="312">
        <f>F18*J18</f>
        <v>195296188.5</v>
      </c>
      <c r="J18" s="313">
        <v>0.35</v>
      </c>
      <c r="K18" s="314">
        <f>SUM(K13:K17)</f>
        <v>29695.238095238092</v>
      </c>
      <c r="L18" s="315">
        <f>$F18*M18</f>
        <v>111597822</v>
      </c>
      <c r="M18" s="316">
        <v>0.2</v>
      </c>
      <c r="N18" s="317">
        <f>SUM(N13:N17)</f>
        <v>22271.428571428569</v>
      </c>
      <c r="O18" s="318">
        <f>$F18*P18</f>
        <v>83698366.5</v>
      </c>
      <c r="P18" s="319">
        <v>0.15</v>
      </c>
      <c r="Q18" s="320">
        <f>SUM(Q13:Q17)</f>
        <v>22271.428571428569</v>
      </c>
      <c r="R18" s="321">
        <f>$F18*S18</f>
        <v>83698366.5</v>
      </c>
      <c r="S18" s="322">
        <v>0.15</v>
      </c>
      <c r="T18" s="323">
        <f>SUM(T13:T17)</f>
        <v>22271.428571428569</v>
      </c>
      <c r="U18" s="324">
        <f>$F18*V18</f>
        <v>83698366.5</v>
      </c>
      <c r="V18" s="325">
        <v>0.15</v>
      </c>
    </row>
    <row r="19" spans="2:22" ht="5.25" customHeight="1" thickBot="1">
      <c r="C19" s="326"/>
      <c r="D19" s="326"/>
    </row>
    <row r="20" spans="2:22">
      <c r="B20" s="470" t="s">
        <v>272</v>
      </c>
      <c r="C20" s="268" t="s">
        <v>269</v>
      </c>
      <c r="D20" s="269">
        <f>D13+(D13*5%)</f>
        <v>4851</v>
      </c>
      <c r="E20" s="270">
        <f>F20/D20</f>
        <v>58552.745362009373</v>
      </c>
      <c r="F20" s="271">
        <f>F25*G20</f>
        <v>284039367.75110745</v>
      </c>
      <c r="G20" s="272">
        <v>0.43061708045740188</v>
      </c>
      <c r="H20" s="273">
        <f>I20/$D20</f>
        <v>15079.36507936508</v>
      </c>
      <c r="I20" s="274">
        <f>$G20*I$11</f>
        <v>73150000</v>
      </c>
      <c r="J20" s="275">
        <f>I20/$F20</f>
        <v>0.25753472337010153</v>
      </c>
      <c r="K20" s="276">
        <f>L20/$D20</f>
        <v>8616.7800453514737</v>
      </c>
      <c r="L20" s="277">
        <f>$G20*L$11</f>
        <v>41800000</v>
      </c>
      <c r="M20" s="278">
        <f>L20/$F20</f>
        <v>0.14716269906862944</v>
      </c>
      <c r="N20" s="279">
        <f>O20/$D20</f>
        <v>6462.5850340136058</v>
      </c>
      <c r="O20" s="280">
        <f>$G20*O$11</f>
        <v>31350000</v>
      </c>
      <c r="P20" s="281">
        <f>O20/$F20</f>
        <v>0.1103720243014721</v>
      </c>
      <c r="Q20" s="282">
        <f>R20/$D20</f>
        <v>6462.5850340136058</v>
      </c>
      <c r="R20" s="283">
        <f>$G20*R$11</f>
        <v>31350000</v>
      </c>
      <c r="S20" s="284">
        <f>R20/$F20</f>
        <v>0.1103720243014721</v>
      </c>
      <c r="T20" s="285">
        <f>U20/$D20</f>
        <v>6462.5850340136058</v>
      </c>
      <c r="U20" s="286">
        <f>$G20*U$11</f>
        <v>31350000</v>
      </c>
      <c r="V20" s="287">
        <f>U20/$F20</f>
        <v>0.1103720243014721</v>
      </c>
    </row>
    <row r="21" spans="2:22">
      <c r="B21" s="471"/>
      <c r="C21" s="288" t="s">
        <v>175</v>
      </c>
      <c r="D21" s="289">
        <f t="shared" ref="D21:D24" si="34">D14+(D14*5%)</f>
        <v>1543.5</v>
      </c>
      <c r="E21" s="290">
        <f t="shared" ref="E21:E24" si="35">F21/D21</f>
        <v>53745.25679544438</v>
      </c>
      <c r="F21" s="291">
        <f>F25*G21</f>
        <v>82955803.863768399</v>
      </c>
      <c r="G21" s="292">
        <v>0.12576491191923353</v>
      </c>
      <c r="H21" s="293">
        <f t="shared" ref="H21:H24" si="36">I21/$D21</f>
        <v>13841.269841269839</v>
      </c>
      <c r="I21" s="294">
        <f t="shared" ref="I21:I24" si="37">$G21*I$11</f>
        <v>21363999.999999996</v>
      </c>
      <c r="J21" s="295">
        <f t="shared" ref="J21:J24" si="38">I21/$F21</f>
        <v>0.25753472337010158</v>
      </c>
      <c r="K21" s="296">
        <f t="shared" ref="K21:K24" si="39">L21/$D21</f>
        <v>7909.2970521541938</v>
      </c>
      <c r="L21" s="297">
        <f t="shared" ref="L21:L24" si="40">$G21*L$11</f>
        <v>12207999.999999998</v>
      </c>
      <c r="M21" s="298">
        <f t="shared" ref="M21:M24" si="41">L21/$F21</f>
        <v>0.14716269906862947</v>
      </c>
      <c r="N21" s="299">
        <f t="shared" ref="N21:N24" si="42">O21/$D21</f>
        <v>5931.9727891156454</v>
      </c>
      <c r="O21" s="300">
        <f t="shared" ref="O21:O24" si="43">$G21*O$11</f>
        <v>9155999.9999999981</v>
      </c>
      <c r="P21" s="301">
        <f t="shared" ref="P21:P24" si="44">O21/$F21</f>
        <v>0.1103720243014721</v>
      </c>
      <c r="Q21" s="302">
        <f t="shared" ref="Q21:Q24" si="45">R21/$D21</f>
        <v>5931.9727891156454</v>
      </c>
      <c r="R21" s="303">
        <f t="shared" ref="R21:R24" si="46">$G21*R$11</f>
        <v>9155999.9999999981</v>
      </c>
      <c r="S21" s="304">
        <f t="shared" ref="S21:S24" si="47">R21/$F21</f>
        <v>0.1103720243014721</v>
      </c>
      <c r="T21" s="305">
        <f t="shared" ref="T21:T24" si="48">U21/$D21</f>
        <v>5931.9727891156454</v>
      </c>
      <c r="U21" s="306">
        <f t="shared" ref="U21:U24" si="49">$G21*U$11</f>
        <v>9155999.9999999981</v>
      </c>
      <c r="V21" s="307">
        <f t="shared" ref="V21:V24" si="50">U21/$F21</f>
        <v>0.1103720243014721</v>
      </c>
    </row>
    <row r="22" spans="2:22">
      <c r="B22" s="471"/>
      <c r="C22" s="288" t="s">
        <v>176</v>
      </c>
      <c r="D22" s="289">
        <f t="shared" si="34"/>
        <v>3087</v>
      </c>
      <c r="E22" s="290">
        <f t="shared" si="35"/>
        <v>21572.064080740296</v>
      </c>
      <c r="F22" s="291">
        <f>F25*G22</f>
        <v>66592961.81724529</v>
      </c>
      <c r="G22" s="292">
        <v>0.10095807149479757</v>
      </c>
      <c r="H22" s="293">
        <f t="shared" si="36"/>
        <v>5555.5555555555557</v>
      </c>
      <c r="I22" s="294">
        <f t="shared" si="37"/>
        <v>17150000</v>
      </c>
      <c r="J22" s="295">
        <f t="shared" si="38"/>
        <v>0.25753472337010153</v>
      </c>
      <c r="K22" s="296">
        <f t="shared" si="39"/>
        <v>3174.6031746031745</v>
      </c>
      <c r="L22" s="297">
        <f t="shared" si="40"/>
        <v>9800000</v>
      </c>
      <c r="M22" s="298">
        <f t="shared" si="41"/>
        <v>0.14716269906862944</v>
      </c>
      <c r="N22" s="299">
        <f t="shared" si="42"/>
        <v>2380.9523809523807</v>
      </c>
      <c r="O22" s="300">
        <f t="shared" si="43"/>
        <v>7350000</v>
      </c>
      <c r="P22" s="301">
        <f t="shared" si="44"/>
        <v>0.11037202430147208</v>
      </c>
      <c r="Q22" s="302">
        <f t="shared" si="45"/>
        <v>2380.9523809523807</v>
      </c>
      <c r="R22" s="303">
        <f t="shared" si="46"/>
        <v>7350000</v>
      </c>
      <c r="S22" s="304">
        <f t="shared" si="47"/>
        <v>0.11037202430147208</v>
      </c>
      <c r="T22" s="305">
        <f t="shared" si="48"/>
        <v>2380.9523809523807</v>
      </c>
      <c r="U22" s="306">
        <f t="shared" si="49"/>
        <v>7350000</v>
      </c>
      <c r="V22" s="307">
        <f t="shared" si="50"/>
        <v>0.11037202430147208</v>
      </c>
    </row>
    <row r="23" spans="2:22">
      <c r="B23" s="471"/>
      <c r="C23" s="288" t="s">
        <v>177</v>
      </c>
      <c r="D23" s="289">
        <f t="shared" si="34"/>
        <v>5733</v>
      </c>
      <c r="E23" s="290">
        <f t="shared" si="35"/>
        <v>36487.605530852154</v>
      </c>
      <c r="F23" s="291">
        <f>F25*G23</f>
        <v>209183442.50837541</v>
      </c>
      <c r="G23" s="292">
        <v>0.31713196662202536</v>
      </c>
      <c r="H23" s="293">
        <f t="shared" si="36"/>
        <v>9396.8253968253975</v>
      </c>
      <c r="I23" s="294">
        <f t="shared" si="37"/>
        <v>53872000</v>
      </c>
      <c r="J23" s="295">
        <f t="shared" si="38"/>
        <v>0.25753472337010153</v>
      </c>
      <c r="K23" s="296">
        <f t="shared" si="39"/>
        <v>5369.6145124716559</v>
      </c>
      <c r="L23" s="297">
        <f t="shared" si="40"/>
        <v>30784000.000000004</v>
      </c>
      <c r="M23" s="298">
        <f t="shared" si="41"/>
        <v>0.14716269906862947</v>
      </c>
      <c r="N23" s="299">
        <f t="shared" si="42"/>
        <v>4027.2108843537417</v>
      </c>
      <c r="O23" s="300">
        <f t="shared" si="43"/>
        <v>23088000</v>
      </c>
      <c r="P23" s="301">
        <f t="shared" si="44"/>
        <v>0.11037202430147208</v>
      </c>
      <c r="Q23" s="302">
        <f t="shared" si="45"/>
        <v>4027.2108843537417</v>
      </c>
      <c r="R23" s="303">
        <f t="shared" si="46"/>
        <v>23088000</v>
      </c>
      <c r="S23" s="304">
        <f t="shared" si="47"/>
        <v>0.11037202430147208</v>
      </c>
      <c r="T23" s="305">
        <f t="shared" si="48"/>
        <v>4027.2108843537417</v>
      </c>
      <c r="U23" s="306">
        <f t="shared" si="49"/>
        <v>23088000</v>
      </c>
      <c r="V23" s="307">
        <f t="shared" si="50"/>
        <v>0.11037202430147208</v>
      </c>
    </row>
    <row r="24" spans="2:22">
      <c r="B24" s="471"/>
      <c r="C24" s="288" t="s">
        <v>248</v>
      </c>
      <c r="D24" s="289">
        <f t="shared" si="34"/>
        <v>771.75</v>
      </c>
      <c r="E24" s="290">
        <f t="shared" si="35"/>
        <v>21818.601955948754</v>
      </c>
      <c r="F24" s="291">
        <f>F25*G24</f>
        <v>16838506.059503451</v>
      </c>
      <c r="G24" s="292">
        <v>2.5527969506541671E-2</v>
      </c>
      <c r="H24" s="293">
        <f t="shared" si="36"/>
        <v>5619.0476190476193</v>
      </c>
      <c r="I24" s="294">
        <f t="shared" si="37"/>
        <v>4336500</v>
      </c>
      <c r="J24" s="295">
        <f t="shared" si="38"/>
        <v>0.25753472337010153</v>
      </c>
      <c r="K24" s="296">
        <f t="shared" si="39"/>
        <v>3210.8843537414964</v>
      </c>
      <c r="L24" s="297">
        <f t="shared" si="40"/>
        <v>2478000</v>
      </c>
      <c r="M24" s="298">
        <f t="shared" si="41"/>
        <v>0.14716269906862947</v>
      </c>
      <c r="N24" s="299">
        <f t="shared" si="42"/>
        <v>2408.1632653061224</v>
      </c>
      <c r="O24" s="300">
        <f t="shared" si="43"/>
        <v>1858500</v>
      </c>
      <c r="P24" s="301">
        <f t="shared" si="44"/>
        <v>0.1103720243014721</v>
      </c>
      <c r="Q24" s="302">
        <f t="shared" si="45"/>
        <v>2408.1632653061224</v>
      </c>
      <c r="R24" s="303">
        <f t="shared" si="46"/>
        <v>1858500</v>
      </c>
      <c r="S24" s="304">
        <f t="shared" si="47"/>
        <v>0.1103720243014721</v>
      </c>
      <c r="T24" s="305">
        <f t="shared" si="48"/>
        <v>2408.1632653061224</v>
      </c>
      <c r="U24" s="306">
        <f t="shared" si="49"/>
        <v>1858500</v>
      </c>
      <c r="V24" s="307">
        <f t="shared" si="50"/>
        <v>0.1103720243014721</v>
      </c>
    </row>
    <row r="25" spans="2:22" ht="19.5" customHeight="1" thickBot="1">
      <c r="B25" s="472"/>
      <c r="C25" s="473" t="s">
        <v>270</v>
      </c>
      <c r="D25" s="474"/>
      <c r="E25" s="308">
        <f>SUM(E20:E24)</f>
        <v>192176.27372499497</v>
      </c>
      <c r="F25" s="309">
        <v>659610082</v>
      </c>
      <c r="G25" s="310">
        <f>F25/F25</f>
        <v>1</v>
      </c>
      <c r="H25" s="311">
        <f>SUM(H20:H24)</f>
        <v>49492.063492063491</v>
      </c>
      <c r="I25" s="312">
        <f>F25*J25</f>
        <v>230863528.69999999</v>
      </c>
      <c r="J25" s="313">
        <v>0.35</v>
      </c>
      <c r="K25" s="314">
        <f>SUM(K20:K24)</f>
        <v>28281.179138321993</v>
      </c>
      <c r="L25" s="315">
        <f>$F25*M25</f>
        <v>131922016.40000001</v>
      </c>
      <c r="M25" s="316">
        <v>0.2</v>
      </c>
      <c r="N25" s="317">
        <f>SUM(N20:N24)</f>
        <v>21210.884353741494</v>
      </c>
      <c r="O25" s="318">
        <f>$F25*P25</f>
        <v>98941512.299999997</v>
      </c>
      <c r="P25" s="319">
        <v>0.15</v>
      </c>
      <c r="Q25" s="320">
        <f>SUM(Q20:Q24)</f>
        <v>21210.884353741494</v>
      </c>
      <c r="R25" s="321">
        <f>$F25*S25</f>
        <v>98941512.299999997</v>
      </c>
      <c r="S25" s="322">
        <v>0.15</v>
      </c>
      <c r="T25" s="323">
        <f>SUM(T20:T24)</f>
        <v>21210.884353741494</v>
      </c>
      <c r="U25" s="324">
        <f>$F25*V25</f>
        <v>98941512.299999997</v>
      </c>
      <c r="V25" s="325">
        <v>0.15</v>
      </c>
    </row>
    <row r="26" spans="2:22" ht="5.25" customHeight="1" thickBot="1">
      <c r="C26" s="326"/>
      <c r="D26" s="326"/>
    </row>
    <row r="27" spans="2:22">
      <c r="B27" s="470" t="s">
        <v>273</v>
      </c>
      <c r="C27" s="268" t="s">
        <v>269</v>
      </c>
      <c r="D27" s="269">
        <f>D20+(D20*5%)</f>
        <v>5093.55</v>
      </c>
      <c r="E27" s="270">
        <f>F27/D27</f>
        <v>61222.576240347975</v>
      </c>
      <c r="F27" s="271">
        <f>F32*G27</f>
        <v>311840253.20902443</v>
      </c>
      <c r="G27" s="272">
        <v>0.43061708045740188</v>
      </c>
      <c r="H27" s="273">
        <f>I27/$D27</f>
        <v>14361.30007558579</v>
      </c>
      <c r="I27" s="274">
        <f>$G27*I$11</f>
        <v>73150000</v>
      </c>
      <c r="J27" s="275">
        <f>I27/$F27</f>
        <v>0.23457523282271081</v>
      </c>
      <c r="K27" s="276">
        <f>L27/$D27</f>
        <v>8206.4571860490232</v>
      </c>
      <c r="L27" s="277">
        <f>$G27*L$11</f>
        <v>41800000</v>
      </c>
      <c r="M27" s="278">
        <f>L27/$F27</f>
        <v>0.13404299018440619</v>
      </c>
      <c r="N27" s="279">
        <f>O27/$D27</f>
        <v>6154.842889536767</v>
      </c>
      <c r="O27" s="280">
        <f>$G27*O$11</f>
        <v>31350000</v>
      </c>
      <c r="P27" s="281">
        <f>O27/$F27</f>
        <v>0.10053224263830464</v>
      </c>
      <c r="Q27" s="282">
        <f>R27/$D27</f>
        <v>6154.842889536767</v>
      </c>
      <c r="R27" s="283">
        <f>$G27*R$11</f>
        <v>31350000</v>
      </c>
      <c r="S27" s="284">
        <f>R27/$F27</f>
        <v>0.10053224263830464</v>
      </c>
      <c r="T27" s="285">
        <f>U27/$D27</f>
        <v>6154.842889536767</v>
      </c>
      <c r="U27" s="286">
        <f>$G27*U$11</f>
        <v>31350000</v>
      </c>
      <c r="V27" s="287">
        <f>U27/$F27</f>
        <v>0.10053224263830464</v>
      </c>
    </row>
    <row r="28" spans="2:22">
      <c r="B28" s="471"/>
      <c r="C28" s="288" t="s">
        <v>175</v>
      </c>
      <c r="D28" s="289">
        <f t="shared" ref="D28:D31" si="51">D21+(D21*5%)</f>
        <v>1620.675</v>
      </c>
      <c r="E28" s="290">
        <f t="shared" ref="E28:E31" si="52">F28/D28</f>
        <v>56195.880506929927</v>
      </c>
      <c r="F28" s="291">
        <f>F32*G28</f>
        <v>91075258.640568659</v>
      </c>
      <c r="G28" s="292">
        <v>0.12576491191923353</v>
      </c>
      <c r="H28" s="293">
        <f t="shared" ref="H28:H31" si="53">I28/$D28</f>
        <v>13182.161753590322</v>
      </c>
      <c r="I28" s="294">
        <f t="shared" ref="I28:I31" si="54">$G28*I$11</f>
        <v>21363999.999999996</v>
      </c>
      <c r="J28" s="295">
        <f t="shared" ref="J28:J31" si="55">I28/$F28</f>
        <v>0.23457523282271078</v>
      </c>
      <c r="K28" s="296">
        <f t="shared" ref="K28:K31" si="56">L28/$D28</f>
        <v>7532.6638591944702</v>
      </c>
      <c r="L28" s="297">
        <f t="shared" ref="L28:L31" si="57">$G28*L$11</f>
        <v>12207999.999999998</v>
      </c>
      <c r="M28" s="298">
        <f t="shared" ref="M28:M31" si="58">L28/$F28</f>
        <v>0.13404299018440619</v>
      </c>
      <c r="N28" s="299">
        <f t="shared" ref="N28:N31" si="59">O28/$D28</f>
        <v>5649.4978943958522</v>
      </c>
      <c r="O28" s="300">
        <f t="shared" ref="O28:O31" si="60">$G28*O$11</f>
        <v>9155999.9999999981</v>
      </c>
      <c r="P28" s="301">
        <f t="shared" ref="P28:P31" si="61">O28/$F28</f>
        <v>0.10053224263830463</v>
      </c>
      <c r="Q28" s="302">
        <f t="shared" ref="Q28:Q31" si="62">R28/$D28</f>
        <v>5649.4978943958522</v>
      </c>
      <c r="R28" s="303">
        <f t="shared" ref="R28:R31" si="63">$G28*R$11</f>
        <v>9155999.9999999981</v>
      </c>
      <c r="S28" s="304">
        <f t="shared" ref="S28:S31" si="64">R28/$F28</f>
        <v>0.10053224263830463</v>
      </c>
      <c r="T28" s="305">
        <f t="shared" ref="T28:T31" si="65">U28/$D28</f>
        <v>5649.4978943958522</v>
      </c>
      <c r="U28" s="306">
        <f t="shared" ref="U28:U31" si="66">$G28*U$11</f>
        <v>9155999.9999999981</v>
      </c>
      <c r="V28" s="307">
        <f t="shared" ref="V28:V31" si="67">U28/$F28</f>
        <v>0.10053224263830463</v>
      </c>
    </row>
    <row r="29" spans="2:22">
      <c r="B29" s="471"/>
      <c r="C29" s="288" t="s">
        <v>176</v>
      </c>
      <c r="D29" s="289">
        <f t="shared" si="51"/>
        <v>3241.35</v>
      </c>
      <c r="E29" s="290">
        <f t="shared" si="52"/>
        <v>22555.685983286097</v>
      </c>
      <c r="F29" s="291">
        <f>F32*G29</f>
        <v>73110872.761924386</v>
      </c>
      <c r="G29" s="292">
        <v>0.10095807149479757</v>
      </c>
      <c r="H29" s="293">
        <f t="shared" si="53"/>
        <v>5291.0052910052909</v>
      </c>
      <c r="I29" s="294">
        <f t="shared" si="54"/>
        <v>17150000</v>
      </c>
      <c r="J29" s="295">
        <f t="shared" si="55"/>
        <v>0.23457523282271081</v>
      </c>
      <c r="K29" s="296">
        <f t="shared" si="56"/>
        <v>3023.4315948601666</v>
      </c>
      <c r="L29" s="297">
        <f t="shared" si="57"/>
        <v>9800000</v>
      </c>
      <c r="M29" s="298">
        <f t="shared" si="58"/>
        <v>0.13404299018440619</v>
      </c>
      <c r="N29" s="299">
        <f t="shared" si="59"/>
        <v>2267.5736961451248</v>
      </c>
      <c r="O29" s="300">
        <f t="shared" si="60"/>
        <v>7350000</v>
      </c>
      <c r="P29" s="301">
        <f t="shared" si="61"/>
        <v>0.10053224263830464</v>
      </c>
      <c r="Q29" s="302">
        <f t="shared" si="62"/>
        <v>2267.5736961451248</v>
      </c>
      <c r="R29" s="303">
        <f t="shared" si="63"/>
        <v>7350000</v>
      </c>
      <c r="S29" s="304">
        <f t="shared" si="64"/>
        <v>0.10053224263830464</v>
      </c>
      <c r="T29" s="305">
        <f t="shared" si="65"/>
        <v>2267.5736961451248</v>
      </c>
      <c r="U29" s="306">
        <f t="shared" si="66"/>
        <v>7350000</v>
      </c>
      <c r="V29" s="307">
        <f t="shared" si="67"/>
        <v>0.10053224263830464</v>
      </c>
    </row>
    <row r="30" spans="2:22">
      <c r="B30" s="471"/>
      <c r="C30" s="288" t="s">
        <v>177</v>
      </c>
      <c r="D30" s="289">
        <f t="shared" si="51"/>
        <v>6019.65</v>
      </c>
      <c r="E30" s="290">
        <f t="shared" si="52"/>
        <v>38151.331720301059</v>
      </c>
      <c r="F30" s="291">
        <f>F32*G30</f>
        <v>229657663.99011025</v>
      </c>
      <c r="G30" s="292">
        <v>0.31713196662202536</v>
      </c>
      <c r="H30" s="293">
        <f t="shared" si="53"/>
        <v>8949.3575207860922</v>
      </c>
      <c r="I30" s="294">
        <f t="shared" si="54"/>
        <v>53872000</v>
      </c>
      <c r="J30" s="295">
        <f t="shared" si="55"/>
        <v>0.23457523282271081</v>
      </c>
      <c r="K30" s="296">
        <f t="shared" si="56"/>
        <v>5113.9185833063393</v>
      </c>
      <c r="L30" s="297">
        <f t="shared" si="57"/>
        <v>30784000.000000004</v>
      </c>
      <c r="M30" s="298">
        <f t="shared" si="58"/>
        <v>0.13404299018440619</v>
      </c>
      <c r="N30" s="299">
        <f t="shared" si="59"/>
        <v>3835.4389374797543</v>
      </c>
      <c r="O30" s="300">
        <f t="shared" si="60"/>
        <v>23088000</v>
      </c>
      <c r="P30" s="301">
        <f t="shared" si="61"/>
        <v>0.10053224263830464</v>
      </c>
      <c r="Q30" s="302">
        <f t="shared" si="62"/>
        <v>3835.4389374797543</v>
      </c>
      <c r="R30" s="303">
        <f t="shared" si="63"/>
        <v>23088000</v>
      </c>
      <c r="S30" s="304">
        <f t="shared" si="64"/>
        <v>0.10053224263830464</v>
      </c>
      <c r="T30" s="305">
        <f t="shared" si="65"/>
        <v>3835.4389374797543</v>
      </c>
      <c r="U30" s="306">
        <f t="shared" si="66"/>
        <v>23088000</v>
      </c>
      <c r="V30" s="307">
        <f t="shared" si="67"/>
        <v>0.10053224263830464</v>
      </c>
    </row>
    <row r="31" spans="2:22">
      <c r="B31" s="471"/>
      <c r="C31" s="288" t="s">
        <v>248</v>
      </c>
      <c r="D31" s="289">
        <f t="shared" si="51"/>
        <v>810.33749999999998</v>
      </c>
      <c r="E31" s="290">
        <f t="shared" si="52"/>
        <v>22813.465251666508</v>
      </c>
      <c r="F31" s="291">
        <f>F32*G31</f>
        <v>18486606.398372307</v>
      </c>
      <c r="G31" s="292">
        <v>2.5527969506541671E-2</v>
      </c>
      <c r="H31" s="293">
        <f t="shared" si="53"/>
        <v>5351.4739229024945</v>
      </c>
      <c r="I31" s="294">
        <f t="shared" si="54"/>
        <v>4336500</v>
      </c>
      <c r="J31" s="295">
        <f t="shared" si="55"/>
        <v>0.23457523282271084</v>
      </c>
      <c r="K31" s="296">
        <f t="shared" si="56"/>
        <v>3057.9850988014255</v>
      </c>
      <c r="L31" s="297">
        <f t="shared" si="57"/>
        <v>2478000</v>
      </c>
      <c r="M31" s="298">
        <f t="shared" si="58"/>
        <v>0.13404299018440619</v>
      </c>
      <c r="N31" s="299">
        <f t="shared" si="59"/>
        <v>2293.488824101069</v>
      </c>
      <c r="O31" s="300">
        <f t="shared" si="60"/>
        <v>1858500</v>
      </c>
      <c r="P31" s="301">
        <f t="shared" si="61"/>
        <v>0.10053224263830465</v>
      </c>
      <c r="Q31" s="302">
        <f t="shared" si="62"/>
        <v>2293.488824101069</v>
      </c>
      <c r="R31" s="303">
        <f t="shared" si="63"/>
        <v>1858500</v>
      </c>
      <c r="S31" s="304">
        <f t="shared" si="64"/>
        <v>0.10053224263830465</v>
      </c>
      <c r="T31" s="305">
        <f t="shared" si="65"/>
        <v>2293.488824101069</v>
      </c>
      <c r="U31" s="306">
        <f t="shared" si="66"/>
        <v>1858500</v>
      </c>
      <c r="V31" s="307">
        <f t="shared" si="67"/>
        <v>0.10053224263830465</v>
      </c>
    </row>
    <row r="32" spans="2:22" ht="19.5" customHeight="1" thickBot="1">
      <c r="B32" s="472"/>
      <c r="C32" s="473" t="s">
        <v>270</v>
      </c>
      <c r="D32" s="474"/>
      <c r="E32" s="308">
        <f>SUM(E27:E31)</f>
        <v>200938.93970253156</v>
      </c>
      <c r="F32" s="309">
        <v>724170655</v>
      </c>
      <c r="G32" s="310">
        <f>F32/F32</f>
        <v>1</v>
      </c>
      <c r="H32" s="311">
        <f>SUM(H27:H31)</f>
        <v>47135.29856386999</v>
      </c>
      <c r="I32" s="312">
        <f>F32*J32</f>
        <v>253459729.24999997</v>
      </c>
      <c r="J32" s="313">
        <v>0.35</v>
      </c>
      <c r="K32" s="314">
        <f>SUM(K27:K31)</f>
        <v>26934.456322211423</v>
      </c>
      <c r="L32" s="315">
        <f>$F32*M32</f>
        <v>144834131</v>
      </c>
      <c r="M32" s="316">
        <v>0.2</v>
      </c>
      <c r="N32" s="317">
        <f>SUM(N27:N31)</f>
        <v>20200.842241658567</v>
      </c>
      <c r="O32" s="318">
        <f>$F32*P32</f>
        <v>108625598.25</v>
      </c>
      <c r="P32" s="319">
        <v>0.15</v>
      </c>
      <c r="Q32" s="320">
        <f>SUM(Q27:Q31)</f>
        <v>20200.842241658567</v>
      </c>
      <c r="R32" s="321">
        <f>$F32*S32</f>
        <v>108625598.25</v>
      </c>
      <c r="S32" s="322">
        <v>0.15</v>
      </c>
      <c r="T32" s="323">
        <f>SUM(T27:T31)</f>
        <v>20200.842241658567</v>
      </c>
      <c r="U32" s="324">
        <f>$F32*V32</f>
        <v>108625598.25</v>
      </c>
      <c r="V32" s="325">
        <v>0.15</v>
      </c>
    </row>
    <row r="33" spans="2:22" ht="5.25" customHeight="1" thickBot="1">
      <c r="C33" s="326"/>
      <c r="D33" s="326"/>
    </row>
    <row r="34" spans="2:22">
      <c r="B34" s="470" t="s">
        <v>274</v>
      </c>
      <c r="C34" s="268" t="s">
        <v>269</v>
      </c>
      <c r="D34" s="269">
        <f>D27+(D27*5%)</f>
        <v>5348.2275</v>
      </c>
      <c r="E34" s="270">
        <f>F34/D34</f>
        <v>68212.026477952808</v>
      </c>
      <c r="F34" s="271">
        <f>F39*G34</f>
        <v>364813435.84011537</v>
      </c>
      <c r="G34" s="272">
        <v>0.43061708045740188</v>
      </c>
      <c r="H34" s="273">
        <f>I34/$D34</f>
        <v>13677.428643415038</v>
      </c>
      <c r="I34" s="274">
        <f>$G34*I$11</f>
        <v>73150000</v>
      </c>
      <c r="J34" s="275">
        <f>I34/$F34</f>
        <v>0.20051344828225851</v>
      </c>
      <c r="K34" s="276">
        <f>L34/$D34</f>
        <v>7815.673510522879</v>
      </c>
      <c r="L34" s="277">
        <f>$G34*L$11</f>
        <v>41800000</v>
      </c>
      <c r="M34" s="278">
        <f>L34/$F34</f>
        <v>0.11457911330414772</v>
      </c>
      <c r="N34" s="279">
        <f>O34/$D34</f>
        <v>5861.7551328921591</v>
      </c>
      <c r="O34" s="280">
        <f>$G34*O$11</f>
        <v>31350000</v>
      </c>
      <c r="P34" s="281">
        <f>O34/$F34</f>
        <v>8.5934334978110788E-2</v>
      </c>
      <c r="Q34" s="282">
        <f>R34/$D34</f>
        <v>5861.7551328921591</v>
      </c>
      <c r="R34" s="283">
        <f>$G34*R$11</f>
        <v>31350000</v>
      </c>
      <c r="S34" s="284">
        <f>R34/$F34</f>
        <v>8.5934334978110788E-2</v>
      </c>
      <c r="T34" s="285">
        <f>U34/$D34</f>
        <v>5861.7551328921591</v>
      </c>
      <c r="U34" s="286">
        <f>$G34*U$11</f>
        <v>31350000</v>
      </c>
      <c r="V34" s="287">
        <f>U34/$F34</f>
        <v>8.5934334978110788E-2</v>
      </c>
    </row>
    <row r="35" spans="2:22">
      <c r="B35" s="471"/>
      <c r="C35" s="288" t="s">
        <v>175</v>
      </c>
      <c r="D35" s="289">
        <f t="shared" ref="D35:D38" si="68">D28+(D28*5%)</f>
        <v>1701.70875</v>
      </c>
      <c r="E35" s="290">
        <f t="shared" ref="E35:E38" si="69">F35/D35</f>
        <v>62611.460093447211</v>
      </c>
      <c r="F35" s="291">
        <f>F39*G35</f>
        <v>106546469.49129494</v>
      </c>
      <c r="G35" s="292">
        <v>0.12576491191923353</v>
      </c>
      <c r="H35" s="293">
        <f t="shared" ref="H35:H38" si="70">I35/$D35</f>
        <v>12554.439765324118</v>
      </c>
      <c r="I35" s="294">
        <f t="shared" ref="I35:I38" si="71">$G35*I$11</f>
        <v>21363999.999999996</v>
      </c>
      <c r="J35" s="295">
        <f t="shared" ref="J35:J38" si="72">I35/$F35</f>
        <v>0.20051344828225848</v>
      </c>
      <c r="K35" s="296">
        <f t="shared" ref="K35:K38" si="73">L35/$D35</f>
        <v>7173.9655801852095</v>
      </c>
      <c r="L35" s="297">
        <f t="shared" ref="L35:L38" si="74">$G35*L$11</f>
        <v>12207999.999999998</v>
      </c>
      <c r="M35" s="298">
        <f t="shared" ref="M35:M38" si="75">L35/$F35</f>
        <v>0.11457911330414769</v>
      </c>
      <c r="N35" s="299">
        <f t="shared" ref="N35:N38" si="76">O35/$D35</f>
        <v>5380.4741851389072</v>
      </c>
      <c r="O35" s="300">
        <f t="shared" ref="O35:O38" si="77">$G35*O$11</f>
        <v>9155999.9999999981</v>
      </c>
      <c r="P35" s="301">
        <f t="shared" ref="P35:P38" si="78">O35/$F35</f>
        <v>8.5934334978110774E-2</v>
      </c>
      <c r="Q35" s="302">
        <f t="shared" ref="Q35:Q38" si="79">R35/$D35</f>
        <v>5380.4741851389072</v>
      </c>
      <c r="R35" s="303">
        <f t="shared" ref="R35:R38" si="80">$G35*R$11</f>
        <v>9155999.9999999981</v>
      </c>
      <c r="S35" s="304">
        <f t="shared" ref="S35:S38" si="81">R35/$F35</f>
        <v>8.5934334978110774E-2</v>
      </c>
      <c r="T35" s="305">
        <f t="shared" ref="T35:T38" si="82">U35/$D35</f>
        <v>5380.4741851389072</v>
      </c>
      <c r="U35" s="306">
        <f t="shared" ref="U35:U38" si="83">$G35*U$11</f>
        <v>9155999.9999999981</v>
      </c>
      <c r="V35" s="307">
        <f t="shared" ref="V35:V38" si="84">U35/$F35</f>
        <v>8.5934334978110774E-2</v>
      </c>
    </row>
    <row r="36" spans="2:22">
      <c r="B36" s="471"/>
      <c r="C36" s="288" t="s">
        <v>176</v>
      </c>
      <c r="D36" s="289">
        <f t="shared" si="68"/>
        <v>3403.4175</v>
      </c>
      <c r="E36" s="290">
        <f t="shared" si="69"/>
        <v>25130.746597140514</v>
      </c>
      <c r="F36" s="291">
        <f>F39*G36</f>
        <v>85530422.756773472</v>
      </c>
      <c r="G36" s="292">
        <v>0.10095807149479757</v>
      </c>
      <c r="H36" s="293">
        <f t="shared" si="70"/>
        <v>5039.0526581002769</v>
      </c>
      <c r="I36" s="294">
        <f t="shared" si="71"/>
        <v>17150000</v>
      </c>
      <c r="J36" s="295">
        <f t="shared" si="72"/>
        <v>0.20051344828225848</v>
      </c>
      <c r="K36" s="296">
        <f t="shared" si="73"/>
        <v>2879.4586617715868</v>
      </c>
      <c r="L36" s="297">
        <f t="shared" si="74"/>
        <v>9800000</v>
      </c>
      <c r="M36" s="298">
        <f t="shared" si="75"/>
        <v>0.11457911330414769</v>
      </c>
      <c r="N36" s="299">
        <f t="shared" si="76"/>
        <v>2159.5939963286901</v>
      </c>
      <c r="O36" s="300">
        <f t="shared" si="77"/>
        <v>7350000</v>
      </c>
      <c r="P36" s="301">
        <f t="shared" si="78"/>
        <v>8.5934334978110774E-2</v>
      </c>
      <c r="Q36" s="302">
        <f t="shared" si="79"/>
        <v>2159.5939963286901</v>
      </c>
      <c r="R36" s="303">
        <f t="shared" si="80"/>
        <v>7350000</v>
      </c>
      <c r="S36" s="304">
        <f t="shared" si="81"/>
        <v>8.5934334978110774E-2</v>
      </c>
      <c r="T36" s="305">
        <f t="shared" si="82"/>
        <v>2159.5939963286901</v>
      </c>
      <c r="U36" s="306">
        <f t="shared" si="83"/>
        <v>7350000</v>
      </c>
      <c r="V36" s="307">
        <f t="shared" si="84"/>
        <v>8.5934334978110774E-2</v>
      </c>
    </row>
    <row r="37" spans="2:22">
      <c r="B37" s="471"/>
      <c r="C37" s="288" t="s">
        <v>177</v>
      </c>
      <c r="D37" s="289">
        <f t="shared" si="68"/>
        <v>6320.6324999999997</v>
      </c>
      <c r="E37" s="290">
        <f t="shared" si="69"/>
        <v>42506.862815734814</v>
      </c>
      <c r="F37" s="291">
        <f>F39*G37</f>
        <v>268670258.58617496</v>
      </c>
      <c r="G37" s="292">
        <v>0.31713196662202536</v>
      </c>
      <c r="H37" s="293">
        <f t="shared" si="70"/>
        <v>8523.1976388438979</v>
      </c>
      <c r="I37" s="294">
        <f t="shared" si="71"/>
        <v>53872000</v>
      </c>
      <c r="J37" s="295">
        <f t="shared" si="72"/>
        <v>0.20051344828225845</v>
      </c>
      <c r="K37" s="296">
        <f t="shared" si="73"/>
        <v>4870.3986507679419</v>
      </c>
      <c r="L37" s="297">
        <f t="shared" si="74"/>
        <v>30784000.000000004</v>
      </c>
      <c r="M37" s="298">
        <f t="shared" si="75"/>
        <v>0.1145791133041477</v>
      </c>
      <c r="N37" s="299">
        <f t="shared" si="76"/>
        <v>3652.798988075956</v>
      </c>
      <c r="O37" s="300">
        <f t="shared" si="77"/>
        <v>23088000</v>
      </c>
      <c r="P37" s="301">
        <f t="shared" si="78"/>
        <v>8.5934334978110774E-2</v>
      </c>
      <c r="Q37" s="302">
        <f t="shared" si="79"/>
        <v>3652.798988075956</v>
      </c>
      <c r="R37" s="303">
        <f t="shared" si="80"/>
        <v>23088000</v>
      </c>
      <c r="S37" s="304">
        <f t="shared" si="81"/>
        <v>8.5934334978110774E-2</v>
      </c>
      <c r="T37" s="305">
        <f t="shared" si="82"/>
        <v>3652.798988075956</v>
      </c>
      <c r="U37" s="306">
        <f t="shared" si="83"/>
        <v>23088000</v>
      </c>
      <c r="V37" s="307">
        <f t="shared" si="84"/>
        <v>8.5934334978110774E-2</v>
      </c>
    </row>
    <row r="38" spans="2:22">
      <c r="B38" s="471"/>
      <c r="C38" s="288" t="s">
        <v>248</v>
      </c>
      <c r="D38" s="289">
        <f t="shared" si="68"/>
        <v>850.854375</v>
      </c>
      <c r="E38" s="290">
        <f t="shared" si="69"/>
        <v>25417.95512967926</v>
      </c>
      <c r="F38" s="291">
        <f>F39*G38</f>
        <v>21626978.325641289</v>
      </c>
      <c r="G38" s="292">
        <v>2.5527969506541671E-2</v>
      </c>
      <c r="H38" s="293">
        <f t="shared" si="70"/>
        <v>5096.641831335709</v>
      </c>
      <c r="I38" s="294">
        <f t="shared" si="71"/>
        <v>4336500</v>
      </c>
      <c r="J38" s="295">
        <f t="shared" si="72"/>
        <v>0.20051344828225848</v>
      </c>
      <c r="K38" s="296">
        <f t="shared" si="73"/>
        <v>2912.3667607632624</v>
      </c>
      <c r="L38" s="297">
        <f t="shared" si="74"/>
        <v>2478000</v>
      </c>
      <c r="M38" s="298">
        <f t="shared" si="75"/>
        <v>0.1145791133041477</v>
      </c>
      <c r="N38" s="299">
        <f t="shared" si="76"/>
        <v>2184.2750705724466</v>
      </c>
      <c r="O38" s="300">
        <f t="shared" si="77"/>
        <v>1858500</v>
      </c>
      <c r="P38" s="301">
        <f t="shared" si="78"/>
        <v>8.5934334978110788E-2</v>
      </c>
      <c r="Q38" s="302">
        <f t="shared" si="79"/>
        <v>2184.2750705724466</v>
      </c>
      <c r="R38" s="303">
        <f t="shared" si="80"/>
        <v>1858500</v>
      </c>
      <c r="S38" s="304">
        <f t="shared" si="81"/>
        <v>8.5934334978110788E-2</v>
      </c>
      <c r="T38" s="305">
        <f t="shared" si="82"/>
        <v>2184.2750705724466</v>
      </c>
      <c r="U38" s="306">
        <f t="shared" si="83"/>
        <v>1858500</v>
      </c>
      <c r="V38" s="307">
        <f t="shared" si="84"/>
        <v>8.5934334978110788E-2</v>
      </c>
    </row>
    <row r="39" spans="2:22" ht="19.5" customHeight="1" thickBot="1">
      <c r="B39" s="472"/>
      <c r="C39" s="473" t="s">
        <v>270</v>
      </c>
      <c r="D39" s="474"/>
      <c r="E39" s="308">
        <f>SUM(E34:E38)</f>
        <v>223879.0511139546</v>
      </c>
      <c r="F39" s="309">
        <v>847187565</v>
      </c>
      <c r="G39" s="310">
        <f>F39/F39</f>
        <v>1</v>
      </c>
      <c r="H39" s="311">
        <f>SUM(H34:H38)</f>
        <v>44890.760537019036</v>
      </c>
      <c r="I39" s="312">
        <f>F39*J39</f>
        <v>296515647.75</v>
      </c>
      <c r="J39" s="313">
        <v>0.35</v>
      </c>
      <c r="K39" s="314">
        <f>SUM(K34:K38)</f>
        <v>25651.863164010883</v>
      </c>
      <c r="L39" s="315">
        <f>$F39*M39</f>
        <v>169437513</v>
      </c>
      <c r="M39" s="316">
        <v>0.2</v>
      </c>
      <c r="N39" s="317">
        <f>SUM(N34:N38)</f>
        <v>19238.89737300816</v>
      </c>
      <c r="O39" s="318">
        <f>$F39*P39</f>
        <v>127078134.75</v>
      </c>
      <c r="P39" s="319">
        <v>0.15</v>
      </c>
      <c r="Q39" s="320">
        <f>SUM(Q34:Q38)</f>
        <v>19238.89737300816</v>
      </c>
      <c r="R39" s="321">
        <f>$F39*S39</f>
        <v>127078134.75</v>
      </c>
      <c r="S39" s="322">
        <v>0.15</v>
      </c>
      <c r="T39" s="323">
        <f>SUM(T34:T38)</f>
        <v>19238.89737300816</v>
      </c>
      <c r="U39" s="324">
        <f>$F39*V39</f>
        <v>127078134.75</v>
      </c>
      <c r="V39" s="325">
        <v>0.15</v>
      </c>
    </row>
  </sheetData>
  <mergeCells count="19">
    <mergeCell ref="B27:B32"/>
    <mergeCell ref="C32:D32"/>
    <mergeCell ref="B34:B39"/>
    <mergeCell ref="C39:D39"/>
    <mergeCell ref="B6:B11"/>
    <mergeCell ref="C11:D11"/>
    <mergeCell ref="B13:B18"/>
    <mergeCell ref="C18:D18"/>
    <mergeCell ref="B20:B25"/>
    <mergeCell ref="C25:D25"/>
    <mergeCell ref="B1:V1"/>
    <mergeCell ref="H3:M3"/>
    <mergeCell ref="N3:V3"/>
    <mergeCell ref="E4:G4"/>
    <mergeCell ref="H4:J4"/>
    <mergeCell ref="K4:M4"/>
    <mergeCell ref="N4:P4"/>
    <mergeCell ref="Q4:S4"/>
    <mergeCell ref="T4:V4"/>
  </mergeCells>
  <pageMargins left="0.31496062992125984" right="0.31496062992125984" top="0.15748031496062992" bottom="0.15748031496062992" header="0.31496062992125984" footer="0.31496062992125984"/>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46126D-72FF-43C3-B754-1B03FE5D0211}">
  <ds:schemaRefs>
    <ds:schemaRef ds:uri="http://purl.org/dc/terms/"/>
    <ds:schemaRef ds:uri="http://schemas.openxmlformats.org/package/2006/metadata/core-properties"/>
    <ds:schemaRef ds:uri="f7ff1548-ea36-4159-a306-74aa0083697f"/>
    <ds:schemaRef ds:uri="http://purl.org/dc/elements/1.1/"/>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d59ba5de-05cd-4945-add5-aa2c30c31883"/>
    <ds:schemaRef ds:uri="http://purl.org/dc/dcmitype/"/>
  </ds:schemaRefs>
</ds:datastoreItem>
</file>

<file path=customXml/itemProps3.xml><?xml version="1.0" encoding="utf-8"?>
<ds:datastoreItem xmlns:ds="http://schemas.openxmlformats.org/officeDocument/2006/customXml" ds:itemID="{7C712E58-D6D2-4C0F-B37A-BDAB77C8B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vt:i4>
      </vt:variant>
    </vt:vector>
  </HeadingPairs>
  <TitlesOfParts>
    <vt:vector size="13" baseType="lpstr">
      <vt:lpstr>Deatalle inversión incial</vt:lpstr>
      <vt:lpstr>Menú</vt:lpstr>
      <vt:lpstr>1</vt:lpstr>
      <vt:lpstr>2</vt:lpstr>
      <vt:lpstr>3</vt:lpstr>
      <vt:lpstr>4</vt:lpstr>
      <vt:lpstr>5</vt:lpstr>
      <vt:lpstr>PDTOS PRECIOS CANALES</vt:lpstr>
      <vt:lpstr>PPTO VENTAS</vt:lpstr>
      <vt:lpstr>PPTO DISTRUBUIDORES</vt:lpstr>
      <vt:lpstr>PPTO COMERCIALIZACION</vt:lpstr>
      <vt:lpstr>PPTO DETALLADO NOMINA</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admon</cp:lastModifiedBy>
  <dcterms:created xsi:type="dcterms:W3CDTF">2013-07-30T17:19:59Z</dcterms:created>
  <dcterms:modified xsi:type="dcterms:W3CDTF">2021-11-07T18:17:49Z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