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F:\MAESTRIA GESTION FINANCIERA\TRABAJO DE GRADO\MUNDUNA\ANEXOS\"/>
    </mc:Choice>
  </mc:AlternateContent>
  <xr:revisionPtr revIDLastSave="0" documentId="13_ncr:1_{6B238B37-886D-4191-A6E0-8D0C26EAB1C2}" xr6:coauthVersionLast="47" xr6:coauthVersionMax="47" xr10:uidLastSave="{00000000-0000-0000-0000-000000000000}"/>
  <bookViews>
    <workbookView xWindow="-108" yWindow="-108" windowWidth="23256" windowHeight="12456" tabRatio="762" firstSheet="9" activeTab="13" xr2:uid="{00000000-000D-0000-FFFF-FFFF00000000}"/>
  </bookViews>
  <sheets>
    <sheet name="Inicio" sheetId="47" r:id="rId1"/>
    <sheet name="Manual de Instrucciones" sheetId="45" r:id="rId2"/>
    <sheet name="Bases" sheetId="5" r:id="rId3"/>
    <sheet name="Precios Ventas" sheetId="31" r:id="rId4"/>
    <sheet name="Costo de Mercancías" sheetId="32" r:id="rId5"/>
    <sheet name="Proceso Comercial" sheetId="48" r:id="rId6"/>
    <sheet name="Gastos Generales Admon y Ventas" sheetId="39" r:id="rId7"/>
    <sheet name=" Inversiones Fijas y Diferidas" sheetId="40" r:id="rId8"/>
    <sheet name="Capital de Trabajo" sheetId="42" r:id="rId9"/>
    <sheet name="Estructura de Capital" sheetId="4" r:id="rId10"/>
    <sheet name="Plan Inversión y Financiación" sheetId="24" r:id="rId11"/>
    <sheet name="Márgenes por Productos" sheetId="25" r:id="rId12"/>
    <sheet name="P&amp;G" sheetId="7" r:id="rId13"/>
    <sheet name="Balance" sheetId="6" r:id="rId14"/>
    <sheet name="Flujo de Caja" sheetId="8" r:id="rId15"/>
    <sheet name="Producción" sheetId="28" r:id="rId16"/>
    <sheet name="Salidas" sheetId="23" r:id="rId17"/>
    <sheet name="Punto de equilibrio" sheetId="51" r:id="rId18"/>
    <sheet name="Deuda $" sheetId="12" r:id="rId19"/>
    <sheet name="Terrenos" sheetId="15" r:id="rId20"/>
    <sheet name="Construcciones" sheetId="16" r:id="rId21"/>
    <sheet name="Adecuaciones y Mejoras" sheetId="30" r:id="rId22"/>
    <sheet name="Maquinaria" sheetId="14" r:id="rId23"/>
    <sheet name="Muebles" sheetId="17" r:id="rId24"/>
    <sheet name="Transporte" sheetId="18" r:id="rId25"/>
    <sheet name="Oficina" sheetId="19" r:id="rId26"/>
    <sheet name="Semovientes" sheetId="20" state="hidden" r:id="rId27"/>
    <sheet name="Permanentes" sheetId="21" state="hidden" r:id="rId28"/>
    <sheet name="Diferidos" sheetId="22" r:id="rId29"/>
  </sheets>
  <externalReferences>
    <externalReference r:id="rId30"/>
  </externalReferences>
  <definedNames>
    <definedName name="aa" localSheetId="0">'[1]Costo MO Directa'!#REF!</definedName>
    <definedName name="_xlnm.Print_Area" localSheetId="7">' Inversiones Fijas y Diferidas'!$C$1:$L$172</definedName>
    <definedName name="_xlnm.Print_Area" localSheetId="21">'Adecuaciones y Mejoras'!$B:$G</definedName>
    <definedName name="_xlnm.Print_Area" localSheetId="13">Balance!$C$2:$I$60</definedName>
    <definedName name="_xlnm.Print_Area" localSheetId="2">Bases!$C$2:$E$37</definedName>
    <definedName name="_xlnm.Print_Area" localSheetId="8">'Capital de Trabajo'!$C$2:$IV$36</definedName>
    <definedName name="_xlnm.Print_Area" localSheetId="4">'Costo de Mercancías'!$B$2:$J$31</definedName>
    <definedName name="_xlnm.Print_Area" localSheetId="9">'Estructura de Capital'!$C$2:$J$94</definedName>
    <definedName name="_xlnm.Print_Area" localSheetId="14">'Flujo de Caja'!$C$2:$I$48</definedName>
    <definedName name="_xlnm.Print_Area" localSheetId="6">'Gastos Generales Admon y Ventas'!$C$1:$K$90</definedName>
    <definedName name="_xlnm.Print_Area" localSheetId="1">'Manual de Instrucciones'!$A$2:$A$113</definedName>
    <definedName name="_xlnm.Print_Area" localSheetId="11">'Márgenes por Productos'!$C$2:$I$69</definedName>
    <definedName name="_xlnm.Print_Area" localSheetId="12">'P&amp;G'!$B$1:$I$27</definedName>
    <definedName name="_xlnm.Print_Area" localSheetId="10">'Plan Inversión y Financiación'!$C$1:$I$42</definedName>
    <definedName name="_xlnm.Print_Area" localSheetId="3">'Precios Ventas'!$B$2:$J$42</definedName>
    <definedName name="_xlnm.Print_Area" localSheetId="5">'Proceso Comercial'!$C$1:$H$23</definedName>
    <definedName name="_xlnm.Print_Area" localSheetId="15">Producción!$C$1:$J$34</definedName>
    <definedName name="_xlnm.Print_Area" localSheetId="16">Salidas!$C$2:$I$48</definedName>
    <definedName name="Inflacion1" localSheetId="0">[1]Bases!$F$7</definedName>
    <definedName name="Inflacion1">Bases!$F$7</definedName>
    <definedName name="Inflacion2">Bases!$G$7</definedName>
    <definedName name="Inflacion3">Bases!$H$7</definedName>
    <definedName name="Inflacion4">Bases!$I$7</definedName>
    <definedName name="_xlnm.Print_Titles" localSheetId="7">' Inversiones Fijas y Diferidas'!$3:$3</definedName>
    <definedName name="_xlnm.Print_Titles" localSheetId="9">'Estructura de Capital'!$2:$2</definedName>
    <definedName name="_xlnm.Print_Titles" localSheetId="11">'Márgenes por Productos'!$2:$2</definedName>
    <definedName name="Z_63916809_C01D_4B23_BE77_5F659C46351E_.wvu.PrintArea" localSheetId="13" hidden="1">Balance!$C$3:$I$61</definedName>
    <definedName name="Z_63916809_C01D_4B23_BE77_5F659C46351E_.wvu.PrintArea" localSheetId="2" hidden="1">Bases!$C$2:$E$37</definedName>
    <definedName name="Z_63916809_C01D_4B23_BE77_5F659C46351E_.wvu.PrintArea" localSheetId="9" hidden="1">'Estructura de Capital'!$C$2:$J$5</definedName>
    <definedName name="Z_63916809_C01D_4B23_BE77_5F659C46351E_.wvu.PrintArea" localSheetId="14" hidden="1">'Flujo de Caja'!$C$2:$I$47</definedName>
    <definedName name="Z_63916809_C01D_4B23_BE77_5F659C46351E_.wvu.PrintArea" localSheetId="12" hidden="1">'P&amp;G'!$C$2:$H$26</definedName>
    <definedName name="Z_63916809_C01D_4B23_BE77_5F659C46351E_.wvu.PrintArea" localSheetId="16" hidden="1">Salidas!#REF!</definedName>
    <definedName name="Z_63916809_C01D_4B23_BE77_5F659C46351E_.wvu.PrintTitles" localSheetId="9" hidden="1">'Estructura de Capital'!$2:$2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51" l="1"/>
  <c r="C24" i="51"/>
  <c r="C23" i="51"/>
  <c r="C22" i="51"/>
  <c r="V16" i="51"/>
  <c r="V12" i="51"/>
  <c r="V11" i="51"/>
  <c r="X16" i="51"/>
  <c r="W16" i="51"/>
  <c r="X6" i="51"/>
  <c r="X8" i="51" s="1"/>
  <c r="W6" i="51"/>
  <c r="W8" i="51" s="1"/>
  <c r="V6" i="51"/>
  <c r="V8" i="51" s="1"/>
  <c r="R16" i="51"/>
  <c r="S16" i="51"/>
  <c r="Q16" i="51"/>
  <c r="Q12" i="51"/>
  <c r="Q11" i="51"/>
  <c r="S6" i="51"/>
  <c r="S8" i="51" s="1"/>
  <c r="R6" i="51"/>
  <c r="R8" i="51" s="1"/>
  <c r="Q6" i="51"/>
  <c r="Q8" i="51" s="1"/>
  <c r="L12" i="51"/>
  <c r="M16" i="51" s="1"/>
  <c r="G12" i="51"/>
  <c r="G16" i="51" s="1"/>
  <c r="L11" i="51"/>
  <c r="N6" i="51"/>
  <c r="N8" i="51" s="1"/>
  <c r="M6" i="51"/>
  <c r="M8" i="51" s="1"/>
  <c r="L6" i="51"/>
  <c r="L8" i="51" s="1"/>
  <c r="G11" i="51"/>
  <c r="I6" i="51"/>
  <c r="I8" i="51" s="1"/>
  <c r="H6" i="51"/>
  <c r="H8" i="51" s="1"/>
  <c r="G6" i="51"/>
  <c r="G8" i="51" s="1"/>
  <c r="B11" i="51"/>
  <c r="C6" i="51"/>
  <c r="C8" i="51" s="1"/>
  <c r="D6" i="51"/>
  <c r="D8" i="51" s="1"/>
  <c r="B8" i="51"/>
  <c r="F21" i="31"/>
  <c r="F20" i="31"/>
  <c r="F19" i="31"/>
  <c r="I21" i="31"/>
  <c r="I20" i="31"/>
  <c r="I19" i="31"/>
  <c r="G19" i="31"/>
  <c r="L16" i="51" l="1"/>
  <c r="N16" i="51"/>
  <c r="H16" i="51"/>
  <c r="I16" i="51"/>
  <c r="B12" i="51"/>
  <c r="G20" i="31"/>
  <c r="G21" i="31"/>
  <c r="C16" i="51" l="1"/>
  <c r="D16" i="51"/>
  <c r="B16" i="51"/>
  <c r="E41" i="24"/>
  <c r="E40" i="24"/>
  <c r="E27" i="24"/>
  <c r="E28" i="24"/>
  <c r="E29" i="24"/>
  <c r="E30" i="24"/>
  <c r="E31" i="24"/>
  <c r="E32" i="24"/>
  <c r="E33" i="24"/>
  <c r="E34" i="24"/>
  <c r="E35" i="24"/>
  <c r="E36" i="24"/>
  <c r="E37" i="24"/>
  <c r="E38" i="24"/>
  <c r="E39" i="24"/>
  <c r="E26" i="24"/>
  <c r="E12" i="24"/>
  <c r="E11" i="24"/>
  <c r="G11" i="24"/>
  <c r="G147" i="40"/>
  <c r="F147" i="40"/>
  <c r="F141" i="40"/>
  <c r="G141" i="40" s="1"/>
  <c r="G140" i="40"/>
  <c r="F140" i="40"/>
  <c r="G74" i="40"/>
  <c r="G75" i="40"/>
  <c r="G73" i="40"/>
  <c r="H79" i="39"/>
  <c r="G80" i="39"/>
  <c r="G79" i="39"/>
  <c r="K68" i="39"/>
  <c r="K69" i="39"/>
  <c r="J68" i="39"/>
  <c r="J69" i="39"/>
  <c r="I68" i="39"/>
  <c r="I69" i="39"/>
  <c r="I67" i="39"/>
  <c r="H69" i="39"/>
  <c r="H68" i="39"/>
  <c r="H67" i="39"/>
  <c r="H61" i="39"/>
  <c r="G69" i="39"/>
  <c r="G68" i="39"/>
  <c r="G67" i="39"/>
  <c r="G66" i="39"/>
  <c r="G65" i="39"/>
  <c r="G64" i="39"/>
  <c r="G63" i="39"/>
  <c r="G62" i="39"/>
  <c r="G61" i="39"/>
  <c r="D19" i="48" l="1"/>
  <c r="G8" i="32"/>
  <c r="H8" i="32" s="1"/>
  <c r="I8" i="32" s="1"/>
  <c r="J8" i="32" s="1"/>
  <c r="G7" i="32"/>
  <c r="G6" i="32"/>
  <c r="J21" i="31"/>
  <c r="H21" i="31"/>
  <c r="J20" i="31"/>
  <c r="H20" i="31"/>
  <c r="J19" i="31"/>
  <c r="H19" i="31"/>
  <c r="I79" i="39"/>
  <c r="G10" i="31" l="1"/>
  <c r="H10" i="31" s="1"/>
  <c r="I10" i="31" s="1"/>
  <c r="J10" i="31" s="1"/>
  <c r="G9" i="31"/>
  <c r="F11" i="25" s="1"/>
  <c r="G22" i="39"/>
  <c r="G150" i="40"/>
  <c r="G159" i="40" s="1"/>
  <c r="G166" i="40"/>
  <c r="H41" i="24" s="1"/>
  <c r="F37" i="31"/>
  <c r="H31" i="31"/>
  <c r="J67" i="39"/>
  <c r="K67" i="39" s="1"/>
  <c r="G97" i="40"/>
  <c r="G107" i="40" s="1"/>
  <c r="G72" i="40"/>
  <c r="G71" i="40"/>
  <c r="D24" i="8"/>
  <c r="H80" i="39"/>
  <c r="I80" i="39" s="1"/>
  <c r="J80" i="39" s="1"/>
  <c r="K80" i="39" s="1"/>
  <c r="H38" i="24"/>
  <c r="G143" i="40"/>
  <c r="G144" i="40"/>
  <c r="G142" i="40"/>
  <c r="H31" i="24"/>
  <c r="H30" i="24"/>
  <c r="K25" i="39"/>
  <c r="G138" i="40"/>
  <c r="H29" i="24" s="1"/>
  <c r="J79" i="39"/>
  <c r="K79" i="39" s="1"/>
  <c r="H66" i="39"/>
  <c r="I66" i="39" s="1"/>
  <c r="J66" i="39" s="1"/>
  <c r="K66" i="39" s="1"/>
  <c r="H65" i="39"/>
  <c r="I65" i="39" s="1"/>
  <c r="J65" i="39" s="1"/>
  <c r="K65" i="39" s="1"/>
  <c r="H64" i="39"/>
  <c r="I64" i="39" s="1"/>
  <c r="J64" i="39" s="1"/>
  <c r="K64" i="39" s="1"/>
  <c r="H63" i="39"/>
  <c r="I63" i="39" s="1"/>
  <c r="H62" i="39"/>
  <c r="I62" i="39" s="1"/>
  <c r="J62" i="39" s="1"/>
  <c r="K62" i="39" s="1"/>
  <c r="I61" i="39"/>
  <c r="J61" i="39" s="1"/>
  <c r="K61" i="39" s="1"/>
  <c r="H7" i="32"/>
  <c r="I7" i="32" s="1"/>
  <c r="J7" i="32" s="1"/>
  <c r="F30" i="25"/>
  <c r="G8" i="31"/>
  <c r="C20" i="16"/>
  <c r="C21" i="16"/>
  <c r="C22" i="16"/>
  <c r="C23" i="16"/>
  <c r="C20" i="30"/>
  <c r="C21" i="30"/>
  <c r="C22" i="30"/>
  <c r="C23" i="30"/>
  <c r="C20" i="14"/>
  <c r="C21" i="14"/>
  <c r="C22" i="14"/>
  <c r="C23" i="14"/>
  <c r="C20" i="17"/>
  <c r="C21" i="17"/>
  <c r="C22" i="17"/>
  <c r="C23" i="17"/>
  <c r="C20" i="18"/>
  <c r="C21" i="18"/>
  <c r="C22" i="18"/>
  <c r="C23" i="18"/>
  <c r="C20" i="19"/>
  <c r="C21" i="19"/>
  <c r="C22" i="19"/>
  <c r="C23" i="19"/>
  <c r="G128" i="40"/>
  <c r="E53" i="4" s="1"/>
  <c r="G131" i="40"/>
  <c r="E60" i="4"/>
  <c r="F61" i="4"/>
  <c r="H128" i="40"/>
  <c r="C3" i="20" s="1"/>
  <c r="C20" i="20"/>
  <c r="C21" i="20"/>
  <c r="C22" i="20"/>
  <c r="C23" i="20"/>
  <c r="H131" i="40"/>
  <c r="C3" i="21"/>
  <c r="C5" i="21"/>
  <c r="C20" i="21"/>
  <c r="C21" i="21"/>
  <c r="C22" i="21"/>
  <c r="C23" i="21"/>
  <c r="E6" i="25"/>
  <c r="E12" i="25"/>
  <c r="E18" i="25"/>
  <c r="E30" i="25"/>
  <c r="E36" i="25"/>
  <c r="E54" i="25"/>
  <c r="E60" i="25"/>
  <c r="F27" i="32"/>
  <c r="F16" i="28"/>
  <c r="G21" i="39"/>
  <c r="G23" i="39"/>
  <c r="G24" i="39"/>
  <c r="G25" i="39"/>
  <c r="G26" i="39"/>
  <c r="G27" i="39"/>
  <c r="G28" i="39"/>
  <c r="G29" i="39"/>
  <c r="G30" i="39"/>
  <c r="G34" i="39"/>
  <c r="G35" i="39"/>
  <c r="G36" i="39"/>
  <c r="D22" i="8"/>
  <c r="D23" i="8"/>
  <c r="G115" i="40"/>
  <c r="D27" i="8"/>
  <c r="G125" i="40"/>
  <c r="E46" i="4" s="1"/>
  <c r="D31" i="8"/>
  <c r="D41" i="8"/>
  <c r="D36" i="8"/>
  <c r="C5" i="12"/>
  <c r="C8" i="12" s="1"/>
  <c r="H34" i="39"/>
  <c r="I34" i="39" s="1"/>
  <c r="J34" i="39" s="1"/>
  <c r="K34" i="39" s="1"/>
  <c r="H35" i="39"/>
  <c r="H36" i="39"/>
  <c r="I36" i="39" s="1"/>
  <c r="J36" i="39" s="1"/>
  <c r="K36" i="39" s="1"/>
  <c r="H21" i="39"/>
  <c r="H22" i="39"/>
  <c r="H23" i="39"/>
  <c r="H24" i="39"/>
  <c r="H25" i="39"/>
  <c r="H26" i="39"/>
  <c r="H27" i="39"/>
  <c r="H28" i="39"/>
  <c r="H29" i="39"/>
  <c r="H30" i="39"/>
  <c r="I21" i="39"/>
  <c r="I23" i="39"/>
  <c r="I24" i="39"/>
  <c r="I25" i="39"/>
  <c r="I26" i="39"/>
  <c r="I27" i="39"/>
  <c r="I28" i="39"/>
  <c r="I29" i="39"/>
  <c r="I30" i="39"/>
  <c r="J21" i="39"/>
  <c r="J22" i="39"/>
  <c r="J23" i="39"/>
  <c r="J24" i="39"/>
  <c r="J25" i="39"/>
  <c r="J26" i="39"/>
  <c r="J27" i="39"/>
  <c r="J28" i="39"/>
  <c r="J29" i="39"/>
  <c r="J30" i="39"/>
  <c r="K21" i="39"/>
  <c r="K22" i="39"/>
  <c r="K23" i="39"/>
  <c r="K24" i="39"/>
  <c r="K26" i="39"/>
  <c r="K27" i="39"/>
  <c r="K28" i="39"/>
  <c r="K29" i="39"/>
  <c r="K30" i="39"/>
  <c r="E11" i="4"/>
  <c r="F12" i="4"/>
  <c r="F11" i="4" s="1"/>
  <c r="E39" i="4"/>
  <c r="D26" i="6" s="1"/>
  <c r="D28" i="6" s="1"/>
  <c r="F40" i="4"/>
  <c r="C3" i="16"/>
  <c r="C5" i="16"/>
  <c r="C10" i="16" s="1"/>
  <c r="C3" i="30"/>
  <c r="C5" i="30" s="1"/>
  <c r="H95" i="40"/>
  <c r="H132" i="40" s="1"/>
  <c r="C3" i="14"/>
  <c r="C5" i="14" s="1"/>
  <c r="H107" i="40"/>
  <c r="C3" i="17" s="1"/>
  <c r="C5" i="17"/>
  <c r="C12" i="17"/>
  <c r="H115" i="40"/>
  <c r="C3" i="18"/>
  <c r="C5" i="18"/>
  <c r="H125" i="40"/>
  <c r="C3" i="19" s="1"/>
  <c r="C5" i="19" s="1"/>
  <c r="F36" i="25"/>
  <c r="F42" i="25"/>
  <c r="F48" i="25"/>
  <c r="F54" i="25"/>
  <c r="F60" i="25"/>
  <c r="G27" i="32"/>
  <c r="G16" i="28"/>
  <c r="G36" i="25"/>
  <c r="G42" i="25"/>
  <c r="G48" i="25"/>
  <c r="G54" i="25"/>
  <c r="G60" i="25"/>
  <c r="H36" i="25"/>
  <c r="H42" i="25"/>
  <c r="H48" i="25"/>
  <c r="H54" i="25"/>
  <c r="H60" i="25"/>
  <c r="I36" i="25"/>
  <c r="I42" i="25"/>
  <c r="I48" i="25"/>
  <c r="I54" i="25"/>
  <c r="I60" i="25"/>
  <c r="G41" i="39"/>
  <c r="G42" i="39"/>
  <c r="G43" i="39"/>
  <c r="G44" i="39"/>
  <c r="G45" i="39"/>
  <c r="G48" i="39"/>
  <c r="G49" i="39"/>
  <c r="G50" i="39"/>
  <c r="G51" i="39"/>
  <c r="G55" i="39" s="1"/>
  <c r="G77" i="39" s="1"/>
  <c r="H167" i="40"/>
  <c r="D3" i="22" s="1"/>
  <c r="D6" i="22" s="1"/>
  <c r="D14" i="22" s="1"/>
  <c r="D23" i="22"/>
  <c r="D24" i="22"/>
  <c r="D25" i="22"/>
  <c r="D26" i="22"/>
  <c r="E8" i="4"/>
  <c r="F9" i="4" s="1"/>
  <c r="F8" i="4" s="1"/>
  <c r="C4" i="15"/>
  <c r="C6" i="15" s="1"/>
  <c r="C13" i="15" s="1"/>
  <c r="D6" i="15" s="1"/>
  <c r="C3" i="15"/>
  <c r="C7" i="15"/>
  <c r="C8" i="15"/>
  <c r="C9" i="15"/>
  <c r="C10" i="15"/>
  <c r="C6" i="16"/>
  <c r="C7" i="16"/>
  <c r="C8" i="16"/>
  <c r="C9" i="16"/>
  <c r="C6" i="14"/>
  <c r="C7" i="14"/>
  <c r="C8" i="14"/>
  <c r="C9" i="14"/>
  <c r="C6" i="17"/>
  <c r="C7" i="17"/>
  <c r="C8" i="17"/>
  <c r="C9" i="17"/>
  <c r="C6" i="18"/>
  <c r="C7" i="18"/>
  <c r="C8" i="18"/>
  <c r="C9" i="18"/>
  <c r="C6" i="19"/>
  <c r="C7" i="19"/>
  <c r="C8" i="19"/>
  <c r="C9" i="19"/>
  <c r="C6" i="20"/>
  <c r="C7" i="20"/>
  <c r="C8" i="20"/>
  <c r="C9" i="20"/>
  <c r="C6" i="21"/>
  <c r="C7" i="21"/>
  <c r="C8" i="21"/>
  <c r="C9" i="21"/>
  <c r="D7" i="22"/>
  <c r="D8" i="22"/>
  <c r="D9" i="22"/>
  <c r="D10" i="22"/>
  <c r="D30" i="22"/>
  <c r="D31" i="22"/>
  <c r="D32" i="22"/>
  <c r="D33" i="22"/>
  <c r="D34" i="22"/>
  <c r="D53" i="6"/>
  <c r="D58" i="6" s="1"/>
  <c r="E68" i="4" s="1"/>
  <c r="F70" i="4" s="1"/>
  <c r="E86" i="4"/>
  <c r="E91" i="4" s="1"/>
  <c r="F92" i="4" s="1"/>
  <c r="F14" i="4"/>
  <c r="F28" i="4"/>
  <c r="F35" i="4"/>
  <c r="F42" i="4"/>
  <c r="F49" i="4"/>
  <c r="C26" i="16"/>
  <c r="C31" i="16" s="1"/>
  <c r="C27" i="16"/>
  <c r="C28" i="16"/>
  <c r="C29" i="16"/>
  <c r="C30" i="16"/>
  <c r="C26" i="14"/>
  <c r="C27" i="14"/>
  <c r="C28" i="14"/>
  <c r="C29" i="14"/>
  <c r="C31" i="14" s="1"/>
  <c r="C30" i="14"/>
  <c r="C26" i="17"/>
  <c r="C31" i="17" s="1"/>
  <c r="C27" i="17"/>
  <c r="C28" i="17"/>
  <c r="C29" i="17"/>
  <c r="C30" i="17"/>
  <c r="C26" i="18"/>
  <c r="C27" i="18"/>
  <c r="C28" i="18"/>
  <c r="C31" i="18" s="1"/>
  <c r="C29" i="18"/>
  <c r="C30" i="18"/>
  <c r="C26" i="19"/>
  <c r="C31" i="19" s="1"/>
  <c r="C27" i="19"/>
  <c r="C28" i="19"/>
  <c r="C29" i="19"/>
  <c r="C30" i="19"/>
  <c r="F56" i="4"/>
  <c r="F63" i="4"/>
  <c r="C26" i="20"/>
  <c r="C27" i="20"/>
  <c r="C28" i="20"/>
  <c r="C29" i="20"/>
  <c r="C30" i="20"/>
  <c r="C26" i="21"/>
  <c r="C31" i="21" s="1"/>
  <c r="C27" i="21"/>
  <c r="C28" i="21"/>
  <c r="C29" i="21"/>
  <c r="C30" i="21"/>
  <c r="D3" i="12"/>
  <c r="D4" i="12" s="1"/>
  <c r="D25" i="12"/>
  <c r="D26" i="12"/>
  <c r="D27" i="12"/>
  <c r="D28" i="12"/>
  <c r="D29" i="12"/>
  <c r="D15" i="7"/>
  <c r="F81" i="4"/>
  <c r="F86" i="4" s="1"/>
  <c r="D3" i="16"/>
  <c r="D13" i="16" s="1"/>
  <c r="D6" i="16"/>
  <c r="D21" i="16"/>
  <c r="D22" i="16"/>
  <c r="D23" i="16"/>
  <c r="D3" i="30"/>
  <c r="D6" i="30" s="1"/>
  <c r="D21" i="30"/>
  <c r="D22" i="30"/>
  <c r="D23" i="30"/>
  <c r="I95" i="40"/>
  <c r="F25" i="8" s="1"/>
  <c r="D3" i="14"/>
  <c r="D6" i="14" s="1"/>
  <c r="D21" i="14"/>
  <c r="D22" i="14"/>
  <c r="D23" i="14"/>
  <c r="I107" i="40"/>
  <c r="D3" i="17" s="1"/>
  <c r="D21" i="17"/>
  <c r="D22" i="17"/>
  <c r="D23" i="17"/>
  <c r="I115" i="40"/>
  <c r="D3" i="18"/>
  <c r="D6" i="18" s="1"/>
  <c r="D21" i="18"/>
  <c r="D22" i="18"/>
  <c r="D23" i="18"/>
  <c r="I125" i="40"/>
  <c r="D3" i="19"/>
  <c r="D6" i="19" s="1"/>
  <c r="D21" i="19"/>
  <c r="D22" i="19"/>
  <c r="D23" i="19"/>
  <c r="H41" i="39"/>
  <c r="I41" i="39" s="1"/>
  <c r="J41" i="39" s="1"/>
  <c r="K41" i="39" s="1"/>
  <c r="H42" i="39"/>
  <c r="I42" i="39" s="1"/>
  <c r="J42" i="39" s="1"/>
  <c r="K42" i="39" s="1"/>
  <c r="H43" i="39"/>
  <c r="I43" i="39" s="1"/>
  <c r="J43" i="39" s="1"/>
  <c r="K43" i="39" s="1"/>
  <c r="H44" i="39"/>
  <c r="I44" i="39" s="1"/>
  <c r="J44" i="39" s="1"/>
  <c r="K44" i="39" s="1"/>
  <c r="H45" i="39"/>
  <c r="H48" i="39"/>
  <c r="H49" i="39"/>
  <c r="I49" i="39" s="1"/>
  <c r="J49" i="39" s="1"/>
  <c r="K49" i="39" s="1"/>
  <c r="H50" i="39"/>
  <c r="I50" i="39" s="1"/>
  <c r="J50" i="39" s="1"/>
  <c r="K50" i="39" s="1"/>
  <c r="H51" i="39"/>
  <c r="I51" i="39" s="1"/>
  <c r="J51" i="39" s="1"/>
  <c r="K51" i="39" s="1"/>
  <c r="H53" i="39"/>
  <c r="H54" i="39"/>
  <c r="I54" i="39" s="1"/>
  <c r="J54" i="39" s="1"/>
  <c r="K54" i="39" s="1"/>
  <c r="I167" i="40"/>
  <c r="E3" i="22" s="1"/>
  <c r="E7" i="22" s="1"/>
  <c r="E15" i="22" s="1"/>
  <c r="E24" i="22"/>
  <c r="E25" i="22"/>
  <c r="E26" i="22"/>
  <c r="F60" i="4"/>
  <c r="G61" i="4" s="1"/>
  <c r="D3" i="15"/>
  <c r="D4" i="15"/>
  <c r="D8" i="15"/>
  <c r="D9" i="15"/>
  <c r="D10" i="15"/>
  <c r="D7" i="16"/>
  <c r="D8" i="16"/>
  <c r="D9" i="16"/>
  <c r="D7" i="14"/>
  <c r="D8" i="14"/>
  <c r="D9" i="14"/>
  <c r="D7" i="17"/>
  <c r="D8" i="17"/>
  <c r="D9" i="17"/>
  <c r="D7" i="18"/>
  <c r="D8" i="18"/>
  <c r="D9" i="18"/>
  <c r="D7" i="19"/>
  <c r="D8" i="19"/>
  <c r="D9" i="19"/>
  <c r="I128" i="40"/>
  <c r="D3" i="20" s="1"/>
  <c r="D7" i="20"/>
  <c r="D8" i="20"/>
  <c r="D9" i="20"/>
  <c r="I131" i="40"/>
  <c r="D3" i="21" s="1"/>
  <c r="D7" i="21"/>
  <c r="D8" i="21"/>
  <c r="D9" i="21"/>
  <c r="E8" i="22"/>
  <c r="E9" i="22"/>
  <c r="E10" i="22"/>
  <c r="D27" i="16"/>
  <c r="D28" i="16"/>
  <c r="D29" i="16"/>
  <c r="D30" i="16"/>
  <c r="D27" i="14"/>
  <c r="D28" i="14"/>
  <c r="D29" i="14"/>
  <c r="D30" i="14"/>
  <c r="D27" i="17"/>
  <c r="D28" i="17"/>
  <c r="D29" i="17"/>
  <c r="D30" i="17"/>
  <c r="D27" i="18"/>
  <c r="D28" i="18"/>
  <c r="D29" i="18"/>
  <c r="D30" i="18"/>
  <c r="D27" i="19"/>
  <c r="D28" i="19"/>
  <c r="D29" i="19"/>
  <c r="D30" i="19"/>
  <c r="E31" i="22"/>
  <c r="E32" i="22"/>
  <c r="E33" i="22"/>
  <c r="E34" i="22"/>
  <c r="D27" i="20"/>
  <c r="D28" i="20"/>
  <c r="D29" i="20"/>
  <c r="D30" i="20"/>
  <c r="D27" i="21"/>
  <c r="D28" i="21"/>
  <c r="D29" i="21"/>
  <c r="D30" i="21"/>
  <c r="D16" i="12"/>
  <c r="E3" i="12"/>
  <c r="E4" i="12" s="1"/>
  <c r="D5" i="12"/>
  <c r="D9" i="12" s="1"/>
  <c r="E26" i="12"/>
  <c r="E27" i="12"/>
  <c r="E28" i="12"/>
  <c r="E29" i="12"/>
  <c r="E15" i="7"/>
  <c r="E3" i="15"/>
  <c r="E4" i="15"/>
  <c r="E15" i="15" s="1"/>
  <c r="F8" i="15" s="1"/>
  <c r="E8" i="15"/>
  <c r="E9" i="15"/>
  <c r="E10" i="15"/>
  <c r="E3" i="16"/>
  <c r="E7" i="16" s="1"/>
  <c r="E14" i="16" s="1"/>
  <c r="E8" i="16"/>
  <c r="E9" i="16"/>
  <c r="J95" i="40"/>
  <c r="E3" i="14" s="1"/>
  <c r="E7" i="14" s="1"/>
  <c r="E8" i="14"/>
  <c r="E9" i="14"/>
  <c r="J107" i="40"/>
  <c r="G26" i="8" s="1"/>
  <c r="E8" i="17"/>
  <c r="E9" i="17"/>
  <c r="J115" i="40"/>
  <c r="E3" i="18" s="1"/>
  <c r="E7" i="18" s="1"/>
  <c r="E8" i="18"/>
  <c r="E9" i="18"/>
  <c r="J125" i="40"/>
  <c r="E3" i="19" s="1"/>
  <c r="E8" i="19"/>
  <c r="E9" i="19"/>
  <c r="J128" i="40"/>
  <c r="E3" i="20"/>
  <c r="E7" i="20"/>
  <c r="E8" i="20"/>
  <c r="E9" i="20"/>
  <c r="J131" i="40"/>
  <c r="E3" i="21" s="1"/>
  <c r="E8" i="21"/>
  <c r="E9" i="21"/>
  <c r="J167" i="40"/>
  <c r="F3" i="22"/>
  <c r="F8" i="22" s="1"/>
  <c r="F16" i="22" s="1"/>
  <c r="F9" i="22"/>
  <c r="F10" i="22"/>
  <c r="E28" i="16"/>
  <c r="E29" i="16"/>
  <c r="E30" i="16"/>
  <c r="E28" i="14"/>
  <c r="E29" i="14"/>
  <c r="E30" i="14"/>
  <c r="E28" i="17"/>
  <c r="E29" i="17"/>
  <c r="E30" i="17"/>
  <c r="E28" i="18"/>
  <c r="E29" i="18"/>
  <c r="E30" i="18"/>
  <c r="E28" i="19"/>
  <c r="E29" i="19"/>
  <c r="E30" i="19"/>
  <c r="F32" i="22"/>
  <c r="F33" i="22"/>
  <c r="F34" i="22"/>
  <c r="E28" i="20"/>
  <c r="E29" i="20"/>
  <c r="E30" i="20"/>
  <c r="E28" i="21"/>
  <c r="E29" i="21"/>
  <c r="E30" i="21"/>
  <c r="E22" i="16"/>
  <c r="E23" i="16"/>
  <c r="E3" i="30"/>
  <c r="E22" i="30"/>
  <c r="E23" i="30"/>
  <c r="E14" i="14"/>
  <c r="E21" i="14" s="1"/>
  <c r="E35" i="14" s="1"/>
  <c r="E22" i="14"/>
  <c r="E23" i="14"/>
  <c r="E22" i="17"/>
  <c r="E23" i="17"/>
  <c r="E22" i="18"/>
  <c r="E23" i="18"/>
  <c r="E22" i="19"/>
  <c r="E23" i="19"/>
  <c r="I45" i="39"/>
  <c r="J45" i="39" s="1"/>
  <c r="K45" i="39" s="1"/>
  <c r="I48" i="39"/>
  <c r="J48" i="39" s="1"/>
  <c r="K48" i="39" s="1"/>
  <c r="F25" i="22"/>
  <c r="F26" i="22"/>
  <c r="E16" i="12"/>
  <c r="F3" i="12"/>
  <c r="F4" i="12" s="1"/>
  <c r="E17" i="12"/>
  <c r="E5" i="12"/>
  <c r="E10" i="12" s="1"/>
  <c r="F27" i="12"/>
  <c r="F28" i="12"/>
  <c r="F29" i="12"/>
  <c r="F15" i="7"/>
  <c r="F3" i="15"/>
  <c r="G3" i="15"/>
  <c r="F4" i="15"/>
  <c r="F9" i="15" s="1"/>
  <c r="F16" i="15" s="1"/>
  <c r="G4" i="15"/>
  <c r="F3" i="16"/>
  <c r="F8" i="16" s="1"/>
  <c r="G3" i="16"/>
  <c r="K95" i="40"/>
  <c r="F3" i="14" s="1"/>
  <c r="F8" i="14" s="1"/>
  <c r="L95" i="40"/>
  <c r="L132" i="40" s="1"/>
  <c r="G3" i="14"/>
  <c r="G9" i="14"/>
  <c r="G16" i="14" s="1"/>
  <c r="G23" i="14" s="1"/>
  <c r="G37" i="14" s="1"/>
  <c r="K107" i="40"/>
  <c r="F3" i="17"/>
  <c r="L107" i="40"/>
  <c r="I26" i="8" s="1"/>
  <c r="K115" i="40"/>
  <c r="F3" i="18" s="1"/>
  <c r="F8" i="18"/>
  <c r="F15" i="18" s="1"/>
  <c r="L115" i="40"/>
  <c r="G3" i="18"/>
  <c r="G9" i="18" s="1"/>
  <c r="K125" i="40"/>
  <c r="F3" i="19" s="1"/>
  <c r="L125" i="40"/>
  <c r="G3" i="19"/>
  <c r="K128" i="40"/>
  <c r="F3" i="20" s="1"/>
  <c r="F8" i="20" s="1"/>
  <c r="F15" i="20"/>
  <c r="G8" i="20" s="1"/>
  <c r="L128" i="40"/>
  <c r="G3" i="20" s="1"/>
  <c r="G9" i="20" s="1"/>
  <c r="K131" i="40"/>
  <c r="F3" i="21" s="1"/>
  <c r="F8" i="21" s="1"/>
  <c r="L131" i="40"/>
  <c r="G3" i="21"/>
  <c r="G9" i="21" s="1"/>
  <c r="G16" i="21" s="1"/>
  <c r="G23" i="21" s="1"/>
  <c r="G37" i="21" s="1"/>
  <c r="K167" i="40"/>
  <c r="G3" i="22" s="1"/>
  <c r="G9" i="22" s="1"/>
  <c r="G17" i="22" s="1"/>
  <c r="L167" i="40"/>
  <c r="H3" i="22" s="1"/>
  <c r="H10" i="22"/>
  <c r="H18" i="22" s="1"/>
  <c r="H26" i="22" s="1"/>
  <c r="H42" i="22" s="1"/>
  <c r="G30" i="16"/>
  <c r="G30" i="14"/>
  <c r="G30" i="17"/>
  <c r="G30" i="18"/>
  <c r="G30" i="19"/>
  <c r="H34" i="22"/>
  <c r="G30" i="20"/>
  <c r="G30" i="21"/>
  <c r="F3" i="30"/>
  <c r="G3" i="30"/>
  <c r="G9" i="30"/>
  <c r="G16" i="30" s="1"/>
  <c r="G23" i="30" s="1"/>
  <c r="G37" i="30" s="1"/>
  <c r="F16" i="12"/>
  <c r="G16" i="12"/>
  <c r="H3" i="12"/>
  <c r="H4" i="12" s="1"/>
  <c r="F17" i="12"/>
  <c r="G17" i="12"/>
  <c r="F18" i="12"/>
  <c r="G18" i="12"/>
  <c r="F5" i="12"/>
  <c r="F11" i="12"/>
  <c r="G19" i="12"/>
  <c r="G5" i="12"/>
  <c r="G12" i="12"/>
  <c r="H29" i="12"/>
  <c r="H15" i="7"/>
  <c r="F10" i="15"/>
  <c r="F9" i="16"/>
  <c r="F9" i="14"/>
  <c r="F9" i="17"/>
  <c r="F9" i="18"/>
  <c r="F9" i="19"/>
  <c r="F9" i="20"/>
  <c r="F9" i="21"/>
  <c r="G10" i="22"/>
  <c r="F29" i="16"/>
  <c r="F30" i="16"/>
  <c r="F29" i="14"/>
  <c r="F30" i="14"/>
  <c r="F29" i="17"/>
  <c r="F30" i="17"/>
  <c r="F29" i="18"/>
  <c r="F30" i="18"/>
  <c r="F29" i="19"/>
  <c r="F30" i="19"/>
  <c r="G33" i="22"/>
  <c r="G34" i="22"/>
  <c r="F29" i="20"/>
  <c r="F30" i="20"/>
  <c r="F29" i="21"/>
  <c r="F30" i="21"/>
  <c r="F23" i="16"/>
  <c r="F23" i="30"/>
  <c r="F23" i="14"/>
  <c r="F23" i="17"/>
  <c r="F23" i="18"/>
  <c r="F23" i="19"/>
  <c r="G26" i="22"/>
  <c r="G3" i="12"/>
  <c r="G4" i="12" s="1"/>
  <c r="G28" i="12"/>
  <c r="G29" i="12"/>
  <c r="G15" i="7"/>
  <c r="E31" i="23"/>
  <c r="H5" i="12"/>
  <c r="I37" i="8" s="1"/>
  <c r="H16" i="12"/>
  <c r="H17" i="12"/>
  <c r="H18" i="12"/>
  <c r="H19" i="12"/>
  <c r="H20" i="12"/>
  <c r="H21" i="12"/>
  <c r="I41" i="8"/>
  <c r="I42" i="8"/>
  <c r="F23" i="20"/>
  <c r="F23" i="21"/>
  <c r="E22" i="20"/>
  <c r="E23" i="20"/>
  <c r="E22" i="21"/>
  <c r="E23" i="21"/>
  <c r="J26" i="42"/>
  <c r="I16" i="8"/>
  <c r="J33" i="42"/>
  <c r="I19" i="8" s="1"/>
  <c r="J35" i="42"/>
  <c r="I20" i="8" s="1"/>
  <c r="I22" i="8"/>
  <c r="I23" i="8"/>
  <c r="I24" i="8"/>
  <c r="I25" i="8"/>
  <c r="I27" i="8"/>
  <c r="I28" i="8"/>
  <c r="L172" i="40"/>
  <c r="I31" i="8"/>
  <c r="I33" i="8"/>
  <c r="H37" i="8"/>
  <c r="G20" i="12"/>
  <c r="G21" i="12"/>
  <c r="H41" i="8"/>
  <c r="H42" i="8"/>
  <c r="D21" i="20"/>
  <c r="D22" i="20"/>
  <c r="D23" i="20"/>
  <c r="D21" i="21"/>
  <c r="D22" i="21"/>
  <c r="D23" i="21"/>
  <c r="I26" i="42"/>
  <c r="H16" i="8"/>
  <c r="I33" i="42"/>
  <c r="H19" i="8"/>
  <c r="I35" i="42"/>
  <c r="H20" i="8" s="1"/>
  <c r="H22" i="8"/>
  <c r="H23" i="8"/>
  <c r="H24" i="8"/>
  <c r="H26" i="8"/>
  <c r="H27" i="8"/>
  <c r="K172" i="40"/>
  <c r="H31" i="8" s="1"/>
  <c r="H33" i="8"/>
  <c r="G37" i="8"/>
  <c r="F19" i="12"/>
  <c r="F20" i="12"/>
  <c r="F21" i="12"/>
  <c r="G41" i="8"/>
  <c r="G42" i="8"/>
  <c r="H26" i="42"/>
  <c r="G16" i="8"/>
  <c r="H33" i="42"/>
  <c r="G19" i="8" s="1"/>
  <c r="H35" i="42"/>
  <c r="G20" i="8" s="1"/>
  <c r="G22" i="8"/>
  <c r="G23" i="8"/>
  <c r="G24" i="8"/>
  <c r="G27" i="8"/>
  <c r="G28" i="8"/>
  <c r="J172" i="40"/>
  <c r="G31" i="8"/>
  <c r="G33" i="8"/>
  <c r="F37" i="8"/>
  <c r="E18" i="12"/>
  <c r="E19" i="12"/>
  <c r="E20" i="12"/>
  <c r="E21" i="12"/>
  <c r="F41" i="8"/>
  <c r="F42" i="8"/>
  <c r="G26" i="42"/>
  <c r="F16" i="8"/>
  <c r="G33" i="42"/>
  <c r="F19" i="8"/>
  <c r="G35" i="42"/>
  <c r="F20" i="8" s="1"/>
  <c r="F22" i="8"/>
  <c r="F23" i="8"/>
  <c r="F24" i="8"/>
  <c r="F26" i="8"/>
  <c r="F27" i="8"/>
  <c r="F28" i="8"/>
  <c r="I172" i="40"/>
  <c r="F31" i="8" s="1"/>
  <c r="E9" i="8"/>
  <c r="E16" i="8"/>
  <c r="F33" i="42"/>
  <c r="E19" i="8"/>
  <c r="F35" i="42"/>
  <c r="E20" i="8"/>
  <c r="E22" i="8"/>
  <c r="E23" i="8"/>
  <c r="E24" i="8"/>
  <c r="E26" i="8"/>
  <c r="E27" i="8"/>
  <c r="E28" i="8"/>
  <c r="H172" i="40"/>
  <c r="E31" i="8" s="1"/>
  <c r="E37" i="8"/>
  <c r="D17" i="12"/>
  <c r="D18" i="12"/>
  <c r="D19" i="12"/>
  <c r="D20" i="12"/>
  <c r="D21" i="12"/>
  <c r="E41" i="8"/>
  <c r="E42" i="8"/>
  <c r="C9" i="12"/>
  <c r="C10" i="12"/>
  <c r="C11" i="12"/>
  <c r="C12" i="12"/>
  <c r="C13" i="12"/>
  <c r="D50" i="6"/>
  <c r="C14" i="22"/>
  <c r="C15" i="22"/>
  <c r="C16" i="22"/>
  <c r="C17" i="22"/>
  <c r="C18" i="22"/>
  <c r="D14" i="6"/>
  <c r="D16" i="6" s="1"/>
  <c r="D42" i="6"/>
  <c r="I11" i="6"/>
  <c r="F21" i="4"/>
  <c r="F42" i="24"/>
  <c r="D48" i="24" s="1"/>
  <c r="D49" i="24" s="1"/>
  <c r="I35" i="25"/>
  <c r="I41" i="25"/>
  <c r="I47" i="25"/>
  <c r="I53" i="25"/>
  <c r="I59" i="25"/>
  <c r="I67" i="25"/>
  <c r="H35" i="25"/>
  <c r="H41" i="25"/>
  <c r="H47" i="25"/>
  <c r="H53" i="25"/>
  <c r="H59" i="25"/>
  <c r="H67" i="25"/>
  <c r="G35" i="25"/>
  <c r="G41" i="25"/>
  <c r="G47" i="25"/>
  <c r="G53" i="25"/>
  <c r="G56" i="25"/>
  <c r="G59" i="25"/>
  <c r="G67" i="25"/>
  <c r="F23" i="25"/>
  <c r="F29" i="25"/>
  <c r="F35" i="25"/>
  <c r="F41" i="25"/>
  <c r="F47" i="25"/>
  <c r="F53" i="25"/>
  <c r="F59" i="25"/>
  <c r="F67" i="25"/>
  <c r="E5" i="25"/>
  <c r="E11" i="25"/>
  <c r="E17" i="25"/>
  <c r="E23" i="25"/>
  <c r="E29" i="25"/>
  <c r="E32" i="25" s="1"/>
  <c r="E33" i="25"/>
  <c r="E35" i="25"/>
  <c r="E38" i="25" s="1"/>
  <c r="E41" i="25"/>
  <c r="E47" i="25"/>
  <c r="E53" i="25"/>
  <c r="E59" i="25"/>
  <c r="E67" i="25"/>
  <c r="G39" i="39"/>
  <c r="H39" i="39" s="1"/>
  <c r="I39" i="39" s="1"/>
  <c r="J39" i="39" s="1"/>
  <c r="K39" i="39" s="1"/>
  <c r="E18" i="39"/>
  <c r="E46" i="39"/>
  <c r="E55" i="39"/>
  <c r="C21" i="39"/>
  <c r="I18" i="39"/>
  <c r="H18" i="39"/>
  <c r="G18" i="39"/>
  <c r="F18" i="39"/>
  <c r="C22" i="39"/>
  <c r="C23" i="39"/>
  <c r="C24" i="39"/>
  <c r="C25" i="39"/>
  <c r="C26" i="39"/>
  <c r="C27" i="39"/>
  <c r="C28" i="39"/>
  <c r="C29" i="39"/>
  <c r="C30" i="39"/>
  <c r="E7" i="39"/>
  <c r="F7" i="39"/>
  <c r="G7" i="39" s="1"/>
  <c r="H7" i="39" s="1"/>
  <c r="I7" i="39" s="1"/>
  <c r="G19" i="39"/>
  <c r="H19" i="39" s="1"/>
  <c r="I19" i="39" s="1"/>
  <c r="J19" i="39" s="1"/>
  <c r="K19" i="39" s="1"/>
  <c r="F31" i="39"/>
  <c r="D2" i="25"/>
  <c r="E2" i="25" s="1"/>
  <c r="F2" i="25" s="1"/>
  <c r="G2" i="25" s="1"/>
  <c r="H2" i="25" s="1"/>
  <c r="I2" i="25" s="1"/>
  <c r="F51" i="5"/>
  <c r="D2" i="23"/>
  <c r="E2" i="23"/>
  <c r="F2" i="23"/>
  <c r="G2" i="23" s="1"/>
  <c r="H2" i="23" s="1"/>
  <c r="I2" i="23" s="1"/>
  <c r="D2" i="8"/>
  <c r="E2" i="8"/>
  <c r="F2" i="8" s="1"/>
  <c r="G2" i="8" s="1"/>
  <c r="H2" i="8" s="1"/>
  <c r="I2" i="8" s="1"/>
  <c r="D2" i="6"/>
  <c r="E2" i="6"/>
  <c r="F2" i="6"/>
  <c r="G2" i="6" s="1"/>
  <c r="H2" i="6" s="1"/>
  <c r="I2" i="6" s="1"/>
  <c r="J2" i="6" s="1"/>
  <c r="K2" i="6" s="1"/>
  <c r="L2" i="6" s="1"/>
  <c r="M2" i="6" s="1"/>
  <c r="N2" i="6" s="1"/>
  <c r="O2" i="6" s="1"/>
  <c r="P2" i="6" s="1"/>
  <c r="Q2" i="6" s="1"/>
  <c r="R2" i="6" s="1"/>
  <c r="S2" i="6" s="1"/>
  <c r="T2" i="6" s="1"/>
  <c r="U2" i="6" s="1"/>
  <c r="V2" i="6" s="1"/>
  <c r="W2" i="6" s="1"/>
  <c r="X2" i="6" s="1"/>
  <c r="Y2" i="6" s="1"/>
  <c r="Z2" i="6" s="1"/>
  <c r="AA2" i="6" s="1"/>
  <c r="AB2" i="6" s="1"/>
  <c r="AC2" i="6" s="1"/>
  <c r="AD2" i="6" s="1"/>
  <c r="AE2" i="6" s="1"/>
  <c r="AF2" i="6" s="1"/>
  <c r="AG2" i="6" s="1"/>
  <c r="AH2" i="6" s="1"/>
  <c r="AI2" i="6" s="1"/>
  <c r="AJ2" i="6" s="1"/>
  <c r="AK2" i="6" s="1"/>
  <c r="AL2" i="6" s="1"/>
  <c r="AM2" i="6" s="1"/>
  <c r="AN2" i="6" s="1"/>
  <c r="AO2" i="6" s="1"/>
  <c r="AP2" i="6" s="1"/>
  <c r="AQ2" i="6" s="1"/>
  <c r="AR2" i="6" s="1"/>
  <c r="AS2" i="6" s="1"/>
  <c r="AT2" i="6" s="1"/>
  <c r="AU2" i="6" s="1"/>
  <c r="AV2" i="6" s="1"/>
  <c r="AW2" i="6" s="1"/>
  <c r="AX2" i="6" s="1"/>
  <c r="AY2" i="6" s="1"/>
  <c r="AZ2" i="6" s="1"/>
  <c r="BA2" i="6" s="1"/>
  <c r="BB2" i="6" s="1"/>
  <c r="BC2" i="6" s="1"/>
  <c r="BD2" i="6" s="1"/>
  <c r="BE2" i="6" s="1"/>
  <c r="BF2" i="6" s="1"/>
  <c r="BG2" i="6" s="1"/>
  <c r="BH2" i="6" s="1"/>
  <c r="BI2" i="6" s="1"/>
  <c r="BJ2" i="6" s="1"/>
  <c r="BK2" i="6" s="1"/>
  <c r="BL2" i="6" s="1"/>
  <c r="BM2" i="6" s="1"/>
  <c r="BN2" i="6" s="1"/>
  <c r="BO2" i="6" s="1"/>
  <c r="BP2" i="6" s="1"/>
  <c r="BQ2" i="6" s="1"/>
  <c r="BR2" i="6" s="1"/>
  <c r="BS2" i="6" s="1"/>
  <c r="BT2" i="6" s="1"/>
  <c r="BU2" i="6" s="1"/>
  <c r="BV2" i="6" s="1"/>
  <c r="BW2" i="6" s="1"/>
  <c r="BX2" i="6" s="1"/>
  <c r="BY2" i="6" s="1"/>
  <c r="BZ2" i="6" s="1"/>
  <c r="CA2" i="6" s="1"/>
  <c r="CB2" i="6" s="1"/>
  <c r="CC2" i="6" s="1"/>
  <c r="CD2" i="6" s="1"/>
  <c r="CE2" i="6" s="1"/>
  <c r="CF2" i="6" s="1"/>
  <c r="CG2" i="6" s="1"/>
  <c r="CH2" i="6" s="1"/>
  <c r="CI2" i="6" s="1"/>
  <c r="CJ2" i="6" s="1"/>
  <c r="CK2" i="6" s="1"/>
  <c r="CL2" i="6" s="1"/>
  <c r="CM2" i="6" s="1"/>
  <c r="CN2" i="6" s="1"/>
  <c r="CO2" i="6" s="1"/>
  <c r="CP2" i="6" s="1"/>
  <c r="CQ2" i="6" s="1"/>
  <c r="CR2" i="6" s="1"/>
  <c r="CS2" i="6" s="1"/>
  <c r="CT2" i="6" s="1"/>
  <c r="CU2" i="6" s="1"/>
  <c r="CV2" i="6" s="1"/>
  <c r="CW2" i="6" s="1"/>
  <c r="CX2" i="6" s="1"/>
  <c r="CY2" i="6" s="1"/>
  <c r="CZ2" i="6" s="1"/>
  <c r="DA2" i="6" s="1"/>
  <c r="DB2" i="6" s="1"/>
  <c r="DC2" i="6" s="1"/>
  <c r="DD2" i="6" s="1"/>
  <c r="DE2" i="6" s="1"/>
  <c r="DF2" i="6" s="1"/>
  <c r="DG2" i="6" s="1"/>
  <c r="DH2" i="6" s="1"/>
  <c r="DI2" i="6" s="1"/>
  <c r="DJ2" i="6" s="1"/>
  <c r="DK2" i="6" s="1"/>
  <c r="DL2" i="6" s="1"/>
  <c r="DM2" i="6" s="1"/>
  <c r="DN2" i="6" s="1"/>
  <c r="DO2" i="6" s="1"/>
  <c r="DP2" i="6" s="1"/>
  <c r="DQ2" i="6" s="1"/>
  <c r="DR2" i="6" s="1"/>
  <c r="DS2" i="6" s="1"/>
  <c r="DT2" i="6" s="1"/>
  <c r="DU2" i="6" s="1"/>
  <c r="DV2" i="6" s="1"/>
  <c r="DW2" i="6" s="1"/>
  <c r="DX2" i="6" s="1"/>
  <c r="DY2" i="6" s="1"/>
  <c r="DZ2" i="6" s="1"/>
  <c r="EA2" i="6" s="1"/>
  <c r="EB2" i="6" s="1"/>
  <c r="EC2" i="6" s="1"/>
  <c r="ED2" i="6" s="1"/>
  <c r="EE2" i="6" s="1"/>
  <c r="EF2" i="6" s="1"/>
  <c r="EG2" i="6" s="1"/>
  <c r="EH2" i="6" s="1"/>
  <c r="EI2" i="6" s="1"/>
  <c r="EJ2" i="6" s="1"/>
  <c r="EK2" i="6" s="1"/>
  <c r="EL2" i="6" s="1"/>
  <c r="EM2" i="6" s="1"/>
  <c r="EN2" i="6" s="1"/>
  <c r="EO2" i="6" s="1"/>
  <c r="EP2" i="6" s="1"/>
  <c r="EQ2" i="6" s="1"/>
  <c r="ER2" i="6" s="1"/>
  <c r="ES2" i="6" s="1"/>
  <c r="ET2" i="6" s="1"/>
  <c r="EU2" i="6" s="1"/>
  <c r="EV2" i="6" s="1"/>
  <c r="EW2" i="6" s="1"/>
  <c r="EX2" i="6" s="1"/>
  <c r="EY2" i="6" s="1"/>
  <c r="EZ2" i="6" s="1"/>
  <c r="FA2" i="6" s="1"/>
  <c r="FB2" i="6" s="1"/>
  <c r="FC2" i="6" s="1"/>
  <c r="FD2" i="6" s="1"/>
  <c r="FE2" i="6" s="1"/>
  <c r="FF2" i="6" s="1"/>
  <c r="FG2" i="6" s="1"/>
  <c r="FH2" i="6" s="1"/>
  <c r="FI2" i="6" s="1"/>
  <c r="FJ2" i="6" s="1"/>
  <c r="FK2" i="6" s="1"/>
  <c r="FL2" i="6" s="1"/>
  <c r="FM2" i="6" s="1"/>
  <c r="FN2" i="6" s="1"/>
  <c r="FO2" i="6" s="1"/>
  <c r="FP2" i="6" s="1"/>
  <c r="FQ2" i="6" s="1"/>
  <c r="FR2" i="6" s="1"/>
  <c r="FS2" i="6" s="1"/>
  <c r="FT2" i="6" s="1"/>
  <c r="FU2" i="6" s="1"/>
  <c r="FV2" i="6" s="1"/>
  <c r="FW2" i="6" s="1"/>
  <c r="FX2" i="6" s="1"/>
  <c r="FY2" i="6" s="1"/>
  <c r="FZ2" i="6" s="1"/>
  <c r="GA2" i="6" s="1"/>
  <c r="GB2" i="6" s="1"/>
  <c r="GC2" i="6" s="1"/>
  <c r="GD2" i="6" s="1"/>
  <c r="GE2" i="6" s="1"/>
  <c r="GF2" i="6" s="1"/>
  <c r="GG2" i="6" s="1"/>
  <c r="GH2" i="6" s="1"/>
  <c r="GI2" i="6" s="1"/>
  <c r="GJ2" i="6" s="1"/>
  <c r="GK2" i="6" s="1"/>
  <c r="GL2" i="6" s="1"/>
  <c r="GM2" i="6" s="1"/>
  <c r="GN2" i="6" s="1"/>
  <c r="GO2" i="6" s="1"/>
  <c r="GP2" i="6" s="1"/>
  <c r="GQ2" i="6" s="1"/>
  <c r="GR2" i="6" s="1"/>
  <c r="GS2" i="6" s="1"/>
  <c r="GT2" i="6" s="1"/>
  <c r="GU2" i="6" s="1"/>
  <c r="GV2" i="6" s="1"/>
  <c r="GW2" i="6" s="1"/>
  <c r="GX2" i="6" s="1"/>
  <c r="GY2" i="6" s="1"/>
  <c r="GZ2" i="6" s="1"/>
  <c r="HA2" i="6" s="1"/>
  <c r="HB2" i="6" s="1"/>
  <c r="HC2" i="6" s="1"/>
  <c r="HD2" i="6" s="1"/>
  <c r="HE2" i="6" s="1"/>
  <c r="HF2" i="6" s="1"/>
  <c r="HG2" i="6" s="1"/>
  <c r="HH2" i="6" s="1"/>
  <c r="HI2" i="6" s="1"/>
  <c r="HJ2" i="6" s="1"/>
  <c r="HK2" i="6" s="1"/>
  <c r="HL2" i="6" s="1"/>
  <c r="HM2" i="6" s="1"/>
  <c r="HN2" i="6" s="1"/>
  <c r="HO2" i="6" s="1"/>
  <c r="HP2" i="6" s="1"/>
  <c r="HQ2" i="6" s="1"/>
  <c r="HR2" i="6" s="1"/>
  <c r="HS2" i="6" s="1"/>
  <c r="HT2" i="6" s="1"/>
  <c r="HU2" i="6" s="1"/>
  <c r="HV2" i="6" s="1"/>
  <c r="HW2" i="6" s="1"/>
  <c r="HX2" i="6" s="1"/>
  <c r="HY2" i="6" s="1"/>
  <c r="HZ2" i="6" s="1"/>
  <c r="IA2" i="6" s="1"/>
  <c r="IB2" i="6" s="1"/>
  <c r="IC2" i="6" s="1"/>
  <c r="ID2" i="6" s="1"/>
  <c r="IE2" i="6" s="1"/>
  <c r="IF2" i="6" s="1"/>
  <c r="IG2" i="6" s="1"/>
  <c r="IH2" i="6" s="1"/>
  <c r="II2" i="6" s="1"/>
  <c r="IJ2" i="6" s="1"/>
  <c r="IK2" i="6" s="1"/>
  <c r="IL2" i="6" s="1"/>
  <c r="IM2" i="6" s="1"/>
  <c r="IN2" i="6" s="1"/>
  <c r="IO2" i="6" s="1"/>
  <c r="IP2" i="6" s="1"/>
  <c r="IQ2" i="6" s="1"/>
  <c r="IR2" i="6" s="1"/>
  <c r="IS2" i="6" s="1"/>
  <c r="IT2" i="6" s="1"/>
  <c r="IU2" i="6" s="1"/>
  <c r="IV2" i="6" s="1"/>
  <c r="D1" i="7"/>
  <c r="E1" i="7"/>
  <c r="F1" i="7" s="1"/>
  <c r="G1" i="7" s="1"/>
  <c r="H1" i="7" s="1"/>
  <c r="G76" i="39"/>
  <c r="G59" i="39"/>
  <c r="F4" i="32"/>
  <c r="F47" i="6"/>
  <c r="E47" i="6"/>
  <c r="D10" i="12"/>
  <c r="D11" i="12"/>
  <c r="D12" i="12"/>
  <c r="D13" i="12"/>
  <c r="E49" i="6"/>
  <c r="F83" i="4"/>
  <c r="G83" i="4" s="1"/>
  <c r="E11" i="12"/>
  <c r="E12" i="12"/>
  <c r="E13" i="12"/>
  <c r="F49" i="6"/>
  <c r="G47" i="6"/>
  <c r="F12" i="12"/>
  <c r="F13" i="12"/>
  <c r="G49" i="6"/>
  <c r="H47" i="6"/>
  <c r="G13" i="12"/>
  <c r="H49" i="6"/>
  <c r="I47" i="6"/>
  <c r="H13" i="12"/>
  <c r="I49" i="6"/>
  <c r="F46" i="39"/>
  <c r="G32" i="31"/>
  <c r="F32" i="31"/>
  <c r="C15" i="32"/>
  <c r="C14" i="32"/>
  <c r="C13" i="32"/>
  <c r="C12" i="32"/>
  <c r="C11" i="32"/>
  <c r="C10" i="32"/>
  <c r="C9" i="32"/>
  <c r="C8" i="32"/>
  <c r="C7" i="32"/>
  <c r="G33" i="28"/>
  <c r="C67" i="25"/>
  <c r="C6" i="32"/>
  <c r="G51" i="5"/>
  <c r="H51" i="5"/>
  <c r="I51" i="5"/>
  <c r="J51" i="5"/>
  <c r="I41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40" i="24"/>
  <c r="I26" i="24"/>
  <c r="I19" i="24"/>
  <c r="I21" i="24"/>
  <c r="I20" i="24"/>
  <c r="I18" i="24"/>
  <c r="I17" i="24"/>
  <c r="I11" i="24"/>
  <c r="I12" i="24"/>
  <c r="I13" i="24"/>
  <c r="I14" i="24"/>
  <c r="I10" i="24"/>
  <c r="I9" i="24"/>
  <c r="I8" i="24"/>
  <c r="F11" i="6"/>
  <c r="G11" i="6"/>
  <c r="H11" i="6"/>
  <c r="F10" i="23"/>
  <c r="G10" i="23"/>
  <c r="H10" i="23"/>
  <c r="I10" i="23"/>
  <c r="E10" i="23"/>
  <c r="F13" i="23"/>
  <c r="G13" i="23"/>
  <c r="H13" i="23"/>
  <c r="I13" i="23"/>
  <c r="E13" i="23"/>
  <c r="F12" i="23"/>
  <c r="G12" i="23"/>
  <c r="H12" i="23"/>
  <c r="I12" i="23"/>
  <c r="E12" i="23"/>
  <c r="E24" i="24"/>
  <c r="F24" i="24"/>
  <c r="G24" i="24"/>
  <c r="H26" i="24"/>
  <c r="H27" i="24"/>
  <c r="H28" i="24"/>
  <c r="H32" i="24"/>
  <c r="H33" i="24"/>
  <c r="H34" i="24"/>
  <c r="H35" i="24"/>
  <c r="H36" i="24"/>
  <c r="H37" i="24"/>
  <c r="H39" i="24"/>
  <c r="D24" i="24"/>
  <c r="H19" i="24"/>
  <c r="H20" i="24"/>
  <c r="H8" i="24"/>
  <c r="H9" i="24"/>
  <c r="H10" i="24"/>
  <c r="H13" i="24"/>
  <c r="E42" i="6"/>
  <c r="F42" i="6"/>
  <c r="G42" i="6"/>
  <c r="H42" i="6"/>
  <c r="I42" i="6"/>
  <c r="E3" i="28"/>
  <c r="F3" i="28"/>
  <c r="G3" i="28" s="1"/>
  <c r="H3" i="28" s="1"/>
  <c r="I3" i="28" s="1"/>
  <c r="J3" i="28" s="1"/>
  <c r="E11" i="6"/>
  <c r="C13" i="14"/>
  <c r="C14" i="14"/>
  <c r="C15" i="14"/>
  <c r="C16" i="14"/>
  <c r="C34" i="14"/>
  <c r="C35" i="14"/>
  <c r="C36" i="14"/>
  <c r="C37" i="14"/>
  <c r="D14" i="14"/>
  <c r="D15" i="14"/>
  <c r="D16" i="14"/>
  <c r="D35" i="14"/>
  <c r="D36" i="14"/>
  <c r="D37" i="14"/>
  <c r="E15" i="14"/>
  <c r="E16" i="14"/>
  <c r="E36" i="14"/>
  <c r="E37" i="14"/>
  <c r="F26" i="42"/>
  <c r="E3" i="42"/>
  <c r="F3" i="42"/>
  <c r="G3" i="42" s="1"/>
  <c r="H3" i="42" s="1"/>
  <c r="I3" i="42" s="1"/>
  <c r="J3" i="42" s="1"/>
  <c r="I132" i="40"/>
  <c r="J132" i="40"/>
  <c r="K132" i="40"/>
  <c r="F4" i="5"/>
  <c r="G4" i="5" s="1"/>
  <c r="H4" i="5" s="1"/>
  <c r="I4" i="5" s="1"/>
  <c r="J4" i="5" s="1"/>
  <c r="E3" i="31"/>
  <c r="F3" i="31"/>
  <c r="G3" i="31"/>
  <c r="H3" i="31" s="1"/>
  <c r="I3" i="31" s="1"/>
  <c r="J3" i="31" s="1"/>
  <c r="C8" i="31"/>
  <c r="C9" i="31"/>
  <c r="C10" i="31"/>
  <c r="C11" i="31"/>
  <c r="C12" i="31"/>
  <c r="C13" i="31"/>
  <c r="C14" i="31"/>
  <c r="C15" i="31"/>
  <c r="C16" i="31"/>
  <c r="C17" i="31"/>
  <c r="C19" i="31"/>
  <c r="C20" i="31"/>
  <c r="C21" i="31"/>
  <c r="C22" i="31"/>
  <c r="C23" i="31"/>
  <c r="C24" i="31"/>
  <c r="C25" i="31"/>
  <c r="C26" i="31"/>
  <c r="C27" i="31"/>
  <c r="C28" i="31"/>
  <c r="G4" i="32"/>
  <c r="H4" i="32" s="1"/>
  <c r="I4" i="32" s="1"/>
  <c r="J4" i="32" s="1"/>
  <c r="H59" i="39"/>
  <c r="I59" i="39"/>
  <c r="J59" i="39"/>
  <c r="K59" i="39" s="1"/>
  <c r="H76" i="39"/>
  <c r="I76" i="39" s="1"/>
  <c r="J76" i="39" s="1"/>
  <c r="K76" i="39"/>
  <c r="G3" i="40"/>
  <c r="H3" i="40" s="1"/>
  <c r="I3" i="40" s="1"/>
  <c r="J3" i="40" s="1"/>
  <c r="K3" i="40" s="1"/>
  <c r="L3" i="40" s="1"/>
  <c r="G6" i="40"/>
  <c r="H7" i="40" s="1"/>
  <c r="G9" i="40"/>
  <c r="H10" i="40" s="1"/>
  <c r="H12" i="40"/>
  <c r="G16" i="40"/>
  <c r="H17" i="40" s="1"/>
  <c r="H19" i="40"/>
  <c r="H26" i="40"/>
  <c r="H33" i="40"/>
  <c r="G37" i="40"/>
  <c r="H38" i="40"/>
  <c r="H40" i="40"/>
  <c r="H47" i="40"/>
  <c r="G51" i="40"/>
  <c r="H52" i="40"/>
  <c r="H51" i="40" s="1"/>
  <c r="H54" i="40"/>
  <c r="G58" i="40"/>
  <c r="H58" i="40" s="1"/>
  <c r="H59" i="40"/>
  <c r="H61" i="40"/>
  <c r="G69" i="40"/>
  <c r="H69" i="40"/>
  <c r="I69" i="40"/>
  <c r="J69" i="40"/>
  <c r="K69" i="40"/>
  <c r="L69" i="40"/>
  <c r="I168" i="40"/>
  <c r="J168" i="40"/>
  <c r="K168" i="40"/>
  <c r="L168" i="40"/>
  <c r="E4" i="4"/>
  <c r="F4" i="4" s="1"/>
  <c r="G4" i="4" s="1"/>
  <c r="H4" i="4" s="1"/>
  <c r="I4" i="4" s="1"/>
  <c r="J4" i="4" s="1"/>
  <c r="D6" i="24"/>
  <c r="E6" i="24"/>
  <c r="F6" i="24"/>
  <c r="G6" i="24"/>
  <c r="D15" i="24"/>
  <c r="E15" i="24"/>
  <c r="F15" i="24"/>
  <c r="G15" i="24"/>
  <c r="E42" i="24"/>
  <c r="G42" i="24"/>
  <c r="C4" i="25"/>
  <c r="C5" i="25"/>
  <c r="C6" i="25"/>
  <c r="C8" i="25"/>
  <c r="C9" i="25"/>
  <c r="C10" i="25"/>
  <c r="C11" i="25"/>
  <c r="C12" i="25"/>
  <c r="C14" i="25"/>
  <c r="C15" i="25"/>
  <c r="C16" i="25"/>
  <c r="C17" i="25"/>
  <c r="C18" i="25"/>
  <c r="C20" i="25"/>
  <c r="C21" i="25"/>
  <c r="C22" i="25"/>
  <c r="C23" i="25"/>
  <c r="C24" i="25"/>
  <c r="C26" i="25"/>
  <c r="C27" i="25"/>
  <c r="C28" i="25"/>
  <c r="C29" i="25"/>
  <c r="C30" i="25"/>
  <c r="C32" i="25"/>
  <c r="C33" i="25"/>
  <c r="C34" i="25"/>
  <c r="C35" i="25"/>
  <c r="C36" i="25"/>
  <c r="J37" i="25"/>
  <c r="C38" i="25"/>
  <c r="F38" i="25"/>
  <c r="G38" i="25"/>
  <c r="H38" i="25"/>
  <c r="I38" i="25"/>
  <c r="C39" i="25"/>
  <c r="E39" i="25"/>
  <c r="F39" i="25"/>
  <c r="G39" i="25"/>
  <c r="H39" i="25"/>
  <c r="I39" i="25"/>
  <c r="C40" i="25"/>
  <c r="C41" i="25"/>
  <c r="C42" i="25"/>
  <c r="C44" i="25"/>
  <c r="F44" i="25"/>
  <c r="G44" i="25"/>
  <c r="H44" i="25"/>
  <c r="I44" i="25"/>
  <c r="C45" i="25"/>
  <c r="F45" i="25"/>
  <c r="G45" i="25"/>
  <c r="H45" i="25"/>
  <c r="I45" i="25"/>
  <c r="C46" i="25"/>
  <c r="C47" i="25"/>
  <c r="C48" i="25"/>
  <c r="C50" i="25"/>
  <c r="F50" i="25"/>
  <c r="G50" i="25"/>
  <c r="H50" i="25"/>
  <c r="I50" i="25"/>
  <c r="C51" i="25"/>
  <c r="F51" i="25"/>
  <c r="G51" i="25"/>
  <c r="H51" i="25"/>
  <c r="I51" i="25"/>
  <c r="C52" i="25"/>
  <c r="C53" i="25"/>
  <c r="C54" i="25"/>
  <c r="C56" i="25"/>
  <c r="E56" i="25"/>
  <c r="F56" i="25"/>
  <c r="F57" i="25"/>
  <c r="G57" i="25"/>
  <c r="H56" i="25"/>
  <c r="I56" i="25"/>
  <c r="C57" i="25"/>
  <c r="E57" i="25"/>
  <c r="H57" i="25"/>
  <c r="I57" i="25"/>
  <c r="C58" i="25"/>
  <c r="C59" i="25"/>
  <c r="C60" i="25"/>
  <c r="C62" i="25"/>
  <c r="E62" i="25"/>
  <c r="F62" i="25"/>
  <c r="G62" i="25"/>
  <c r="H62" i="25"/>
  <c r="I62" i="25"/>
  <c r="C63" i="25"/>
  <c r="E63" i="25"/>
  <c r="F63" i="25"/>
  <c r="G63" i="25"/>
  <c r="H63" i="25"/>
  <c r="I63" i="25"/>
  <c r="C64" i="25"/>
  <c r="C65" i="25"/>
  <c r="C66" i="25"/>
  <c r="C68" i="25"/>
  <c r="C69" i="25"/>
  <c r="C14" i="15"/>
  <c r="C15" i="15"/>
  <c r="C16" i="15"/>
  <c r="C17" i="15"/>
  <c r="D15" i="15"/>
  <c r="D16" i="15"/>
  <c r="D17" i="15"/>
  <c r="E16" i="15"/>
  <c r="E17" i="15"/>
  <c r="F17" i="15"/>
  <c r="C13" i="16"/>
  <c r="C14" i="16"/>
  <c r="C15" i="16"/>
  <c r="C16" i="16"/>
  <c r="D14" i="16"/>
  <c r="D15" i="16"/>
  <c r="D16" i="16"/>
  <c r="E15" i="16"/>
  <c r="E16" i="16"/>
  <c r="F16" i="16"/>
  <c r="C34" i="16"/>
  <c r="C35" i="16"/>
  <c r="C36" i="16"/>
  <c r="C37" i="16"/>
  <c r="D35" i="16"/>
  <c r="D36" i="16"/>
  <c r="D37" i="16"/>
  <c r="E36" i="16"/>
  <c r="E37" i="16"/>
  <c r="F37" i="16"/>
  <c r="C13" i="30"/>
  <c r="C14" i="30"/>
  <c r="C15" i="30"/>
  <c r="C16" i="30"/>
  <c r="D14" i="30"/>
  <c r="D15" i="30"/>
  <c r="D16" i="30"/>
  <c r="E15" i="30"/>
  <c r="E16" i="30"/>
  <c r="F16" i="30"/>
  <c r="C34" i="30"/>
  <c r="C35" i="30"/>
  <c r="C36" i="30"/>
  <c r="C37" i="30"/>
  <c r="D35" i="30"/>
  <c r="D36" i="30"/>
  <c r="D37" i="30"/>
  <c r="E36" i="30"/>
  <c r="E37" i="30"/>
  <c r="F37" i="30"/>
  <c r="F16" i="14"/>
  <c r="F37" i="14"/>
  <c r="C13" i="17"/>
  <c r="C14" i="17"/>
  <c r="C15" i="17"/>
  <c r="C16" i="17"/>
  <c r="D14" i="17"/>
  <c r="D15" i="17"/>
  <c r="D16" i="17"/>
  <c r="E15" i="17"/>
  <c r="E16" i="17"/>
  <c r="F16" i="17"/>
  <c r="C34" i="17"/>
  <c r="C35" i="17"/>
  <c r="C36" i="17"/>
  <c r="C37" i="17"/>
  <c r="D35" i="17"/>
  <c r="D36" i="17"/>
  <c r="D37" i="17"/>
  <c r="E36" i="17"/>
  <c r="E37" i="17"/>
  <c r="F37" i="17"/>
  <c r="C13" i="18"/>
  <c r="C14" i="18"/>
  <c r="C15" i="18"/>
  <c r="C16" i="18"/>
  <c r="D14" i="18"/>
  <c r="D15" i="18"/>
  <c r="D16" i="18"/>
  <c r="E15" i="18"/>
  <c r="E16" i="18"/>
  <c r="F16" i="18"/>
  <c r="C34" i="18"/>
  <c r="C35" i="18"/>
  <c r="C36" i="18"/>
  <c r="C37" i="18"/>
  <c r="D35" i="18"/>
  <c r="D36" i="18"/>
  <c r="D37" i="18"/>
  <c r="E36" i="18"/>
  <c r="E37" i="18"/>
  <c r="F37" i="18"/>
  <c r="C13" i="19"/>
  <c r="C14" i="19"/>
  <c r="C15" i="19"/>
  <c r="C16" i="19"/>
  <c r="D14" i="19"/>
  <c r="D15" i="19"/>
  <c r="D16" i="19"/>
  <c r="E15" i="19"/>
  <c r="E16" i="19"/>
  <c r="F16" i="19"/>
  <c r="C34" i="19"/>
  <c r="C35" i="19"/>
  <c r="C36" i="19"/>
  <c r="C37" i="19"/>
  <c r="D35" i="19"/>
  <c r="D36" i="19"/>
  <c r="D37" i="19"/>
  <c r="E36" i="19"/>
  <c r="E37" i="19"/>
  <c r="F37" i="19"/>
  <c r="C13" i="20"/>
  <c r="C14" i="20"/>
  <c r="C15" i="20"/>
  <c r="C16" i="20"/>
  <c r="D14" i="20"/>
  <c r="D15" i="20"/>
  <c r="D16" i="20"/>
  <c r="E15" i="20"/>
  <c r="E16" i="20"/>
  <c r="F16" i="20"/>
  <c r="C34" i="20"/>
  <c r="C35" i="20"/>
  <c r="C36" i="20"/>
  <c r="C37" i="20"/>
  <c r="D35" i="20"/>
  <c r="D36" i="20"/>
  <c r="D37" i="20"/>
  <c r="E36" i="20"/>
  <c r="E37" i="20"/>
  <c r="F37" i="20"/>
  <c r="D15" i="22"/>
  <c r="D16" i="22"/>
  <c r="D17" i="22"/>
  <c r="D18" i="22"/>
  <c r="E16" i="22"/>
  <c r="E17" i="22"/>
  <c r="E18" i="22"/>
  <c r="F17" i="22"/>
  <c r="F18" i="22"/>
  <c r="G18" i="22"/>
  <c r="C38" i="22"/>
  <c r="C39" i="22"/>
  <c r="C40" i="22"/>
  <c r="C41" i="22"/>
  <c r="C42" i="22"/>
  <c r="D39" i="22"/>
  <c r="D40" i="22"/>
  <c r="D41" i="22"/>
  <c r="D42" i="22"/>
  <c r="E40" i="22"/>
  <c r="E41" i="22"/>
  <c r="E42" i="22"/>
  <c r="F41" i="22"/>
  <c r="F42" i="22"/>
  <c r="G42" i="22"/>
  <c r="J60" i="6"/>
  <c r="E3" i="23"/>
  <c r="F3" i="23"/>
  <c r="G3" i="23"/>
  <c r="H3" i="23"/>
  <c r="I3" i="23"/>
  <c r="E4" i="23"/>
  <c r="F4" i="23"/>
  <c r="G4" i="23"/>
  <c r="H4" i="23"/>
  <c r="I4" i="23"/>
  <c r="E5" i="23"/>
  <c r="F5" i="23"/>
  <c r="G5" i="23"/>
  <c r="H5" i="23"/>
  <c r="I5" i="23"/>
  <c r="E6" i="23"/>
  <c r="F6" i="23"/>
  <c r="G6" i="23"/>
  <c r="H6" i="23"/>
  <c r="I6" i="23"/>
  <c r="D41" i="23"/>
  <c r="E37" i="23" s="1"/>
  <c r="D45" i="23"/>
  <c r="D47" i="23"/>
  <c r="D48" i="23"/>
  <c r="C16" i="12"/>
  <c r="C17" i="12"/>
  <c r="C18" i="12"/>
  <c r="C19" i="12"/>
  <c r="C20" i="12"/>
  <c r="C21" i="12"/>
  <c r="C24" i="12"/>
  <c r="C30" i="12" s="1"/>
  <c r="C25" i="12"/>
  <c r="C26" i="12"/>
  <c r="C27" i="12"/>
  <c r="C28" i="12"/>
  <c r="C29" i="12"/>
  <c r="C6" i="30"/>
  <c r="C7" i="30"/>
  <c r="D7" i="30"/>
  <c r="C8" i="30"/>
  <c r="D8" i="30"/>
  <c r="E8" i="30"/>
  <c r="C9" i="30"/>
  <c r="D9" i="30"/>
  <c r="E9" i="30"/>
  <c r="F9" i="30"/>
  <c r="C26" i="30"/>
  <c r="C27" i="30"/>
  <c r="D27" i="30"/>
  <c r="C28" i="30"/>
  <c r="D28" i="30"/>
  <c r="E28" i="30"/>
  <c r="C29" i="30"/>
  <c r="D29" i="30"/>
  <c r="E29" i="30"/>
  <c r="F29" i="30"/>
  <c r="C30" i="30"/>
  <c r="C31" i="30" s="1"/>
  <c r="D30" i="30"/>
  <c r="E30" i="30"/>
  <c r="F30" i="30"/>
  <c r="G30" i="30"/>
  <c r="C13" i="21"/>
  <c r="C14" i="21"/>
  <c r="D14" i="21"/>
  <c r="C15" i="21"/>
  <c r="D15" i="21"/>
  <c r="E15" i="21"/>
  <c r="C16" i="21"/>
  <c r="D16" i="21"/>
  <c r="E16" i="21"/>
  <c r="F16" i="21"/>
  <c r="C34" i="21"/>
  <c r="C35" i="21"/>
  <c r="D35" i="21"/>
  <c r="C36" i="21"/>
  <c r="D36" i="21"/>
  <c r="E36" i="21"/>
  <c r="C37" i="21"/>
  <c r="D37" i="21"/>
  <c r="E37" i="21"/>
  <c r="F37" i="21"/>
  <c r="C6" i="22"/>
  <c r="C7" i="22"/>
  <c r="C8" i="22"/>
  <c r="C9" i="22"/>
  <c r="C10" i="22"/>
  <c r="C22" i="22"/>
  <c r="C23" i="22"/>
  <c r="C24" i="22"/>
  <c r="C25" i="22"/>
  <c r="C26" i="22"/>
  <c r="C29" i="22"/>
  <c r="C35" i="22" s="1"/>
  <c r="C30" i="22"/>
  <c r="C31" i="22"/>
  <c r="C32" i="22"/>
  <c r="C33" i="22"/>
  <c r="C34" i="22"/>
  <c r="E50" i="6"/>
  <c r="J27" i="32"/>
  <c r="J33" i="28" s="1"/>
  <c r="H27" i="32"/>
  <c r="H33" i="28" s="1"/>
  <c r="H16" i="28"/>
  <c r="F33" i="28"/>
  <c r="G30" i="25"/>
  <c r="G24" i="25"/>
  <c r="F24" i="25"/>
  <c r="F26" i="25"/>
  <c r="F27" i="25"/>
  <c r="I27" i="32"/>
  <c r="I33" i="28" s="1"/>
  <c r="I16" i="28"/>
  <c r="J16" i="28"/>
  <c r="H30" i="25"/>
  <c r="H24" i="25"/>
  <c r="I24" i="25"/>
  <c r="F32" i="25"/>
  <c r="F33" i="25"/>
  <c r="G29" i="25"/>
  <c r="G32" i="25"/>
  <c r="G33" i="25"/>
  <c r="G23" i="25"/>
  <c r="G26" i="25" s="1"/>
  <c r="G27" i="25"/>
  <c r="H8" i="31"/>
  <c r="I8" i="31" s="1"/>
  <c r="J8" i="31" s="1"/>
  <c r="I30" i="25"/>
  <c r="I32" i="25" s="1"/>
  <c r="I29" i="25"/>
  <c r="I33" i="25"/>
  <c r="H29" i="25"/>
  <c r="H32" i="25" s="1"/>
  <c r="H33" i="25"/>
  <c r="H23" i="25"/>
  <c r="H26" i="25" s="1"/>
  <c r="H27" i="25"/>
  <c r="I23" i="25"/>
  <c r="I26" i="25" s="1"/>
  <c r="I27" i="25"/>
  <c r="G44" i="40"/>
  <c r="H45" i="40" s="1"/>
  <c r="H14" i="24"/>
  <c r="D29" i="6"/>
  <c r="D31" i="6" s="1"/>
  <c r="F47" i="4"/>
  <c r="F46" i="4" s="1"/>
  <c r="D28" i="8"/>
  <c r="E18" i="4"/>
  <c r="J63" i="39"/>
  <c r="K63" i="39" s="1"/>
  <c r="H32" i="31"/>
  <c r="J31" i="31"/>
  <c r="J32" i="31" s="1"/>
  <c r="I32" i="31"/>
  <c r="E24" i="25"/>
  <c r="E26" i="25"/>
  <c r="E27" i="25"/>
  <c r="H9" i="31" l="1"/>
  <c r="I9" i="31" s="1"/>
  <c r="J9" i="31" s="1"/>
  <c r="I7" i="24"/>
  <c r="H83" i="4"/>
  <c r="I83" i="4" s="1"/>
  <c r="F50" i="6"/>
  <c r="H44" i="40"/>
  <c r="H46" i="40" s="1"/>
  <c r="H48" i="40" s="1"/>
  <c r="E56" i="39"/>
  <c r="H55" i="39"/>
  <c r="H77" i="39" s="1"/>
  <c r="H37" i="39"/>
  <c r="H12" i="12"/>
  <c r="D37" i="8"/>
  <c r="D43" i="8" s="1"/>
  <c r="D35" i="23" s="1"/>
  <c r="F18" i="25"/>
  <c r="D20" i="16"/>
  <c r="D34" i="16" s="1"/>
  <c r="E27" i="16" s="1"/>
  <c r="E6" i="16"/>
  <c r="I32" i="8"/>
  <c r="G16" i="20"/>
  <c r="G23" i="20" s="1"/>
  <c r="G37" i="20" s="1"/>
  <c r="E14" i="20"/>
  <c r="C10" i="19"/>
  <c r="C17" i="17"/>
  <c r="E32" i="8"/>
  <c r="C10" i="30"/>
  <c r="G25" i="8"/>
  <c r="G32" i="8" s="1"/>
  <c r="F39" i="4"/>
  <c r="F19" i="4"/>
  <c r="F18" i="4" s="1"/>
  <c r="D13" i="6"/>
  <c r="E25" i="8"/>
  <c r="C10" i="14"/>
  <c r="C18" i="15"/>
  <c r="E13" i="6" s="1"/>
  <c r="D17" i="6"/>
  <c r="D19" i="6" s="1"/>
  <c r="C10" i="17"/>
  <c r="C10" i="18"/>
  <c r="F32" i="8"/>
  <c r="F22" i="20"/>
  <c r="F36" i="20" s="1"/>
  <c r="G29" i="20" s="1"/>
  <c r="I16" i="24"/>
  <c r="D43" i="24"/>
  <c r="E8" i="25"/>
  <c r="E9" i="25" s="1"/>
  <c r="E20" i="25"/>
  <c r="E21" i="25" s="1"/>
  <c r="F17" i="25"/>
  <c r="G17" i="25"/>
  <c r="G22" i="12"/>
  <c r="H38" i="8" s="1"/>
  <c r="H28" i="12"/>
  <c r="E25" i="12"/>
  <c r="F26" i="12"/>
  <c r="H22" i="12"/>
  <c r="I38" i="8" s="1"/>
  <c r="F22" i="12"/>
  <c r="G38" i="8" s="1"/>
  <c r="C22" i="12"/>
  <c r="C14" i="12"/>
  <c r="D48" i="6" s="1"/>
  <c r="E22" i="12"/>
  <c r="F38" i="8" s="1"/>
  <c r="G11" i="12"/>
  <c r="D22" i="12"/>
  <c r="E38" i="8" s="1"/>
  <c r="I53" i="39"/>
  <c r="I35" i="39"/>
  <c r="J35" i="39" s="1"/>
  <c r="K35" i="39" s="1"/>
  <c r="K37" i="39" s="1"/>
  <c r="G50" i="6"/>
  <c r="K46" i="39"/>
  <c r="K60" i="39" s="1"/>
  <c r="K73" i="39" s="1"/>
  <c r="H10" i="7" s="1"/>
  <c r="G46" i="39"/>
  <c r="G60" i="39" s="1"/>
  <c r="G73" i="39" s="1"/>
  <c r="E11" i="23" s="1"/>
  <c r="I46" i="39"/>
  <c r="I60" i="39" s="1"/>
  <c r="I73" i="39" s="1"/>
  <c r="H46" i="39"/>
  <c r="H60" i="39" s="1"/>
  <c r="H73" i="39" s="1"/>
  <c r="E10" i="7" s="1"/>
  <c r="H31" i="39"/>
  <c r="H38" i="39" s="1"/>
  <c r="G15" i="28" s="1"/>
  <c r="G31" i="28" s="1"/>
  <c r="K31" i="39"/>
  <c r="I22" i="39"/>
  <c r="I31" i="39" s="1"/>
  <c r="J31" i="39"/>
  <c r="G31" i="39"/>
  <c r="G56" i="39" s="1"/>
  <c r="F12" i="25"/>
  <c r="F14" i="25" s="1"/>
  <c r="F15" i="25" s="1"/>
  <c r="E14" i="25"/>
  <c r="E15" i="25" s="1"/>
  <c r="F5" i="25"/>
  <c r="G81" i="4"/>
  <c r="H81" i="4" s="1"/>
  <c r="I81" i="4" s="1"/>
  <c r="H12" i="24"/>
  <c r="G30" i="40"/>
  <c r="H31" i="40" s="1"/>
  <c r="H30" i="40" s="1"/>
  <c r="I31" i="40" s="1"/>
  <c r="I30" i="40" s="1"/>
  <c r="D26" i="8"/>
  <c r="E32" i="4"/>
  <c r="G37" i="31"/>
  <c r="H85" i="39" s="1"/>
  <c r="G47" i="4"/>
  <c r="G46" i="4" s="1"/>
  <c r="F48" i="4"/>
  <c r="F50" i="4" s="1"/>
  <c r="F51" i="4" s="1"/>
  <c r="I47" i="40"/>
  <c r="H49" i="40"/>
  <c r="H60" i="40"/>
  <c r="H62" i="40" s="1"/>
  <c r="H63" i="40"/>
  <c r="I59" i="40"/>
  <c r="I58" i="40" s="1"/>
  <c r="F37" i="23"/>
  <c r="G37" i="23" s="1"/>
  <c r="H37" i="23" s="1"/>
  <c r="I37" i="23" s="1"/>
  <c r="E38" i="23"/>
  <c r="I52" i="40"/>
  <c r="I51" i="40" s="1"/>
  <c r="H53" i="40"/>
  <c r="H55" i="40" s="1"/>
  <c r="H56" i="40"/>
  <c r="G8" i="18"/>
  <c r="G15" i="18" s="1"/>
  <c r="G22" i="18" s="1"/>
  <c r="F22" i="18"/>
  <c r="F36" i="18" s="1"/>
  <c r="F54" i="4"/>
  <c r="F53" i="4" s="1"/>
  <c r="D32" i="6"/>
  <c r="D34" i="6" s="1"/>
  <c r="J46" i="39"/>
  <c r="J60" i="39" s="1"/>
  <c r="J73" i="39" s="1"/>
  <c r="I45" i="40"/>
  <c r="I44" i="40" s="1"/>
  <c r="F28" i="14"/>
  <c r="E7" i="21"/>
  <c r="E14" i="21" s="1"/>
  <c r="D6" i="17"/>
  <c r="D13" i="17" s="1"/>
  <c r="H16" i="40"/>
  <c r="G9" i="15"/>
  <c r="G16" i="15" s="1"/>
  <c r="F8" i="19"/>
  <c r="F15" i="19" s="1"/>
  <c r="H6" i="40"/>
  <c r="H37" i="40"/>
  <c r="H9" i="40"/>
  <c r="G9" i="4"/>
  <c r="G8" i="4"/>
  <c r="D6" i="20"/>
  <c r="D13" i="20"/>
  <c r="G27" i="12"/>
  <c r="F15" i="21"/>
  <c r="E7" i="30"/>
  <c r="E14" i="30" s="1"/>
  <c r="G60" i="4"/>
  <c r="F15" i="15"/>
  <c r="E21" i="16"/>
  <c r="E35" i="16" s="1"/>
  <c r="F7" i="16"/>
  <c r="F14" i="16" s="1"/>
  <c r="D6" i="21"/>
  <c r="D13" i="21"/>
  <c r="C12" i="16"/>
  <c r="D7" i="15"/>
  <c r="D14" i="15" s="1"/>
  <c r="C12" i="18"/>
  <c r="F15" i="14"/>
  <c r="D20" i="7"/>
  <c r="F41" i="4"/>
  <c r="F43" i="4" s="1"/>
  <c r="E33" i="8"/>
  <c r="G15" i="20"/>
  <c r="G22" i="20" s="1"/>
  <c r="G3" i="17"/>
  <c r="E3" i="17"/>
  <c r="D13" i="15"/>
  <c r="C19" i="17"/>
  <c r="D5" i="17"/>
  <c r="D10" i="17" s="1"/>
  <c r="F13" i="4"/>
  <c r="F15" i="4" s="1"/>
  <c r="G12" i="4"/>
  <c r="G11" i="4" s="1"/>
  <c r="C5" i="20"/>
  <c r="C10" i="20" s="1"/>
  <c r="C12" i="20"/>
  <c r="D8" i="12"/>
  <c r="D24" i="12"/>
  <c r="D30" i="12" s="1"/>
  <c r="H28" i="8"/>
  <c r="G16" i="18"/>
  <c r="G23" i="18" s="1"/>
  <c r="G37" i="18" s="1"/>
  <c r="F8" i="17"/>
  <c r="F15" i="17" s="1"/>
  <c r="G40" i="4"/>
  <c r="G39" i="4" s="1"/>
  <c r="C31" i="20"/>
  <c r="D22" i="7" s="1"/>
  <c r="G37" i="39"/>
  <c r="E14" i="18"/>
  <c r="F7" i="14"/>
  <c r="F14" i="14"/>
  <c r="E7" i="19"/>
  <c r="E14" i="19" s="1"/>
  <c r="F62" i="4"/>
  <c r="F64" i="4" s="1"/>
  <c r="D13" i="18"/>
  <c r="D13" i="30"/>
  <c r="G10" i="15"/>
  <c r="G17" i="15" s="1"/>
  <c r="E13" i="16"/>
  <c r="C12" i="14"/>
  <c r="C10" i="21"/>
  <c r="F33" i="8"/>
  <c r="H25" i="8"/>
  <c r="G9" i="19"/>
  <c r="G16" i="19"/>
  <c r="G23" i="19" s="1"/>
  <c r="G37" i="19" s="1"/>
  <c r="C12" i="21"/>
  <c r="F10" i="12"/>
  <c r="F8" i="30"/>
  <c r="F15" i="30" s="1"/>
  <c r="G9" i="16"/>
  <c r="G16" i="16"/>
  <c r="G23" i="16" s="1"/>
  <c r="G37" i="16" s="1"/>
  <c r="E9" i="12"/>
  <c r="D13" i="19"/>
  <c r="D13" i="14"/>
  <c r="C11" i="15"/>
  <c r="C12" i="19"/>
  <c r="C12" i="30"/>
  <c r="F15" i="16"/>
  <c r="H56" i="39"/>
  <c r="I25" i="24"/>
  <c r="F43" i="24"/>
  <c r="G43" i="24"/>
  <c r="E53" i="6"/>
  <c r="F87" i="4"/>
  <c r="J81" i="4"/>
  <c r="J86" i="4" s="1"/>
  <c r="I53" i="6" s="1"/>
  <c r="I86" i="4"/>
  <c r="H53" i="6" s="1"/>
  <c r="F93" i="4"/>
  <c r="D18" i="7"/>
  <c r="H86" i="4"/>
  <c r="G53" i="6" s="1"/>
  <c r="G167" i="40"/>
  <c r="D33" i="8" s="1"/>
  <c r="H40" i="24"/>
  <c r="H24" i="24" s="1"/>
  <c r="F24" i="22"/>
  <c r="F40" i="22" s="1"/>
  <c r="G32" i="22" s="1"/>
  <c r="G8" i="22"/>
  <c r="G16" i="22" s="1"/>
  <c r="H9" i="22"/>
  <c r="H17" i="22" s="1"/>
  <c r="H25" i="22" s="1"/>
  <c r="G25" i="22"/>
  <c r="G41" i="22" s="1"/>
  <c r="H33" i="22" s="1"/>
  <c r="C27" i="22"/>
  <c r="F7" i="22"/>
  <c r="F15" i="22" s="1"/>
  <c r="F23" i="22" s="1"/>
  <c r="E23" i="22"/>
  <c r="E39" i="22" s="1"/>
  <c r="D22" i="22"/>
  <c r="D38" i="22" s="1"/>
  <c r="E6" i="22"/>
  <c r="E14" i="22" s="1"/>
  <c r="E22" i="22" s="1"/>
  <c r="G95" i="40"/>
  <c r="D25" i="8" s="1"/>
  <c r="F6" i="25"/>
  <c r="H6" i="32"/>
  <c r="I6" i="32" s="1"/>
  <c r="J6" i="32" s="1"/>
  <c r="E65" i="25"/>
  <c r="F36" i="31"/>
  <c r="E42" i="25"/>
  <c r="E44" i="25" s="1"/>
  <c r="E45" i="25" s="1"/>
  <c r="F35" i="31"/>
  <c r="E8" i="23" s="1"/>
  <c r="G86" i="39"/>
  <c r="G89" i="39"/>
  <c r="D3" i="7"/>
  <c r="G85" i="39"/>
  <c r="G88" i="39"/>
  <c r="G87" i="39"/>
  <c r="F40" i="31"/>
  <c r="D4" i="7" s="1"/>
  <c r="F8" i="42"/>
  <c r="E48" i="25"/>
  <c r="G35" i="31"/>
  <c r="G36" i="31"/>
  <c r="G5" i="25"/>
  <c r="G12" i="25"/>
  <c r="H36" i="31"/>
  <c r="H35" i="31"/>
  <c r="H37" i="31"/>
  <c r="G11" i="25" l="1"/>
  <c r="I42" i="24"/>
  <c r="F11" i="23"/>
  <c r="G11" i="23"/>
  <c r="F38" i="23"/>
  <c r="G38" i="23" s="1"/>
  <c r="H38" i="23" s="1"/>
  <c r="I38" i="23" s="1"/>
  <c r="G18" i="25"/>
  <c r="G20" i="25" s="1"/>
  <c r="G21" i="25" s="1"/>
  <c r="F20" i="25"/>
  <c r="F21" i="25" s="1"/>
  <c r="G19" i="4"/>
  <c r="G18" i="4" s="1"/>
  <c r="F20" i="4"/>
  <c r="F22" i="4" s="1"/>
  <c r="F23" i="4"/>
  <c r="D12" i="17"/>
  <c r="G36" i="20"/>
  <c r="F7" i="20"/>
  <c r="F14" i="20" s="1"/>
  <c r="E21" i="20"/>
  <c r="E35" i="20" s="1"/>
  <c r="F8" i="25"/>
  <c r="F9" i="25" s="1"/>
  <c r="H17" i="25"/>
  <c r="H18" i="25"/>
  <c r="F65" i="25"/>
  <c r="I18" i="25"/>
  <c r="I17" i="25"/>
  <c r="H87" i="39"/>
  <c r="H88" i="39"/>
  <c r="H27" i="12"/>
  <c r="H11" i="12"/>
  <c r="J53" i="39"/>
  <c r="I55" i="39"/>
  <c r="I77" i="39" s="1"/>
  <c r="J37" i="39"/>
  <c r="J38" i="39" s="1"/>
  <c r="I15" i="28" s="1"/>
  <c r="I31" i="28" s="1"/>
  <c r="I37" i="39"/>
  <c r="I38" i="39" s="1"/>
  <c r="H15" i="28" s="1"/>
  <c r="H31" i="28" s="1"/>
  <c r="H89" i="39"/>
  <c r="J83" i="4"/>
  <c r="I50" i="6" s="1"/>
  <c r="H50" i="6"/>
  <c r="F10" i="7"/>
  <c r="G38" i="39"/>
  <c r="F15" i="28" s="1"/>
  <c r="F31" i="28" s="1"/>
  <c r="K38" i="39"/>
  <c r="J15" i="28" s="1"/>
  <c r="J31" i="28" s="1"/>
  <c r="D10" i="7"/>
  <c r="G86" i="4"/>
  <c r="F53" i="6" s="1"/>
  <c r="H8" i="22"/>
  <c r="H16" i="22" s="1"/>
  <c r="H24" i="22" s="1"/>
  <c r="G24" i="22"/>
  <c r="G40" i="22" s="1"/>
  <c r="H32" i="22" s="1"/>
  <c r="H32" i="40"/>
  <c r="H34" i="40" s="1"/>
  <c r="I33" i="40" s="1"/>
  <c r="D32" i="8"/>
  <c r="F33" i="4"/>
  <c r="F32" i="4" s="1"/>
  <c r="D23" i="6"/>
  <c r="D25" i="6" s="1"/>
  <c r="G8" i="42"/>
  <c r="F6" i="6" s="1"/>
  <c r="H86" i="39"/>
  <c r="G40" i="31"/>
  <c r="E4" i="7" s="1"/>
  <c r="E3" i="7"/>
  <c r="G8" i="23"/>
  <c r="I53" i="40"/>
  <c r="J52" i="40"/>
  <c r="J51" i="40" s="1"/>
  <c r="E21" i="19"/>
  <c r="E35" i="19" s="1"/>
  <c r="F7" i="19"/>
  <c r="F14" i="19" s="1"/>
  <c r="G41" i="4"/>
  <c r="H40" i="4"/>
  <c r="H39" i="4" s="1"/>
  <c r="G13" i="4"/>
  <c r="H12" i="4"/>
  <c r="H11" i="4" s="1"/>
  <c r="E6" i="17"/>
  <c r="E13" i="17" s="1"/>
  <c r="D20" i="17"/>
  <c r="D34" i="17" s="1"/>
  <c r="J31" i="40"/>
  <c r="J30" i="40" s="1"/>
  <c r="I32" i="40"/>
  <c r="I60" i="40"/>
  <c r="J59" i="40"/>
  <c r="J58" i="40" s="1"/>
  <c r="G8" i="19"/>
  <c r="G15" i="19" s="1"/>
  <c r="G22" i="19" s="1"/>
  <c r="F22" i="19"/>
  <c r="F36" i="19" s="1"/>
  <c r="F7" i="21"/>
  <c r="F14" i="21" s="1"/>
  <c r="E21" i="21"/>
  <c r="E35" i="21" s="1"/>
  <c r="G8" i="17"/>
  <c r="G15" i="17" s="1"/>
  <c r="G22" i="17" s="1"/>
  <c r="F22" i="17"/>
  <c r="F36" i="17" s="1"/>
  <c r="E6" i="30"/>
  <c r="E13" i="30" s="1"/>
  <c r="D20" i="30"/>
  <c r="D34" i="30" s="1"/>
  <c r="F22" i="16"/>
  <c r="F36" i="16" s="1"/>
  <c r="G8" i="16"/>
  <c r="G15" i="16" s="1"/>
  <c r="G22" i="16" s="1"/>
  <c r="E7" i="17"/>
  <c r="E14" i="17"/>
  <c r="D12" i="19"/>
  <c r="C19" i="19"/>
  <c r="D5" i="19"/>
  <c r="D10" i="19" s="1"/>
  <c r="C17" i="19"/>
  <c r="E29" i="6" s="1"/>
  <c r="D14" i="12"/>
  <c r="E48" i="6" s="1"/>
  <c r="E8" i="12"/>
  <c r="E24" i="12"/>
  <c r="E30" i="12" s="1"/>
  <c r="G9" i="17"/>
  <c r="G16" i="17" s="1"/>
  <c r="G23" i="17" s="1"/>
  <c r="G37" i="17" s="1"/>
  <c r="G21" i="4"/>
  <c r="G49" i="4"/>
  <c r="G50" i="4" s="1"/>
  <c r="G8" i="30"/>
  <c r="G15" i="30"/>
  <c r="G22" i="30" s="1"/>
  <c r="F22" i="30"/>
  <c r="F36" i="30" s="1"/>
  <c r="E6" i="15"/>
  <c r="E13" i="15" s="1"/>
  <c r="D18" i="15"/>
  <c r="D20" i="14"/>
  <c r="D34" i="14" s="1"/>
  <c r="E6" i="14"/>
  <c r="E13" i="14" s="1"/>
  <c r="H32" i="8"/>
  <c r="D5" i="20"/>
  <c r="D10" i="20" s="1"/>
  <c r="C19" i="20"/>
  <c r="C17" i="20"/>
  <c r="E32" i="6" s="1"/>
  <c r="F28" i="16"/>
  <c r="H11" i="23"/>
  <c r="G10" i="7"/>
  <c r="I11" i="23"/>
  <c r="G48" i="4"/>
  <c r="H47" i="4"/>
  <c r="H46" i="4" s="1"/>
  <c r="J45" i="40"/>
  <c r="J44" i="40" s="1"/>
  <c r="I46" i="40"/>
  <c r="I48" i="40" s="1"/>
  <c r="I49" i="40" s="1"/>
  <c r="D20" i="19"/>
  <c r="D34" i="19" s="1"/>
  <c r="E6" i="19"/>
  <c r="E13" i="19"/>
  <c r="F7" i="18"/>
  <c r="F14" i="18"/>
  <c r="E21" i="18"/>
  <c r="E35" i="18" s="1"/>
  <c r="G8" i="15"/>
  <c r="G15" i="15" s="1"/>
  <c r="I10" i="40"/>
  <c r="I9" i="40"/>
  <c r="H11" i="40"/>
  <c r="H13" i="40" s="1"/>
  <c r="H14" i="40" s="1"/>
  <c r="H18" i="40"/>
  <c r="H20" i="40" s="1"/>
  <c r="H21" i="40" s="1"/>
  <c r="I17" i="40"/>
  <c r="I16" i="40"/>
  <c r="F55" i="4"/>
  <c r="G54" i="4"/>
  <c r="G53" i="4" s="1"/>
  <c r="F28" i="20"/>
  <c r="G26" i="12"/>
  <c r="G10" i="12"/>
  <c r="E7" i="15"/>
  <c r="E14" i="15" s="1"/>
  <c r="C19" i="21"/>
  <c r="D5" i="21"/>
  <c r="D10" i="21" s="1"/>
  <c r="C17" i="21"/>
  <c r="D5" i="16"/>
  <c r="D10" i="16" s="1"/>
  <c r="C19" i="16"/>
  <c r="D12" i="16"/>
  <c r="C17" i="16"/>
  <c r="E14" i="6" s="1"/>
  <c r="E6" i="20"/>
  <c r="E13" i="20" s="1"/>
  <c r="D20" i="20"/>
  <c r="D34" i="20" s="1"/>
  <c r="F21" i="16"/>
  <c r="G7" i="16"/>
  <c r="G14" i="16" s="1"/>
  <c r="G21" i="16" s="1"/>
  <c r="F25" i="12"/>
  <c r="F9" i="12"/>
  <c r="G42" i="4"/>
  <c r="G43" i="4" s="1"/>
  <c r="G44" i="4" s="1"/>
  <c r="F44" i="4"/>
  <c r="H61" i="4"/>
  <c r="H60" i="4" s="1"/>
  <c r="G62" i="4"/>
  <c r="I38" i="40"/>
  <c r="I37" i="40" s="1"/>
  <c r="H39" i="40"/>
  <c r="H41" i="40" s="1"/>
  <c r="H42" i="40"/>
  <c r="I54" i="40"/>
  <c r="I55" i="40"/>
  <c r="G63" i="4"/>
  <c r="F65" i="4"/>
  <c r="D5" i="30"/>
  <c r="D10" i="30" s="1"/>
  <c r="C19" i="30"/>
  <c r="C17" i="30"/>
  <c r="E17" i="6" s="1"/>
  <c r="E6" i="21"/>
  <c r="D20" i="21"/>
  <c r="D34" i="21" s="1"/>
  <c r="E13" i="21"/>
  <c r="D5" i="14"/>
  <c r="D10" i="14" s="1"/>
  <c r="C19" i="14"/>
  <c r="C17" i="14"/>
  <c r="D5" i="18"/>
  <c r="D10" i="18" s="1"/>
  <c r="C19" i="18"/>
  <c r="C17" i="18"/>
  <c r="E26" i="6" s="1"/>
  <c r="D20" i="18"/>
  <c r="D34" i="18" s="1"/>
  <c r="E6" i="18"/>
  <c r="E13" i="18" s="1"/>
  <c r="H9" i="4"/>
  <c r="H8" i="4"/>
  <c r="F13" i="6"/>
  <c r="H11" i="24"/>
  <c r="H6" i="24" s="1"/>
  <c r="E20" i="16"/>
  <c r="E34" i="16" s="1"/>
  <c r="F6" i="16"/>
  <c r="F13" i="16"/>
  <c r="G14" i="4"/>
  <c r="G15" i="4" s="1"/>
  <c r="F16" i="4"/>
  <c r="D11" i="15"/>
  <c r="E21" i="30"/>
  <c r="E35" i="30" s="1"/>
  <c r="F7" i="30"/>
  <c r="F14" i="30" s="1"/>
  <c r="I7" i="40"/>
  <c r="I6" i="40" s="1"/>
  <c r="C24" i="17"/>
  <c r="C33" i="17"/>
  <c r="E5" i="17"/>
  <c r="D19" i="17"/>
  <c r="D17" i="17"/>
  <c r="D16" i="7"/>
  <c r="E39" i="8"/>
  <c r="F21" i="14"/>
  <c r="F35" i="14" s="1"/>
  <c r="G7" i="14"/>
  <c r="G14" i="14" s="1"/>
  <c r="G21" i="14" s="1"/>
  <c r="G8" i="14"/>
  <c r="G15" i="14" s="1"/>
  <c r="G22" i="14" s="1"/>
  <c r="F22" i="14"/>
  <c r="F36" i="14" s="1"/>
  <c r="G8" i="21"/>
  <c r="G15" i="21" s="1"/>
  <c r="G22" i="21" s="1"/>
  <c r="F22" i="21"/>
  <c r="F36" i="21" s="1"/>
  <c r="G29" i="18"/>
  <c r="G36" i="18" s="1"/>
  <c r="I61" i="40"/>
  <c r="I62" i="40" s="1"/>
  <c r="H35" i="40"/>
  <c r="E57" i="6"/>
  <c r="F88" i="4"/>
  <c r="F99" i="4"/>
  <c r="F101" i="4" s="1"/>
  <c r="E40" i="8" s="1"/>
  <c r="H168" i="40"/>
  <c r="C3" i="22"/>
  <c r="C5" i="22" s="1"/>
  <c r="C11" i="22" s="1"/>
  <c r="H41" i="22"/>
  <c r="G7" i="22"/>
  <c r="G15" i="22" s="1"/>
  <c r="G23" i="22" s="1"/>
  <c r="F31" i="22"/>
  <c r="F39" i="22" s="1"/>
  <c r="F6" i="22"/>
  <c r="F14" i="22" s="1"/>
  <c r="F22" i="22" s="1"/>
  <c r="E30" i="22"/>
  <c r="E38" i="22" s="1"/>
  <c r="G23" i="40"/>
  <c r="H24" i="40" s="1"/>
  <c r="H23" i="40" s="1"/>
  <c r="E25" i="4"/>
  <c r="F26" i="4" s="1"/>
  <c r="G132" i="40"/>
  <c r="F66" i="25"/>
  <c r="G14" i="28" s="1"/>
  <c r="G17" i="28" s="1"/>
  <c r="G9" i="23"/>
  <c r="G6" i="25"/>
  <c r="G8" i="25" s="1"/>
  <c r="G9" i="25" s="1"/>
  <c r="G90" i="39"/>
  <c r="D11" i="7" s="1"/>
  <c r="F8" i="23"/>
  <c r="F16" i="32"/>
  <c r="F6" i="28" s="1"/>
  <c r="E9" i="23"/>
  <c r="E66" i="25"/>
  <c r="E50" i="25"/>
  <c r="E51" i="25" s="1"/>
  <c r="F11" i="42"/>
  <c r="E6" i="6"/>
  <c r="E18" i="23" s="1"/>
  <c r="E8" i="42"/>
  <c r="F9" i="42" s="1"/>
  <c r="E12" i="8" s="1"/>
  <c r="G16" i="32"/>
  <c r="G6" i="28" s="1"/>
  <c r="F9" i="23"/>
  <c r="H16" i="32"/>
  <c r="H6" i="28" s="1"/>
  <c r="G65" i="25"/>
  <c r="G14" i="25"/>
  <c r="G15" i="25" s="1"/>
  <c r="H12" i="25"/>
  <c r="H11" i="25"/>
  <c r="I86" i="39"/>
  <c r="I88" i="39"/>
  <c r="H8" i="42"/>
  <c r="I85" i="39"/>
  <c r="I87" i="39"/>
  <c r="I89" i="39"/>
  <c r="H40" i="31"/>
  <c r="F4" i="7" s="1"/>
  <c r="F3" i="7"/>
  <c r="H5" i="25"/>
  <c r="I36" i="31"/>
  <c r="I35" i="31"/>
  <c r="H8" i="23" s="1"/>
  <c r="I37" i="31"/>
  <c r="H6" i="25"/>
  <c r="I34" i="40" l="1"/>
  <c r="I56" i="39"/>
  <c r="E43" i="8"/>
  <c r="E35" i="23" s="1"/>
  <c r="G7" i="20"/>
  <c r="G14" i="20" s="1"/>
  <c r="G21" i="20" s="1"/>
  <c r="F21" i="20"/>
  <c r="F35" i="20" s="1"/>
  <c r="G20" i="4"/>
  <c r="G22" i="4" s="1"/>
  <c r="H19" i="4"/>
  <c r="H18" i="4" s="1"/>
  <c r="E10" i="17"/>
  <c r="F35" i="16"/>
  <c r="G28" i="16" s="1"/>
  <c r="G35" i="16" s="1"/>
  <c r="G64" i="4"/>
  <c r="G65" i="4" s="1"/>
  <c r="D12" i="21"/>
  <c r="D17" i="21" s="1"/>
  <c r="H20" i="25"/>
  <c r="H21" i="25" s="1"/>
  <c r="I20" i="25"/>
  <c r="I21" i="25" s="1"/>
  <c r="H90" i="39"/>
  <c r="E11" i="7" s="1"/>
  <c r="F18" i="23"/>
  <c r="K53" i="39"/>
  <c r="K55" i="39" s="1"/>
  <c r="J55" i="39"/>
  <c r="G9" i="42"/>
  <c r="F12" i="8" s="1"/>
  <c r="H40" i="22"/>
  <c r="G11" i="42"/>
  <c r="F7" i="6" s="1"/>
  <c r="G33" i="4"/>
  <c r="G32" i="4" s="1"/>
  <c r="F23" i="6" s="1"/>
  <c r="E23" i="6"/>
  <c r="F34" i="4"/>
  <c r="F36" i="4" s="1"/>
  <c r="F37" i="4" s="1"/>
  <c r="H21" i="4"/>
  <c r="G23" i="4"/>
  <c r="F6" i="30"/>
  <c r="F13" i="30" s="1"/>
  <c r="E20" i="30"/>
  <c r="J37" i="40"/>
  <c r="J38" i="40"/>
  <c r="I39" i="40"/>
  <c r="I41" i="40" s="1"/>
  <c r="G28" i="20"/>
  <c r="G35" i="20" s="1"/>
  <c r="H13" i="4"/>
  <c r="H15" i="4" s="1"/>
  <c r="I12" i="4"/>
  <c r="I11" i="4" s="1"/>
  <c r="J61" i="40"/>
  <c r="J62" i="40" s="1"/>
  <c r="I63" i="40"/>
  <c r="F6" i="20"/>
  <c r="F13" i="20" s="1"/>
  <c r="E20" i="20"/>
  <c r="E20" i="14"/>
  <c r="F6" i="14"/>
  <c r="F13" i="14" s="1"/>
  <c r="H14" i="4"/>
  <c r="G16" i="4"/>
  <c r="H41" i="4"/>
  <c r="H43" i="4" s="1"/>
  <c r="I40" i="4"/>
  <c r="I39" i="4" s="1"/>
  <c r="H63" i="4"/>
  <c r="J60" i="40"/>
  <c r="K59" i="40"/>
  <c r="K58" i="40" s="1"/>
  <c r="G7" i="19"/>
  <c r="G14" i="19" s="1"/>
  <c r="G21" i="19" s="1"/>
  <c r="F21" i="19"/>
  <c r="F7" i="15"/>
  <c r="F14" i="15" s="1"/>
  <c r="H49" i="4"/>
  <c r="G51" i="4"/>
  <c r="J33" i="40"/>
  <c r="I35" i="40"/>
  <c r="J7" i="40"/>
  <c r="J6" i="40"/>
  <c r="K52" i="40"/>
  <c r="K51" i="40" s="1"/>
  <c r="J53" i="40"/>
  <c r="H48" i="4"/>
  <c r="I47" i="4"/>
  <c r="I46" i="4" s="1"/>
  <c r="G7" i="30"/>
  <c r="G14" i="30" s="1"/>
  <c r="G21" i="30" s="1"/>
  <c r="F21" i="30"/>
  <c r="F35" i="30" s="1"/>
  <c r="E12" i="17"/>
  <c r="I61" i="4"/>
  <c r="I60" i="4" s="1"/>
  <c r="H62" i="4"/>
  <c r="D19" i="21"/>
  <c r="D24" i="21" s="1"/>
  <c r="G29" i="17"/>
  <c r="G36" i="17" s="1"/>
  <c r="G29" i="21"/>
  <c r="G36" i="21" s="1"/>
  <c r="D24" i="17"/>
  <c r="E27" i="18"/>
  <c r="C24" i="14"/>
  <c r="C33" i="14"/>
  <c r="C33" i="21"/>
  <c r="C24" i="21"/>
  <c r="D12" i="20"/>
  <c r="C24" i="19"/>
  <c r="C33" i="19"/>
  <c r="F28" i="21"/>
  <c r="E27" i="20"/>
  <c r="G55" i="4"/>
  <c r="H54" i="4"/>
  <c r="H53" i="4"/>
  <c r="E27" i="17"/>
  <c r="G6" i="16"/>
  <c r="G13" i="16" s="1"/>
  <c r="G20" i="16" s="1"/>
  <c r="F20" i="16"/>
  <c r="F34" i="16" s="1"/>
  <c r="E27" i="21"/>
  <c r="G9" i="12"/>
  <c r="G25" i="12"/>
  <c r="E20" i="19"/>
  <c r="E34" i="19" s="1"/>
  <c r="F6" i="19"/>
  <c r="F13" i="19" s="1"/>
  <c r="G29" i="19"/>
  <c r="G36" i="19" s="1"/>
  <c r="F6" i="17"/>
  <c r="F13" i="17" s="1"/>
  <c r="E20" i="17"/>
  <c r="F57" i="4"/>
  <c r="J32" i="40"/>
  <c r="K31" i="40"/>
  <c r="K30" i="40" s="1"/>
  <c r="D12" i="14"/>
  <c r="F21" i="21"/>
  <c r="F35" i="21" s="1"/>
  <c r="G7" i="21"/>
  <c r="G14" i="21" s="1"/>
  <c r="G21" i="21" s="1"/>
  <c r="E27" i="14"/>
  <c r="E34" i="14" s="1"/>
  <c r="D12" i="18"/>
  <c r="I40" i="40"/>
  <c r="D26" i="17"/>
  <c r="D31" i="17" s="1"/>
  <c r="C38" i="17"/>
  <c r="D19" i="16"/>
  <c r="D24" i="16" s="1"/>
  <c r="E5" i="16"/>
  <c r="E10" i="16" s="1"/>
  <c r="D17" i="16"/>
  <c r="F14" i="6" s="1"/>
  <c r="H26" i="12"/>
  <c r="H10" i="12"/>
  <c r="I19" i="40"/>
  <c r="E27" i="19"/>
  <c r="F6" i="15"/>
  <c r="F11" i="15" s="1"/>
  <c r="F13" i="15"/>
  <c r="E18" i="15"/>
  <c r="G29" i="16"/>
  <c r="G36" i="16" s="1"/>
  <c r="F28" i="19"/>
  <c r="J54" i="40"/>
  <c r="J55" i="40" s="1"/>
  <c r="D19" i="19"/>
  <c r="D24" i="19" s="1"/>
  <c r="E5" i="19"/>
  <c r="E10" i="19" s="1"/>
  <c r="E12" i="19"/>
  <c r="D17" i="19"/>
  <c r="F29" i="6" s="1"/>
  <c r="H42" i="4"/>
  <c r="E21" i="17"/>
  <c r="E35" i="17" s="1"/>
  <c r="F7" i="17"/>
  <c r="F14" i="17" s="1"/>
  <c r="I18" i="40"/>
  <c r="I20" i="40" s="1"/>
  <c r="J17" i="40"/>
  <c r="J16" i="40" s="1"/>
  <c r="G28" i="14"/>
  <c r="G35" i="14"/>
  <c r="C24" i="30"/>
  <c r="C33" i="30"/>
  <c r="C33" i="16"/>
  <c r="C24" i="16"/>
  <c r="E11" i="15"/>
  <c r="E16" i="7"/>
  <c r="F39" i="8"/>
  <c r="E27" i="30"/>
  <c r="E34" i="30" s="1"/>
  <c r="E20" i="18"/>
  <c r="E34" i="18" s="1"/>
  <c r="F6" i="18"/>
  <c r="F13" i="18"/>
  <c r="F28" i="18"/>
  <c r="C24" i="18"/>
  <c r="C33" i="18"/>
  <c r="D12" i="30"/>
  <c r="I12" i="40"/>
  <c r="J46" i="40"/>
  <c r="K45" i="40"/>
  <c r="K44" i="40"/>
  <c r="G29" i="30"/>
  <c r="G36" i="30"/>
  <c r="F8" i="12"/>
  <c r="E14" i="12"/>
  <c r="F48" i="6" s="1"/>
  <c r="F24" i="12"/>
  <c r="F30" i="12" s="1"/>
  <c r="G29" i="14"/>
  <c r="G36" i="14" s="1"/>
  <c r="F6" i="21"/>
  <c r="F13" i="21" s="1"/>
  <c r="E20" i="21"/>
  <c r="D17" i="7"/>
  <c r="I9" i="4"/>
  <c r="I8" i="4"/>
  <c r="G13" i="6"/>
  <c r="J10" i="40"/>
  <c r="J9" i="40"/>
  <c r="I11" i="40"/>
  <c r="I13" i="40" s="1"/>
  <c r="J47" i="40"/>
  <c r="J48" i="40" s="1"/>
  <c r="I56" i="40"/>
  <c r="G7" i="18"/>
  <c r="G14" i="18" s="1"/>
  <c r="G21" i="18" s="1"/>
  <c r="F21" i="18"/>
  <c r="F27" i="16"/>
  <c r="F28" i="30"/>
  <c r="C24" i="20"/>
  <c r="C33" i="20"/>
  <c r="E54" i="6"/>
  <c r="F89" i="4"/>
  <c r="F91" i="4" s="1"/>
  <c r="G92" i="4" s="1"/>
  <c r="C13" i="22"/>
  <c r="C19" i="22" s="1"/>
  <c r="D39" i="6" s="1"/>
  <c r="D41" i="6" s="1"/>
  <c r="G31" i="22"/>
  <c r="G39" i="22" s="1"/>
  <c r="F30" i="22"/>
  <c r="F38" i="22" s="1"/>
  <c r="G6" i="22"/>
  <c r="G14" i="22" s="1"/>
  <c r="G22" i="22" s="1"/>
  <c r="H7" i="22"/>
  <c r="H15" i="22" s="1"/>
  <c r="H23" i="22" s="1"/>
  <c r="D20" i="6"/>
  <c r="D22" i="6" s="1"/>
  <c r="D38" i="6" s="1"/>
  <c r="H25" i="40"/>
  <c r="H27" i="40" s="1"/>
  <c r="I24" i="40"/>
  <c r="I23" i="40" s="1"/>
  <c r="F25" i="4"/>
  <c r="G66" i="25"/>
  <c r="G68" i="25" s="1"/>
  <c r="G69" i="25" s="1"/>
  <c r="F68" i="25"/>
  <c r="F69" i="25" s="1"/>
  <c r="E5" i="7"/>
  <c r="D6" i="6"/>
  <c r="H18" i="24"/>
  <c r="D12" i="8"/>
  <c r="E7" i="6"/>
  <c r="F12" i="42"/>
  <c r="F14" i="28"/>
  <c r="F17" i="28" s="1"/>
  <c r="E68" i="25"/>
  <c r="E69" i="25" s="1"/>
  <c r="H66" i="25"/>
  <c r="I14" i="28" s="1"/>
  <c r="I17" i="28" s="1"/>
  <c r="H14" i="25"/>
  <c r="H15" i="25" s="1"/>
  <c r="I90" i="39"/>
  <c r="F11" i="7" s="1"/>
  <c r="I11" i="25"/>
  <c r="I12" i="25"/>
  <c r="H9" i="23"/>
  <c r="I16" i="32"/>
  <c r="I6" i="28" s="1"/>
  <c r="J89" i="39"/>
  <c r="J87" i="39"/>
  <c r="I8" i="42"/>
  <c r="I40" i="31"/>
  <c r="G4" i="7" s="1"/>
  <c r="J85" i="39"/>
  <c r="J88" i="39"/>
  <c r="G3" i="7"/>
  <c r="J86" i="39"/>
  <c r="H8" i="25"/>
  <c r="H9" i="25" s="1"/>
  <c r="H65" i="25"/>
  <c r="G6" i="6"/>
  <c r="G18" i="23" s="1"/>
  <c r="H9" i="42"/>
  <c r="G12" i="8" s="1"/>
  <c r="H11" i="42"/>
  <c r="J35" i="31"/>
  <c r="I8" i="23" s="1"/>
  <c r="J37" i="31"/>
  <c r="I5" i="25"/>
  <c r="I6" i="25"/>
  <c r="J36" i="31"/>
  <c r="F35" i="19" l="1"/>
  <c r="I19" i="4"/>
  <c r="I18" i="4" s="1"/>
  <c r="H20" i="4"/>
  <c r="H22" i="4" s="1"/>
  <c r="E34" i="21"/>
  <c r="E5" i="21"/>
  <c r="E10" i="21" s="1"/>
  <c r="G34" i="4"/>
  <c r="F35" i="18"/>
  <c r="H33" i="4"/>
  <c r="H32" i="4" s="1"/>
  <c r="I33" i="4" s="1"/>
  <c r="I32" i="4" s="1"/>
  <c r="H50" i="4"/>
  <c r="I49" i="4" s="1"/>
  <c r="H64" i="4"/>
  <c r="H65" i="4" s="1"/>
  <c r="F19" i="28"/>
  <c r="E34" i="20"/>
  <c r="H14" i="28"/>
  <c r="H17" i="28" s="1"/>
  <c r="E34" i="17"/>
  <c r="F27" i="17" s="1"/>
  <c r="J77" i="39"/>
  <c r="J90" i="39" s="1"/>
  <c r="G11" i="7" s="1"/>
  <c r="J56" i="39"/>
  <c r="K77" i="39"/>
  <c r="K56" i="39"/>
  <c r="G12" i="42"/>
  <c r="J34" i="40"/>
  <c r="K33" i="40" s="1"/>
  <c r="G35" i="4"/>
  <c r="G36" i="4" s="1"/>
  <c r="E24" i="6"/>
  <c r="E25" i="6" s="1"/>
  <c r="I63" i="4"/>
  <c r="I13" i="4"/>
  <c r="J12" i="4"/>
  <c r="J11" i="4" s="1"/>
  <c r="J61" i="4"/>
  <c r="J60" i="4" s="1"/>
  <c r="I62" i="4"/>
  <c r="I42" i="4"/>
  <c r="H44" i="4"/>
  <c r="I21" i="4"/>
  <c r="H23" i="4"/>
  <c r="G7" i="15"/>
  <c r="G14" i="15" s="1"/>
  <c r="K61" i="40"/>
  <c r="J63" i="40"/>
  <c r="F27" i="18"/>
  <c r="G28" i="19"/>
  <c r="G35" i="19" s="1"/>
  <c r="G6" i="17"/>
  <c r="G13" i="17" s="1"/>
  <c r="G20" i="17" s="1"/>
  <c r="F20" i="17"/>
  <c r="K17" i="40"/>
  <c r="J18" i="40"/>
  <c r="K16" i="40"/>
  <c r="G28" i="18"/>
  <c r="G35" i="18"/>
  <c r="G28" i="30"/>
  <c r="G35" i="30" s="1"/>
  <c r="J19" i="40"/>
  <c r="J20" i="40" s="1"/>
  <c r="I21" i="40"/>
  <c r="F20" i="19"/>
  <c r="F34" i="19" s="1"/>
  <c r="G6" i="19"/>
  <c r="G13" i="19" s="1"/>
  <c r="G20" i="19" s="1"/>
  <c r="G6" i="14"/>
  <c r="F20" i="14"/>
  <c r="G13" i="14"/>
  <c r="G20" i="14" s="1"/>
  <c r="K54" i="40"/>
  <c r="J56" i="40"/>
  <c r="F21" i="17"/>
  <c r="F35" i="17" s="1"/>
  <c r="G7" i="17"/>
  <c r="G14" i="17" s="1"/>
  <c r="G21" i="17" s="1"/>
  <c r="G27" i="16"/>
  <c r="G34" i="16"/>
  <c r="L31" i="40"/>
  <c r="L30" i="40" s="1"/>
  <c r="K32" i="40"/>
  <c r="J12" i="40"/>
  <c r="J13" i="40" s="1"/>
  <c r="I14" i="40"/>
  <c r="F27" i="14"/>
  <c r="F34" i="14" s="1"/>
  <c r="L59" i="40"/>
  <c r="L58" i="40"/>
  <c r="K60" i="40"/>
  <c r="K62" i="40" s="1"/>
  <c r="F27" i="20"/>
  <c r="J40" i="40"/>
  <c r="J41" i="40"/>
  <c r="I42" i="40"/>
  <c r="F27" i="21"/>
  <c r="F20" i="21"/>
  <c r="F34" i="21" s="1"/>
  <c r="G6" i="21"/>
  <c r="G13" i="21" s="1"/>
  <c r="G20" i="21" s="1"/>
  <c r="K53" i="40"/>
  <c r="K55" i="40" s="1"/>
  <c r="L52" i="40"/>
  <c r="L51" i="40"/>
  <c r="G6" i="20"/>
  <c r="G13" i="20" s="1"/>
  <c r="G20" i="20" s="1"/>
  <c r="F20" i="20"/>
  <c r="F27" i="30"/>
  <c r="F28" i="17"/>
  <c r="D26" i="19"/>
  <c r="D31" i="19" s="1"/>
  <c r="C38" i="19"/>
  <c r="E30" i="6" s="1"/>
  <c r="E31" i="6" s="1"/>
  <c r="E12" i="16"/>
  <c r="J9" i="4"/>
  <c r="J8" i="4" s="1"/>
  <c r="H13" i="6"/>
  <c r="G13" i="15"/>
  <c r="G6" i="15"/>
  <c r="G11" i="15" s="1"/>
  <c r="F18" i="15"/>
  <c r="D26" i="21"/>
  <c r="D31" i="21" s="1"/>
  <c r="C38" i="21"/>
  <c r="D26" i="18"/>
  <c r="D31" i="18" s="1"/>
  <c r="C38" i="18"/>
  <c r="E27" i="6" s="1"/>
  <c r="E28" i="6" s="1"/>
  <c r="I48" i="4"/>
  <c r="J47" i="4"/>
  <c r="J46" i="4"/>
  <c r="K38" i="40"/>
  <c r="K37" i="40" s="1"/>
  <c r="J39" i="40"/>
  <c r="K47" i="40"/>
  <c r="D26" i="16"/>
  <c r="D31" i="16" s="1"/>
  <c r="C38" i="16"/>
  <c r="E15" i="6" s="1"/>
  <c r="E16" i="6" s="1"/>
  <c r="I41" i="4"/>
  <c r="J40" i="4"/>
  <c r="J39" i="4"/>
  <c r="D26" i="20"/>
  <c r="D31" i="20" s="1"/>
  <c r="C38" i="20"/>
  <c r="E33" i="6" s="1"/>
  <c r="E34" i="6" s="1"/>
  <c r="K46" i="40"/>
  <c r="K48" i="40" s="1"/>
  <c r="L45" i="40"/>
  <c r="L44" i="40"/>
  <c r="F5" i="19"/>
  <c r="F10" i="19" s="1"/>
  <c r="E19" i="19"/>
  <c r="E24" i="19" s="1"/>
  <c r="E17" i="19"/>
  <c r="G29" i="6" s="1"/>
  <c r="F27" i="19"/>
  <c r="D33" i="17"/>
  <c r="I54" i="4"/>
  <c r="I53" i="4" s="1"/>
  <c r="H55" i="4"/>
  <c r="D26" i="14"/>
  <c r="D31" i="14" s="1"/>
  <c r="C38" i="14"/>
  <c r="G6" i="30"/>
  <c r="G13" i="30" s="1"/>
  <c r="G20" i="30" s="1"/>
  <c r="F20" i="30"/>
  <c r="F34" i="30" s="1"/>
  <c r="E5" i="30"/>
  <c r="E10" i="30" s="1"/>
  <c r="D19" i="30"/>
  <c r="D24" i="30" s="1"/>
  <c r="D17" i="30"/>
  <c r="F17" i="6" s="1"/>
  <c r="E5" i="20"/>
  <c r="E10" i="20" s="1"/>
  <c r="D19" i="20"/>
  <c r="D24" i="20" s="1"/>
  <c r="G19" i="28" s="1"/>
  <c r="D17" i="20"/>
  <c r="F32" i="6" s="1"/>
  <c r="D19" i="14"/>
  <c r="D24" i="14" s="1"/>
  <c r="E5" i="14"/>
  <c r="E10" i="14" s="1"/>
  <c r="D17" i="14"/>
  <c r="K10" i="40"/>
  <c r="K9" i="40"/>
  <c r="J11" i="40"/>
  <c r="G6" i="18"/>
  <c r="G13" i="18" s="1"/>
  <c r="G20" i="18" s="1"/>
  <c r="F20" i="18"/>
  <c r="F34" i="18" s="1"/>
  <c r="I14" i="4"/>
  <c r="I15" i="4"/>
  <c r="I16" i="4" s="1"/>
  <c r="H16" i="4"/>
  <c r="H25" i="12"/>
  <c r="H9" i="12"/>
  <c r="J49" i="40"/>
  <c r="G28" i="21"/>
  <c r="G35" i="21"/>
  <c r="E17" i="7"/>
  <c r="G24" i="12"/>
  <c r="G30" i="12" s="1"/>
  <c r="F14" i="12"/>
  <c r="G48" i="6" s="1"/>
  <c r="G8" i="12"/>
  <c r="D26" i="30"/>
  <c r="D31" i="30" s="1"/>
  <c r="C38" i="30"/>
  <c r="E18" i="6" s="1"/>
  <c r="E19" i="6" s="1"/>
  <c r="D19" i="18"/>
  <c r="D24" i="18" s="1"/>
  <c r="E5" i="18"/>
  <c r="E10" i="18" s="1"/>
  <c r="D17" i="18"/>
  <c r="F26" i="6" s="1"/>
  <c r="G56" i="4"/>
  <c r="F58" i="4"/>
  <c r="K7" i="40"/>
  <c r="K6" i="40" s="1"/>
  <c r="F16" i="7"/>
  <c r="G39" i="8"/>
  <c r="F5" i="17"/>
  <c r="F10" i="17" s="1"/>
  <c r="F12" i="17"/>
  <c r="E19" i="17"/>
  <c r="E24" i="17" s="1"/>
  <c r="E17" i="17"/>
  <c r="E55" i="6"/>
  <c r="F96" i="4"/>
  <c r="E18" i="7"/>
  <c r="G93" i="4"/>
  <c r="F57" i="6" s="1"/>
  <c r="D21" i="22"/>
  <c r="C37" i="22" s="1"/>
  <c r="D5" i="22"/>
  <c r="D11" i="22" s="1"/>
  <c r="D19" i="7" s="1"/>
  <c r="G30" i="22"/>
  <c r="G38" i="22" s="1"/>
  <c r="H31" i="22"/>
  <c r="H39" i="22" s="1"/>
  <c r="H6" i="22"/>
  <c r="H14" i="22" s="1"/>
  <c r="H22" i="22" s="1"/>
  <c r="I26" i="40"/>
  <c r="I25" i="40"/>
  <c r="J24" i="40"/>
  <c r="J23" i="40" s="1"/>
  <c r="G26" i="4"/>
  <c r="F27" i="4"/>
  <c r="E20" i="6"/>
  <c r="H28" i="40"/>
  <c r="D5" i="7"/>
  <c r="E8" i="8"/>
  <c r="D12" i="7"/>
  <c r="I66" i="25"/>
  <c r="J14" i="28" s="1"/>
  <c r="J17" i="28" s="1"/>
  <c r="I14" i="25"/>
  <c r="I15" i="25" s="1"/>
  <c r="H6" i="6"/>
  <c r="H18" i="23" s="1"/>
  <c r="I11" i="42"/>
  <c r="K86" i="39"/>
  <c r="J8" i="42"/>
  <c r="H3" i="7"/>
  <c r="K87" i="39"/>
  <c r="J40" i="31"/>
  <c r="H4" i="7" s="1"/>
  <c r="K85" i="39"/>
  <c r="K88" i="39"/>
  <c r="K89" i="39"/>
  <c r="I8" i="25"/>
  <c r="I9" i="25" s="1"/>
  <c r="I65" i="25"/>
  <c r="I9" i="42"/>
  <c r="H12" i="8" s="1"/>
  <c r="G7" i="6"/>
  <c r="H12" i="42"/>
  <c r="H68" i="25"/>
  <c r="H69" i="25" s="1"/>
  <c r="I9" i="23"/>
  <c r="J16" i="32"/>
  <c r="J6" i="28" s="1"/>
  <c r="G5" i="7"/>
  <c r="J35" i="40" l="1"/>
  <c r="I20" i="4"/>
  <c r="I22" i="4" s="1"/>
  <c r="J21" i="4" s="1"/>
  <c r="J19" i="4"/>
  <c r="J18" i="4" s="1"/>
  <c r="I64" i="4"/>
  <c r="I43" i="4"/>
  <c r="E22" i="7"/>
  <c r="H34" i="4"/>
  <c r="E12" i="21"/>
  <c r="F34" i="17"/>
  <c r="G27" i="17" s="1"/>
  <c r="D33" i="16"/>
  <c r="E26" i="16" s="1"/>
  <c r="E31" i="16" s="1"/>
  <c r="H51" i="4"/>
  <c r="F34" i="20"/>
  <c r="I50" i="4"/>
  <c r="I51" i="4" s="1"/>
  <c r="G23" i="6"/>
  <c r="K34" i="40"/>
  <c r="F8" i="8"/>
  <c r="E12" i="7"/>
  <c r="G37" i="4"/>
  <c r="H35" i="4"/>
  <c r="H36" i="4" s="1"/>
  <c r="G27" i="14"/>
  <c r="G34" i="14"/>
  <c r="J42" i="4"/>
  <c r="I44" i="4"/>
  <c r="L54" i="40"/>
  <c r="K56" i="40"/>
  <c r="J62" i="4"/>
  <c r="G27" i="30"/>
  <c r="G34" i="30"/>
  <c r="I23" i="4"/>
  <c r="K12" i="40"/>
  <c r="K13" i="40"/>
  <c r="J14" i="40"/>
  <c r="L33" i="40"/>
  <c r="K35" i="40"/>
  <c r="L32" i="40"/>
  <c r="L34" i="40" s="1"/>
  <c r="L35" i="40" s="1"/>
  <c r="K39" i="40"/>
  <c r="L38" i="40"/>
  <c r="L37" i="40" s="1"/>
  <c r="K19" i="40"/>
  <c r="K20" i="40"/>
  <c r="K21" i="40" s="1"/>
  <c r="J21" i="40"/>
  <c r="L47" i="40"/>
  <c r="K49" i="40"/>
  <c r="G27" i="20"/>
  <c r="G34" i="20"/>
  <c r="J13" i="4"/>
  <c r="J15" i="4" s="1"/>
  <c r="J20" i="4"/>
  <c r="G27" i="21"/>
  <c r="G34" i="21" s="1"/>
  <c r="J63" i="4"/>
  <c r="I65" i="4"/>
  <c r="J54" i="4"/>
  <c r="J53" i="4" s="1"/>
  <c r="I55" i="4"/>
  <c r="L61" i="40"/>
  <c r="K63" i="40"/>
  <c r="G27" i="18"/>
  <c r="G34" i="18"/>
  <c r="J49" i="4"/>
  <c r="G28" i="17"/>
  <c r="G35" i="17" s="1"/>
  <c r="L7" i="40"/>
  <c r="L6" i="40"/>
  <c r="H24" i="12"/>
  <c r="H30" i="12" s="1"/>
  <c r="G14" i="12"/>
  <c r="H48" i="6" s="1"/>
  <c r="H8" i="12"/>
  <c r="H14" i="12" s="1"/>
  <c r="I48" i="6" s="1"/>
  <c r="E12" i="30"/>
  <c r="K40" i="40"/>
  <c r="K41" i="40"/>
  <c r="K42" i="40" s="1"/>
  <c r="J48" i="4"/>
  <c r="G18" i="15"/>
  <c r="I13" i="6" s="1"/>
  <c r="L46" i="40"/>
  <c r="L48" i="40" s="1"/>
  <c r="L49" i="40" s="1"/>
  <c r="G57" i="4"/>
  <c r="E12" i="14"/>
  <c r="L53" i="40"/>
  <c r="L55" i="40" s="1"/>
  <c r="L56" i="40" s="1"/>
  <c r="G27" i="19"/>
  <c r="G34" i="19" s="1"/>
  <c r="J41" i="4"/>
  <c r="J14" i="4"/>
  <c r="D38" i="16"/>
  <c r="F15" i="6" s="1"/>
  <c r="F16" i="6" s="1"/>
  <c r="I27" i="40"/>
  <c r="J26" i="40" s="1"/>
  <c r="E12" i="18"/>
  <c r="D33" i="18"/>
  <c r="E19" i="16"/>
  <c r="E24" i="16" s="1"/>
  <c r="F5" i="16"/>
  <c r="F10" i="16" s="1"/>
  <c r="E17" i="16"/>
  <c r="G14" i="6" s="1"/>
  <c r="J33" i="4"/>
  <c r="J32" i="4" s="1"/>
  <c r="I34" i="4"/>
  <c r="L60" i="40"/>
  <c r="L62" i="40" s="1"/>
  <c r="L63" i="40" s="1"/>
  <c r="G16" i="7"/>
  <c r="H39" i="8"/>
  <c r="E26" i="17"/>
  <c r="E31" i="17" s="1"/>
  <c r="D38" i="17"/>
  <c r="F24" i="6" s="1"/>
  <c r="F25" i="6" s="1"/>
  <c r="F12" i="19"/>
  <c r="K18" i="40"/>
  <c r="L16" i="40"/>
  <c r="L17" i="40"/>
  <c r="G5" i="17"/>
  <c r="G10" i="17" s="1"/>
  <c r="F19" i="17"/>
  <c r="F24" i="17" s="1"/>
  <c r="F17" i="17"/>
  <c r="H23" i="6" s="1"/>
  <c r="K14" i="40"/>
  <c r="L10" i="40"/>
  <c r="L9" i="40" s="1"/>
  <c r="K11" i="40"/>
  <c r="D33" i="14"/>
  <c r="D33" i="20"/>
  <c r="E12" i="20"/>
  <c r="D33" i="21"/>
  <c r="D33" i="19"/>
  <c r="F17" i="7"/>
  <c r="D33" i="30"/>
  <c r="J42" i="40"/>
  <c r="D27" i="22"/>
  <c r="D13" i="7" s="1"/>
  <c r="E6" i="8" s="1"/>
  <c r="D13" i="22"/>
  <c r="H30" i="22"/>
  <c r="H38" i="22" s="1"/>
  <c r="C43" i="22"/>
  <c r="E40" i="6" s="1"/>
  <c r="D29" i="22"/>
  <c r="D35" i="22" s="1"/>
  <c r="D21" i="7" s="1"/>
  <c r="D23" i="7" s="1"/>
  <c r="J25" i="40"/>
  <c r="K24" i="40"/>
  <c r="K23" i="40" s="1"/>
  <c r="F18" i="28"/>
  <c r="F29" i="4"/>
  <c r="G25" i="4"/>
  <c r="K90" i="39"/>
  <c r="H11" i="7" s="1"/>
  <c r="F5" i="7"/>
  <c r="J11" i="42"/>
  <c r="I6" i="6"/>
  <c r="I18" i="23" s="1"/>
  <c r="F12" i="7"/>
  <c r="G8" i="8"/>
  <c r="H5" i="7"/>
  <c r="I12" i="42"/>
  <c r="H7" i="6"/>
  <c r="I68" i="25"/>
  <c r="I69" i="25" s="1"/>
  <c r="J9" i="42"/>
  <c r="I12" i="8" s="1"/>
  <c r="J50" i="4" l="1"/>
  <c r="J51" i="4" s="1"/>
  <c r="F5" i="21"/>
  <c r="F10" i="21" s="1"/>
  <c r="E19" i="21"/>
  <c r="E24" i="21" s="1"/>
  <c r="E17" i="21"/>
  <c r="J22" i="4"/>
  <c r="F12" i="21"/>
  <c r="F12" i="16"/>
  <c r="G5" i="16" s="1"/>
  <c r="G10" i="16" s="1"/>
  <c r="G34" i="17"/>
  <c r="J43" i="4"/>
  <c r="J44" i="4" s="1"/>
  <c r="J64" i="4"/>
  <c r="J65" i="4" s="1"/>
  <c r="J27" i="40"/>
  <c r="K26" i="40" s="1"/>
  <c r="I28" i="40"/>
  <c r="D19" i="22"/>
  <c r="E39" i="6" s="1"/>
  <c r="E41" i="6" s="1"/>
  <c r="E21" i="22"/>
  <c r="E27" i="22" s="1"/>
  <c r="E13" i="7" s="1"/>
  <c r="F6" i="8" s="1"/>
  <c r="I35" i="4"/>
  <c r="I36" i="4" s="1"/>
  <c r="H37" i="4"/>
  <c r="L39" i="40"/>
  <c r="J23" i="4"/>
  <c r="L11" i="40"/>
  <c r="L13" i="40" s="1"/>
  <c r="L14" i="40" s="1"/>
  <c r="F5" i="30"/>
  <c r="F10" i="30" s="1"/>
  <c r="E19" i="30"/>
  <c r="E24" i="30" s="1"/>
  <c r="E17" i="30"/>
  <c r="G17" i="6" s="1"/>
  <c r="E26" i="19"/>
  <c r="E31" i="19" s="1"/>
  <c r="D38" i="19"/>
  <c r="F30" i="6" s="1"/>
  <c r="F31" i="6" s="1"/>
  <c r="H56" i="4"/>
  <c r="G58" i="4"/>
  <c r="F5" i="20"/>
  <c r="F10" i="20" s="1"/>
  <c r="F12" i="20"/>
  <c r="E19" i="20"/>
  <c r="E24" i="20" s="1"/>
  <c r="H19" i="28" s="1"/>
  <c r="E17" i="20"/>
  <c r="G32" i="6" s="1"/>
  <c r="L12" i="40"/>
  <c r="G12" i="17"/>
  <c r="G5" i="21"/>
  <c r="G10" i="21" s="1"/>
  <c r="F19" i="21"/>
  <c r="F24" i="21" s="1"/>
  <c r="F17" i="21"/>
  <c r="E19" i="18"/>
  <c r="E24" i="18" s="1"/>
  <c r="F5" i="18"/>
  <c r="F10" i="18" s="1"/>
  <c r="E17" i="18"/>
  <c r="G26" i="6" s="1"/>
  <c r="E26" i="18"/>
  <c r="E31" i="18" s="1"/>
  <c r="D38" i="18"/>
  <c r="F27" i="6" s="1"/>
  <c r="F28" i="6" s="1"/>
  <c r="E26" i="20"/>
  <c r="E31" i="20" s="1"/>
  <c r="E33" i="20"/>
  <c r="D38" i="20"/>
  <c r="F33" i="6" s="1"/>
  <c r="F34" i="6" s="1"/>
  <c r="J16" i="4"/>
  <c r="I39" i="8"/>
  <c r="H16" i="7"/>
  <c r="D38" i="14"/>
  <c r="E26" i="14"/>
  <c r="E31" i="14" s="1"/>
  <c r="L18" i="40"/>
  <c r="J34" i="4"/>
  <c r="J55" i="4"/>
  <c r="F5" i="14"/>
  <c r="F10" i="14" s="1"/>
  <c r="E19" i="14"/>
  <c r="E24" i="14" s="1"/>
  <c r="E17" i="14"/>
  <c r="E26" i="21"/>
  <c r="E31" i="21" s="1"/>
  <c r="E33" i="21"/>
  <c r="D38" i="21"/>
  <c r="E26" i="30"/>
  <c r="E31" i="30" s="1"/>
  <c r="E33" i="30"/>
  <c r="D38" i="30"/>
  <c r="F18" i="6" s="1"/>
  <c r="F19" i="6" s="1"/>
  <c r="E33" i="16"/>
  <c r="E33" i="17"/>
  <c r="F19" i="19"/>
  <c r="F24" i="19" s="1"/>
  <c r="G5" i="19"/>
  <c r="G10" i="19" s="1"/>
  <c r="F17" i="19"/>
  <c r="H29" i="6" s="1"/>
  <c r="L40" i="40"/>
  <c r="L41" i="40" s="1"/>
  <c r="L42" i="40" s="1"/>
  <c r="G17" i="7"/>
  <c r="L19" i="40"/>
  <c r="L20" i="40" s="1"/>
  <c r="L21" i="40" s="1"/>
  <c r="E5" i="22"/>
  <c r="E11" i="22" s="1"/>
  <c r="E19" i="7" s="1"/>
  <c r="L24" i="40"/>
  <c r="L23" i="40" s="1"/>
  <c r="K25" i="40"/>
  <c r="G28" i="4"/>
  <c r="E20" i="7" s="1"/>
  <c r="E21" i="6"/>
  <c r="E22" i="6" s="1"/>
  <c r="E38" i="6" s="1"/>
  <c r="F30" i="4"/>
  <c r="F32" i="28"/>
  <c r="D6" i="7"/>
  <c r="D9" i="7" s="1"/>
  <c r="D14" i="7" s="1"/>
  <c r="E5" i="8"/>
  <c r="E33" i="23" s="1"/>
  <c r="F23" i="28"/>
  <c r="G27" i="4"/>
  <c r="G18" i="28" s="1"/>
  <c r="F20" i="6"/>
  <c r="H26" i="4"/>
  <c r="J12" i="42"/>
  <c r="I7" i="6"/>
  <c r="G12" i="7"/>
  <c r="H8" i="8"/>
  <c r="E25" i="23" l="1"/>
  <c r="E24" i="23"/>
  <c r="E23" i="23"/>
  <c r="F19" i="16"/>
  <c r="F24" i="16" s="1"/>
  <c r="F17" i="16"/>
  <c r="H14" i="6" s="1"/>
  <c r="J28" i="40"/>
  <c r="F22" i="7"/>
  <c r="D37" i="22"/>
  <c r="D43" i="22" s="1"/>
  <c r="F40" i="6" s="1"/>
  <c r="J35" i="4"/>
  <c r="J36" i="4" s="1"/>
  <c r="J37" i="4" s="1"/>
  <c r="I37" i="4"/>
  <c r="G19" i="17"/>
  <c r="G24" i="17" s="1"/>
  <c r="G17" i="17"/>
  <c r="I23" i="6" s="1"/>
  <c r="F26" i="30"/>
  <c r="F31" i="30" s="1"/>
  <c r="E38" i="30"/>
  <c r="G18" i="6" s="1"/>
  <c r="F26" i="21"/>
  <c r="F31" i="21" s="1"/>
  <c r="E38" i="21"/>
  <c r="G12" i="21"/>
  <c r="F26" i="17"/>
  <c r="F31" i="17" s="1"/>
  <c r="E38" i="17"/>
  <c r="G24" i="6" s="1"/>
  <c r="G25" i="6" s="1"/>
  <c r="E33" i="19"/>
  <c r="E33" i="18"/>
  <c r="G19" i="6"/>
  <c r="F26" i="20"/>
  <c r="F31" i="20" s="1"/>
  <c r="E38" i="20"/>
  <c r="G12" i="19"/>
  <c r="F19" i="20"/>
  <c r="F24" i="20" s="1"/>
  <c r="I19" i="28" s="1"/>
  <c r="G5" i="20"/>
  <c r="G10" i="20" s="1"/>
  <c r="F17" i="20"/>
  <c r="H32" i="6" s="1"/>
  <c r="F26" i="16"/>
  <c r="F31" i="16" s="1"/>
  <c r="E38" i="16"/>
  <c r="G15" i="6" s="1"/>
  <c r="G16" i="6" s="1"/>
  <c r="G12" i="16"/>
  <c r="F12" i="14"/>
  <c r="E33" i="14"/>
  <c r="F12" i="18"/>
  <c r="F12" i="30"/>
  <c r="H57" i="4"/>
  <c r="H17" i="7"/>
  <c r="E13" i="22"/>
  <c r="E4" i="8"/>
  <c r="E10" i="8" s="1"/>
  <c r="D24" i="7"/>
  <c r="F95" i="4" s="1"/>
  <c r="F97" i="4" s="1"/>
  <c r="G29" i="4"/>
  <c r="G30" i="4" s="1"/>
  <c r="H25" i="4"/>
  <c r="I26" i="4" s="1"/>
  <c r="K27" i="40"/>
  <c r="L26" i="40" s="1"/>
  <c r="L25" i="40"/>
  <c r="E6" i="7"/>
  <c r="E9" i="7" s="1"/>
  <c r="E14" i="7" s="1"/>
  <c r="F5" i="8"/>
  <c r="F33" i="23" s="1"/>
  <c r="G32" i="28"/>
  <c r="G23" i="28"/>
  <c r="F15" i="42"/>
  <c r="F24" i="28"/>
  <c r="I8" i="8"/>
  <c r="H12" i="7"/>
  <c r="F24" i="23" l="1"/>
  <c r="F23" i="23"/>
  <c r="H27" i="4"/>
  <c r="H18" i="28" s="1"/>
  <c r="F6" i="7" s="1"/>
  <c r="F9" i="7" s="1"/>
  <c r="E29" i="22"/>
  <c r="E35" i="22" s="1"/>
  <c r="E21" i="7" s="1"/>
  <c r="E23" i="7" s="1"/>
  <c r="E24" i="7" s="1"/>
  <c r="I25" i="4"/>
  <c r="J26" i="4" s="1"/>
  <c r="E19" i="22"/>
  <c r="F39" i="6" s="1"/>
  <c r="F41" i="6" s="1"/>
  <c r="F21" i="22"/>
  <c r="F27" i="22" s="1"/>
  <c r="F13" i="7" s="1"/>
  <c r="G6" i="8" s="1"/>
  <c r="G5" i="18"/>
  <c r="G10" i="18" s="1"/>
  <c r="F19" i="18"/>
  <c r="F24" i="18" s="1"/>
  <c r="F17" i="18"/>
  <c r="H26" i="6" s="1"/>
  <c r="F26" i="14"/>
  <c r="F31" i="14" s="1"/>
  <c r="E38" i="14"/>
  <c r="G17" i="19"/>
  <c r="I29" i="6" s="1"/>
  <c r="G19" i="19"/>
  <c r="G24" i="19" s="1"/>
  <c r="F33" i="17"/>
  <c r="G19" i="21"/>
  <c r="G24" i="21" s="1"/>
  <c r="G17" i="21"/>
  <c r="G19" i="16"/>
  <c r="G24" i="16" s="1"/>
  <c r="G17" i="16"/>
  <c r="I14" i="6" s="1"/>
  <c r="F33" i="20"/>
  <c r="G5" i="30"/>
  <c r="G10" i="30" s="1"/>
  <c r="F19" i="30"/>
  <c r="F17" i="30"/>
  <c r="H17" i="6" s="1"/>
  <c r="G20" i="6"/>
  <c r="F33" i="21"/>
  <c r="F33" i="16"/>
  <c r="H28" i="4"/>
  <c r="F20" i="7" s="1"/>
  <c r="F21" i="6"/>
  <c r="F22" i="6" s="1"/>
  <c r="F38" i="6" s="1"/>
  <c r="F26" i="18"/>
  <c r="F31" i="18" s="1"/>
  <c r="E38" i="18"/>
  <c r="G27" i="6" s="1"/>
  <c r="G28" i="6" s="1"/>
  <c r="F19" i="14"/>
  <c r="F24" i="14" s="1"/>
  <c r="G5" i="14"/>
  <c r="G10" i="14" s="1"/>
  <c r="F17" i="14"/>
  <c r="L27" i="40"/>
  <c r="L28" i="40" s="1"/>
  <c r="K28" i="40"/>
  <c r="I56" i="4"/>
  <c r="G22" i="7" s="1"/>
  <c r="G33" i="6"/>
  <c r="G34" i="6" s="1"/>
  <c r="H58" i="4"/>
  <c r="G12" i="20"/>
  <c r="F26" i="19"/>
  <c r="F31" i="19" s="1"/>
  <c r="E38" i="19"/>
  <c r="G30" i="6" s="1"/>
  <c r="G31" i="6" s="1"/>
  <c r="F5" i="22"/>
  <c r="F11" i="22" s="1"/>
  <c r="F19" i="7" s="1"/>
  <c r="F71" i="4"/>
  <c r="F77" i="4" s="1"/>
  <c r="E30" i="23"/>
  <c r="E32" i="23" s="1"/>
  <c r="G24" i="28"/>
  <c r="G15" i="42"/>
  <c r="G16" i="42" s="1"/>
  <c r="F15" i="8" s="1"/>
  <c r="F4" i="8"/>
  <c r="F30" i="23" s="1"/>
  <c r="F25" i="23"/>
  <c r="E15" i="42"/>
  <c r="F23" i="42"/>
  <c r="E10" i="6"/>
  <c r="E19" i="23" s="1"/>
  <c r="I27" i="4"/>
  <c r="H23" i="28" l="1"/>
  <c r="H15" i="42" s="1"/>
  <c r="H16" i="42" s="1"/>
  <c r="G15" i="8" s="1"/>
  <c r="H20" i="6"/>
  <c r="H32" i="28"/>
  <c r="G5" i="8"/>
  <c r="G33" i="23" s="1"/>
  <c r="F14" i="7"/>
  <c r="E37" i="22"/>
  <c r="F29" i="22" s="1"/>
  <c r="F35" i="22" s="1"/>
  <c r="F21" i="7" s="1"/>
  <c r="F76" i="4"/>
  <c r="F78" i="4" s="1"/>
  <c r="E46" i="6" s="1"/>
  <c r="I57" i="4"/>
  <c r="H29" i="4"/>
  <c r="G21" i="6" s="1"/>
  <c r="G22" i="6" s="1"/>
  <c r="G38" i="6" s="1"/>
  <c r="G26" i="16"/>
  <c r="G31" i="16" s="1"/>
  <c r="G33" i="16"/>
  <c r="G38" i="16" s="1"/>
  <c r="I15" i="6" s="1"/>
  <c r="I16" i="6" s="1"/>
  <c r="F38" i="16"/>
  <c r="H15" i="6" s="1"/>
  <c r="H16" i="6" s="1"/>
  <c r="G26" i="21"/>
  <c r="G31" i="21" s="1"/>
  <c r="F38" i="21"/>
  <c r="F33" i="19"/>
  <c r="G12" i="14"/>
  <c r="G12" i="30"/>
  <c r="F33" i="14"/>
  <c r="G26" i="17"/>
  <c r="G31" i="17" s="1"/>
  <c r="G33" i="17"/>
  <c r="G38" i="17" s="1"/>
  <c r="I24" i="6" s="1"/>
  <c r="I25" i="6" s="1"/>
  <c r="F38" i="17"/>
  <c r="H24" i="6" s="1"/>
  <c r="H25" i="6" s="1"/>
  <c r="F24" i="30"/>
  <c r="I18" i="28" s="1"/>
  <c r="F33" i="30"/>
  <c r="G19" i="20"/>
  <c r="G24" i="20" s="1"/>
  <c r="J19" i="28" s="1"/>
  <c r="G17" i="20"/>
  <c r="I32" i="6" s="1"/>
  <c r="G26" i="20"/>
  <c r="G31" i="20" s="1"/>
  <c r="F38" i="20"/>
  <c r="F33" i="18"/>
  <c r="G12" i="18"/>
  <c r="F13" i="22"/>
  <c r="F29" i="28"/>
  <c r="G27" i="28" s="1"/>
  <c r="E14" i="23"/>
  <c r="F12" i="28"/>
  <c r="E23" i="42"/>
  <c r="D15" i="8"/>
  <c r="D10" i="6"/>
  <c r="F16" i="42"/>
  <c r="E15" i="8" s="1"/>
  <c r="H21" i="24"/>
  <c r="G95" i="4"/>
  <c r="G71" i="4"/>
  <c r="F10" i="6"/>
  <c r="F19" i="23" s="1"/>
  <c r="G23" i="42"/>
  <c r="J25" i="4"/>
  <c r="G4" i="8" l="1"/>
  <c r="G30" i="23" s="1"/>
  <c r="G24" i="23"/>
  <c r="G23" i="23"/>
  <c r="H24" i="28"/>
  <c r="H30" i="4"/>
  <c r="I28" i="4"/>
  <c r="G20" i="7" s="1"/>
  <c r="G33" i="20"/>
  <c r="G38" i="20" s="1"/>
  <c r="G33" i="21"/>
  <c r="G38" i="21" s="1"/>
  <c r="G25" i="23"/>
  <c r="E43" i="22"/>
  <c r="G40" i="6" s="1"/>
  <c r="F19" i="22"/>
  <c r="G39" i="6" s="1"/>
  <c r="G21" i="22"/>
  <c r="G79" i="4"/>
  <c r="F31" i="23" s="1"/>
  <c r="F32" i="23" s="1"/>
  <c r="D25" i="7"/>
  <c r="D26" i="7" s="1"/>
  <c r="E26" i="23" s="1"/>
  <c r="H5" i="8"/>
  <c r="I32" i="28"/>
  <c r="I23" i="28"/>
  <c r="I15" i="42" s="1"/>
  <c r="I16" i="42" s="1"/>
  <c r="H15" i="8" s="1"/>
  <c r="G6" i="7"/>
  <c r="G9" i="7" s="1"/>
  <c r="G26" i="19"/>
  <c r="G31" i="19" s="1"/>
  <c r="G33" i="19"/>
  <c r="G38" i="19" s="1"/>
  <c r="I30" i="6" s="1"/>
  <c r="I31" i="6" s="1"/>
  <c r="F38" i="19"/>
  <c r="H30" i="6" s="1"/>
  <c r="H31" i="6" s="1"/>
  <c r="G19" i="18"/>
  <c r="G24" i="18" s="1"/>
  <c r="G17" i="18"/>
  <c r="I26" i="6" s="1"/>
  <c r="G26" i="30"/>
  <c r="G31" i="30" s="1"/>
  <c r="G33" i="30"/>
  <c r="G38" i="30" s="1"/>
  <c r="I18" i="6" s="1"/>
  <c r="F38" i="30"/>
  <c r="H18" i="6" s="1"/>
  <c r="H19" i="6" s="1"/>
  <c r="G26" i="18"/>
  <c r="G31" i="18" s="1"/>
  <c r="F38" i="18"/>
  <c r="H27" i="6" s="1"/>
  <c r="H28" i="6" s="1"/>
  <c r="G26" i="14"/>
  <c r="G31" i="14" s="1"/>
  <c r="G33" i="14"/>
  <c r="G38" i="14" s="1"/>
  <c r="F38" i="14"/>
  <c r="G17" i="30"/>
  <c r="I17" i="6" s="1"/>
  <c r="G19" i="30"/>
  <c r="G24" i="30" s="1"/>
  <c r="J56" i="4"/>
  <c r="H22" i="7" s="1"/>
  <c r="H33" i="6"/>
  <c r="H34" i="6" s="1"/>
  <c r="I58" i="4"/>
  <c r="G17" i="14"/>
  <c r="G19" i="14"/>
  <c r="G24" i="14" s="1"/>
  <c r="G5" i="22"/>
  <c r="G11" i="22" s="1"/>
  <c r="G19" i="7" s="1"/>
  <c r="I20" i="6"/>
  <c r="J27" i="4"/>
  <c r="F14" i="23"/>
  <c r="G29" i="28"/>
  <c r="H27" i="28" s="1"/>
  <c r="G12" i="28"/>
  <c r="F13" i="28"/>
  <c r="F30" i="42" s="1"/>
  <c r="F28" i="28"/>
  <c r="F30" i="28" s="1"/>
  <c r="F34" i="28" s="1"/>
  <c r="F11" i="28"/>
  <c r="H23" i="42"/>
  <c r="G10" i="6"/>
  <c r="G19" i="23" s="1"/>
  <c r="I29" i="4"/>
  <c r="G41" i="6" l="1"/>
  <c r="F9" i="8"/>
  <c r="F10" i="8" s="1"/>
  <c r="F90" i="4"/>
  <c r="G87" i="4" s="1"/>
  <c r="G88" i="4" s="1"/>
  <c r="F54" i="6" s="1"/>
  <c r="G27" i="22"/>
  <c r="G13" i="7" s="1"/>
  <c r="H6" i="8" s="1"/>
  <c r="H33" i="23" s="1"/>
  <c r="F37" i="22"/>
  <c r="I24" i="28"/>
  <c r="J18" i="28"/>
  <c r="J23" i="28" s="1"/>
  <c r="I19" i="6"/>
  <c r="J57" i="4"/>
  <c r="G33" i="18"/>
  <c r="G38" i="18" s="1"/>
  <c r="I27" i="6" s="1"/>
  <c r="I28" i="6" s="1"/>
  <c r="G13" i="22"/>
  <c r="I23" i="42"/>
  <c r="H10" i="6"/>
  <c r="H19" i="23" s="1"/>
  <c r="E45" i="6"/>
  <c r="E30" i="42"/>
  <c r="F31" i="42" s="1"/>
  <c r="E18" i="8" s="1"/>
  <c r="E21" i="8" s="1"/>
  <c r="E34" i="8" s="1"/>
  <c r="G13" i="28"/>
  <c r="G30" i="42" s="1"/>
  <c r="G11" i="28"/>
  <c r="G28" i="28"/>
  <c r="G30" i="28" s="1"/>
  <c r="G34" i="28" s="1"/>
  <c r="J28" i="4"/>
  <c r="H20" i="7" s="1"/>
  <c r="H21" i="6"/>
  <c r="H22" i="6" s="1"/>
  <c r="H38" i="6" s="1"/>
  <c r="I30" i="4"/>
  <c r="H29" i="28"/>
  <c r="I27" i="28" s="1"/>
  <c r="G14" i="23"/>
  <c r="H12" i="28"/>
  <c r="H6" i="7" l="1"/>
  <c r="H9" i="7" s="1"/>
  <c r="J32" i="28"/>
  <c r="I5" i="8"/>
  <c r="E56" i="6"/>
  <c r="E58" i="6" s="1"/>
  <c r="F68" i="4" s="1"/>
  <c r="G70" i="4" s="1"/>
  <c r="G77" i="4" s="1"/>
  <c r="G99" i="4"/>
  <c r="G101" i="4" s="1"/>
  <c r="F40" i="8" s="1"/>
  <c r="F43" i="8" s="1"/>
  <c r="F35" i="23" s="1"/>
  <c r="H5" i="22"/>
  <c r="H11" i="22" s="1"/>
  <c r="H19" i="7" s="1"/>
  <c r="H21" i="22"/>
  <c r="F43" i="22"/>
  <c r="H40" i="6" s="1"/>
  <c r="G29" i="22"/>
  <c r="G35" i="22" s="1"/>
  <c r="G21" i="7" s="1"/>
  <c r="G14" i="7"/>
  <c r="I33" i="6"/>
  <c r="I34" i="6" s="1"/>
  <c r="J58" i="4"/>
  <c r="G19" i="22"/>
  <c r="H39" i="6" s="1"/>
  <c r="E45" i="8"/>
  <c r="E34" i="23"/>
  <c r="E36" i="23" s="1"/>
  <c r="E39" i="23" s="1"/>
  <c r="J29" i="4"/>
  <c r="H28" i="28"/>
  <c r="H30" i="28" s="1"/>
  <c r="H34" i="28" s="1"/>
  <c r="H13" i="28"/>
  <c r="H30" i="42" s="1"/>
  <c r="H11" i="28"/>
  <c r="F45" i="6"/>
  <c r="F20" i="23" s="1"/>
  <c r="G31" i="42"/>
  <c r="F18" i="8" s="1"/>
  <c r="F21" i="8" s="1"/>
  <c r="F34" i="8" s="1"/>
  <c r="F34" i="23" s="1"/>
  <c r="F36" i="23" s="1"/>
  <c r="F39" i="23" s="1"/>
  <c r="D45" i="6"/>
  <c r="D18" i="8"/>
  <c r="D21" i="8" s="1"/>
  <c r="D34" i="8" s="1"/>
  <c r="D45" i="8" s="1"/>
  <c r="D47" i="8" s="1"/>
  <c r="H17" i="24" s="1"/>
  <c r="H15" i="24" s="1"/>
  <c r="H42" i="24" s="1"/>
  <c r="J15" i="42"/>
  <c r="J24" i="28"/>
  <c r="E20" i="23"/>
  <c r="E51" i="6"/>
  <c r="H14" i="23"/>
  <c r="I29" i="28"/>
  <c r="J27" i="28" s="1"/>
  <c r="I12" i="28"/>
  <c r="H24" i="23" l="1"/>
  <c r="H23" i="23"/>
  <c r="E59" i="6"/>
  <c r="H41" i="6"/>
  <c r="H13" i="22"/>
  <c r="H19" i="22" s="1"/>
  <c r="I39" i="6" s="1"/>
  <c r="G89" i="4"/>
  <c r="F55" i="6" s="1"/>
  <c r="E27" i="23"/>
  <c r="H27" i="22"/>
  <c r="H13" i="7" s="1"/>
  <c r="G37" i="22"/>
  <c r="H25" i="23"/>
  <c r="H4" i="8"/>
  <c r="H30" i="23" s="1"/>
  <c r="J16" i="42"/>
  <c r="I15" i="8" s="1"/>
  <c r="I10" i="6"/>
  <c r="I19" i="23" s="1"/>
  <c r="J23" i="42"/>
  <c r="D42" i="24"/>
  <c r="I43" i="24" s="1"/>
  <c r="D51" i="6"/>
  <c r="I13" i="28"/>
  <c r="I30" i="42" s="1"/>
  <c r="I28" i="28"/>
  <c r="I30" i="28" s="1"/>
  <c r="I34" i="28" s="1"/>
  <c r="I11" i="28"/>
  <c r="I21" i="6"/>
  <c r="I22" i="6" s="1"/>
  <c r="I38" i="6" s="1"/>
  <c r="J30" i="4"/>
  <c r="G45" i="6"/>
  <c r="G20" i="23" s="1"/>
  <c r="H31" i="42"/>
  <c r="G18" i="8" s="1"/>
  <c r="G21" i="8" s="1"/>
  <c r="G34" i="8" s="1"/>
  <c r="G34" i="23" s="1"/>
  <c r="F45" i="8"/>
  <c r="G96" i="4" l="1"/>
  <c r="G97" i="4" s="1"/>
  <c r="G76" i="4" s="1"/>
  <c r="G78" i="4" s="1"/>
  <c r="F46" i="6" s="1"/>
  <c r="F51" i="6" s="1"/>
  <c r="F22" i="23" s="1"/>
  <c r="G91" i="4"/>
  <c r="H92" i="4" s="1"/>
  <c r="H93" i="4" s="1"/>
  <c r="G57" i="6" s="1"/>
  <c r="G43" i="22"/>
  <c r="I40" i="6" s="1"/>
  <c r="I41" i="6" s="1"/>
  <c r="H29" i="22"/>
  <c r="I6" i="8"/>
  <c r="I33" i="23" s="1"/>
  <c r="H14" i="7"/>
  <c r="H45" i="6"/>
  <c r="H20" i="23" s="1"/>
  <c r="I31" i="42"/>
  <c r="H18" i="8" s="1"/>
  <c r="H21" i="8" s="1"/>
  <c r="H34" i="8" s="1"/>
  <c r="H34" i="23" s="1"/>
  <c r="E22" i="23"/>
  <c r="D59" i="6"/>
  <c r="D5" i="6" s="1"/>
  <c r="J29" i="28"/>
  <c r="J12" i="28"/>
  <c r="I14" i="23"/>
  <c r="I24" i="23" l="1"/>
  <c r="I23" i="23"/>
  <c r="F18" i="7"/>
  <c r="F23" i="7" s="1"/>
  <c r="F24" i="7" s="1"/>
  <c r="H95" i="4" s="1"/>
  <c r="E25" i="7"/>
  <c r="E26" i="7" s="1"/>
  <c r="F26" i="23" s="1"/>
  <c r="H79" i="4"/>
  <c r="G31" i="23" s="1"/>
  <c r="G32" i="23" s="1"/>
  <c r="G36" i="23" s="1"/>
  <c r="G39" i="23" s="1"/>
  <c r="I4" i="8"/>
  <c r="I30" i="23" s="1"/>
  <c r="I25" i="23"/>
  <c r="H35" i="22"/>
  <c r="H21" i="7" s="1"/>
  <c r="H37" i="22"/>
  <c r="H43" i="22" s="1"/>
  <c r="J28" i="28"/>
  <c r="J30" i="28" s="1"/>
  <c r="J34" i="28" s="1"/>
  <c r="J11" i="28"/>
  <c r="J13" i="28"/>
  <c r="J30" i="42" s="1"/>
  <c r="E46" i="8"/>
  <c r="E47" i="8" s="1"/>
  <c r="E5" i="6" s="1"/>
  <c r="D12" i="6"/>
  <c r="G9" i="8" l="1"/>
  <c r="G10" i="8" s="1"/>
  <c r="H71" i="4"/>
  <c r="G90" i="4"/>
  <c r="H87" i="4" s="1"/>
  <c r="H88" i="4" s="1"/>
  <c r="G54" i="6" s="1"/>
  <c r="D43" i="6"/>
  <c r="D34" i="23"/>
  <c r="D36" i="23" s="1"/>
  <c r="D39" i="23" s="1"/>
  <c r="J31" i="42"/>
  <c r="I18" i="8" s="1"/>
  <c r="I21" i="8" s="1"/>
  <c r="I34" i="8" s="1"/>
  <c r="I45" i="6"/>
  <c r="I20" i="23" s="1"/>
  <c r="F46" i="8"/>
  <c r="F47" i="8" s="1"/>
  <c r="F5" i="6" s="1"/>
  <c r="E12" i="6"/>
  <c r="F56" i="6" l="1"/>
  <c r="F58" i="6" s="1"/>
  <c r="G68" i="4" s="1"/>
  <c r="H70" i="4" s="1"/>
  <c r="H77" i="4" s="1"/>
  <c r="H99" i="4"/>
  <c r="H101" i="4" s="1"/>
  <c r="G40" i="8" s="1"/>
  <c r="G43" i="8" s="1"/>
  <c r="G45" i="8" s="1"/>
  <c r="E17" i="23"/>
  <c r="E43" i="6"/>
  <c r="E16" i="23"/>
  <c r="F12" i="6"/>
  <c r="G46" i="8"/>
  <c r="D61" i="6"/>
  <c r="D46" i="23"/>
  <c r="D60" i="6"/>
  <c r="H89" i="4" l="1"/>
  <c r="H96" i="4" s="1"/>
  <c r="H97" i="4" s="1"/>
  <c r="H76" i="4" s="1"/>
  <c r="H78" i="4" s="1"/>
  <c r="F27" i="23"/>
  <c r="F59" i="6"/>
  <c r="G35" i="23"/>
  <c r="F17" i="23"/>
  <c r="F16" i="23"/>
  <c r="F43" i="6"/>
  <c r="E21" i="23"/>
  <c r="E60" i="6"/>
  <c r="E61" i="6"/>
  <c r="E28" i="23"/>
  <c r="G47" i="8"/>
  <c r="G5" i="6" s="1"/>
  <c r="H46" i="8" s="1"/>
  <c r="G55" i="6" l="1"/>
  <c r="H91" i="4"/>
  <c r="I92" i="4" s="1"/>
  <c r="G18" i="7" s="1"/>
  <c r="G23" i="7" s="1"/>
  <c r="G24" i="7" s="1"/>
  <c r="G12" i="6"/>
  <c r="G43" i="6" s="1"/>
  <c r="F21" i="23"/>
  <c r="F28" i="23"/>
  <c r="F61" i="6"/>
  <c r="F60" i="6"/>
  <c r="F25" i="7"/>
  <c r="F26" i="7" s="1"/>
  <c r="I79" i="4"/>
  <c r="G46" i="6"/>
  <c r="I93" i="4" l="1"/>
  <c r="H57" i="6" s="1"/>
  <c r="G17" i="23"/>
  <c r="H9" i="8"/>
  <c r="H10" i="8" s="1"/>
  <c r="H31" i="23"/>
  <c r="H32" i="23" s="1"/>
  <c r="H36" i="23" s="1"/>
  <c r="G28" i="23"/>
  <c r="H90" i="4"/>
  <c r="G26" i="23"/>
  <c r="G51" i="6"/>
  <c r="G22" i="23" s="1"/>
  <c r="G16" i="23"/>
  <c r="I71" i="4"/>
  <c r="I95" i="4"/>
  <c r="I87" i="4" l="1"/>
  <c r="I88" i="4" s="1"/>
  <c r="G56" i="6"/>
  <c r="G58" i="6" s="1"/>
  <c r="G59" i="6" s="1"/>
  <c r="H39" i="23"/>
  <c r="G21" i="23"/>
  <c r="I99" i="4" l="1"/>
  <c r="I101" i="4" s="1"/>
  <c r="G61" i="6"/>
  <c r="G60" i="6"/>
  <c r="H68" i="4"/>
  <c r="I70" i="4" s="1"/>
  <c r="I77" i="4" s="1"/>
  <c r="G27" i="23"/>
  <c r="H54" i="6"/>
  <c r="H40" i="8" l="1"/>
  <c r="H43" i="8" s="1"/>
  <c r="I89" i="4"/>
  <c r="H35" i="23" l="1"/>
  <c r="H45" i="8"/>
  <c r="H47" i="8" s="1"/>
  <c r="H5" i="6" s="1"/>
  <c r="H55" i="6"/>
  <c r="I96" i="4"/>
  <c r="I97" i="4" s="1"/>
  <c r="I76" i="4" s="1"/>
  <c r="I78" i="4" s="1"/>
  <c r="I91" i="4"/>
  <c r="J92" i="4" s="1"/>
  <c r="H18" i="7" l="1"/>
  <c r="H23" i="7" s="1"/>
  <c r="H24" i="7" s="1"/>
  <c r="J93" i="4"/>
  <c r="I57" i="6" s="1"/>
  <c r="I46" i="8"/>
  <c r="H12" i="6"/>
  <c r="H46" i="6"/>
  <c r="G25" i="7"/>
  <c r="G26" i="7" s="1"/>
  <c r="J79" i="4"/>
  <c r="I90" i="4" l="1"/>
  <c r="H26" i="23"/>
  <c r="H51" i="6"/>
  <c r="H22" i="23" s="1"/>
  <c r="I31" i="23"/>
  <c r="I32" i="23" s="1"/>
  <c r="I9" i="8"/>
  <c r="I10" i="8" s="1"/>
  <c r="H17" i="23"/>
  <c r="H16" i="23"/>
  <c r="H43" i="6"/>
  <c r="J71" i="4"/>
  <c r="J95" i="4"/>
  <c r="H21" i="23" l="1"/>
  <c r="H28" i="23"/>
  <c r="J87" i="4"/>
  <c r="J88" i="4" s="1"/>
  <c r="H56" i="6"/>
  <c r="H58" i="6" s="1"/>
  <c r="I68" i="4" l="1"/>
  <c r="J70" i="4" s="1"/>
  <c r="J77" i="4" s="1"/>
  <c r="H27" i="23"/>
  <c r="H59" i="6"/>
  <c r="J99" i="4"/>
  <c r="J101" i="4" s="1"/>
  <c r="I40" i="8" s="1"/>
  <c r="I43" i="8" s="1"/>
  <c r="I54" i="6"/>
  <c r="J89" i="4" l="1"/>
  <c r="I35" i="23"/>
  <c r="I45" i="8"/>
  <c r="I47" i="8" s="1"/>
  <c r="I5" i="6" s="1"/>
  <c r="I12" i="6" s="1"/>
  <c r="H61" i="6"/>
  <c r="H60" i="6"/>
  <c r="I43" i="6" l="1"/>
  <c r="I34" i="23"/>
  <c r="I36" i="23" s="1"/>
  <c r="I55" i="6"/>
  <c r="J96" i="4"/>
  <c r="J97" i="4" s="1"/>
  <c r="J76" i="4" s="1"/>
  <c r="J78" i="4" s="1"/>
  <c r="J91" i="4"/>
  <c r="H25" i="7" l="1"/>
  <c r="H26" i="7" s="1"/>
  <c r="I46" i="6"/>
  <c r="I39" i="23"/>
  <c r="D43" i="23"/>
  <c r="D44" i="23"/>
  <c r="D42" i="23"/>
  <c r="I51" i="6" l="1"/>
  <c r="I22" i="23" s="1"/>
  <c r="I17" i="23"/>
  <c r="I16" i="23"/>
  <c r="I28" i="23"/>
  <c r="J90" i="4"/>
  <c r="I56" i="6" s="1"/>
  <c r="I58" i="6" s="1"/>
  <c r="J68" i="4" s="1"/>
  <c r="I26" i="23"/>
  <c r="I27" i="23" l="1"/>
  <c r="I21" i="23"/>
  <c r="I59" i="6"/>
  <c r="I61" i="6" l="1"/>
  <c r="I60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Microsoft Office</author>
  </authors>
  <commentList>
    <comment ref="C170" authorId="0" shapeId="0" xr:uid="{00000000-0006-0000-0700-000001000000}">
      <text>
        <r>
          <rPr>
            <b/>
            <sz val="10"/>
            <color indexed="81"/>
            <rFont val="Calibri"/>
            <family val="2"/>
          </rPr>
          <t>Corresponde a activos no clasificados como fijos, diferidos o corrientes como depósitos dados en garantía, terrenos o inmuebles no utlizados, activos en litigio, entre otros.</t>
        </r>
      </text>
    </comment>
  </commentList>
</comments>
</file>

<file path=xl/sharedStrings.xml><?xml version="1.0" encoding="utf-8"?>
<sst xmlns="http://schemas.openxmlformats.org/spreadsheetml/2006/main" count="1763" uniqueCount="617">
  <si>
    <t>%</t>
  </si>
  <si>
    <t>IPP</t>
  </si>
  <si>
    <t>Crecimiento PIB</t>
  </si>
  <si>
    <t>$</t>
  </si>
  <si>
    <t>DTF T.A.</t>
  </si>
  <si>
    <t>unid.</t>
  </si>
  <si>
    <t>Cuentas por cobrar</t>
  </si>
  <si>
    <t>días</t>
  </si>
  <si>
    <t>Rebaja</t>
  </si>
  <si>
    <t>% ventas</t>
  </si>
  <si>
    <t>Pronto pago</t>
  </si>
  <si>
    <t>Gastos de Ventas</t>
  </si>
  <si>
    <t>Axi</t>
  </si>
  <si>
    <t>Depreciación Período</t>
  </si>
  <si>
    <t>Axi Depreciación acumulada</t>
  </si>
  <si>
    <t>Depreciación acumulada</t>
  </si>
  <si>
    <t>Valor neto</t>
  </si>
  <si>
    <t>Depreciación acum.</t>
  </si>
  <si>
    <t>Depreciación</t>
  </si>
  <si>
    <t>Cuentas por Pagar</t>
  </si>
  <si>
    <t>Impuestos</t>
  </si>
  <si>
    <t>Patrimonio</t>
  </si>
  <si>
    <t>Renta Presuntiva</t>
  </si>
  <si>
    <t>Renta Liquida</t>
  </si>
  <si>
    <t>Capital Social</t>
  </si>
  <si>
    <t>Deuda</t>
  </si>
  <si>
    <t>Reserva Legal Período</t>
  </si>
  <si>
    <t>Reserva Legal Acumulada</t>
  </si>
  <si>
    <t>Utilidades Retenidas</t>
  </si>
  <si>
    <t>Utilidades del Ejercicio</t>
  </si>
  <si>
    <t>Base Revalorización</t>
  </si>
  <si>
    <t>Revalorizacion patrimonio período</t>
  </si>
  <si>
    <t>Revalorizacion patrimonio acumulado</t>
  </si>
  <si>
    <t>TOTAL PATRIMONIO</t>
  </si>
  <si>
    <t>Dividendos</t>
  </si>
  <si>
    <t>PARAMETRO</t>
  </si>
  <si>
    <t>VALOR</t>
  </si>
  <si>
    <t>EXPLICACION</t>
  </si>
  <si>
    <t>Gracia</t>
  </si>
  <si>
    <t>Plazo</t>
  </si>
  <si>
    <t>Tasa en pesos</t>
  </si>
  <si>
    <t>Puntos por encima del DTF</t>
  </si>
  <si>
    <t>BALANCE GENERAL</t>
  </si>
  <si>
    <t>Efectivo</t>
  </si>
  <si>
    <t>Total Activo Corriente:</t>
  </si>
  <si>
    <t>Depreciación Acumulada Planta</t>
  </si>
  <si>
    <t>Maquinaria y Equipo</t>
  </si>
  <si>
    <t>Total Activos Fijos:</t>
  </si>
  <si>
    <t>Impuestos X Pagar</t>
  </si>
  <si>
    <t>Obligaciones Financieras</t>
  </si>
  <si>
    <t>Otros pasivos a LP</t>
  </si>
  <si>
    <t>Revalorizacion patrimonio</t>
  </si>
  <si>
    <t>CUADRE</t>
  </si>
  <si>
    <t>ESTADO DE RESULTADOS</t>
  </si>
  <si>
    <t>Ventas</t>
  </si>
  <si>
    <t>Devoluciones y rebajas en ventas</t>
  </si>
  <si>
    <t>Utilidad Bruta</t>
  </si>
  <si>
    <t>Utilidad Operativa</t>
  </si>
  <si>
    <t>Otros ingresos</t>
  </si>
  <si>
    <t xml:space="preserve"> Intereses</t>
  </si>
  <si>
    <t>Otros ingresos y egresos</t>
  </si>
  <si>
    <t xml:space="preserve"> Revalorización de Patrimonio</t>
  </si>
  <si>
    <t xml:space="preserve"> Ajuste Activos no Monetarios</t>
  </si>
  <si>
    <t xml:space="preserve"> Ajuste Depreciación Acumulada</t>
  </si>
  <si>
    <t>Total Corrección Monetaria</t>
  </si>
  <si>
    <t>Utilidad antes de impuestos</t>
  </si>
  <si>
    <t>Utilidad Neta Final</t>
  </si>
  <si>
    <t>FLUJO DE CAJA</t>
  </si>
  <si>
    <t>Flujo de Caja Operativo</t>
  </si>
  <si>
    <t>Neto Flujo de Caja Operativo</t>
  </si>
  <si>
    <t>Flujo de Caja Inversión</t>
  </si>
  <si>
    <t>Variación del Capital de Trabajo</t>
  </si>
  <si>
    <t>Neto Flujo de Caja Inversión</t>
  </si>
  <si>
    <t>Flujo de Caja Financiamiento</t>
  </si>
  <si>
    <t>Amortizaciones Pasivos Largo Plazo</t>
  </si>
  <si>
    <t>Intereses Pagados</t>
  </si>
  <si>
    <t>Dividendos Pagados</t>
  </si>
  <si>
    <t>Capital</t>
  </si>
  <si>
    <t>Neto Flujo de Caja Financiamiento</t>
  </si>
  <si>
    <t>Neto Periodo</t>
  </si>
  <si>
    <t>Saldo anterior</t>
  </si>
  <si>
    <t>Saldo siguiente</t>
  </si>
  <si>
    <t>Nueva Deuda Final año</t>
  </si>
  <si>
    <t xml:space="preserve"> Obligación 0</t>
  </si>
  <si>
    <t xml:space="preserve"> Obligación 1</t>
  </si>
  <si>
    <t xml:space="preserve"> Obligación 2</t>
  </si>
  <si>
    <t xml:space="preserve"> Obligación 3</t>
  </si>
  <si>
    <t xml:space="preserve"> Obligación 4</t>
  </si>
  <si>
    <t xml:space="preserve"> Obligación 5</t>
  </si>
  <si>
    <t>Total Saldo Deuda</t>
  </si>
  <si>
    <t>Total Amortización</t>
  </si>
  <si>
    <t>Total Intereses</t>
  </si>
  <si>
    <t>DTF EA</t>
  </si>
  <si>
    <t>Saldo Deuda Final</t>
  </si>
  <si>
    <t>Amortización Deuda</t>
  </si>
  <si>
    <t>Inversiones al inicio del período</t>
  </si>
  <si>
    <t>Inversión 1</t>
  </si>
  <si>
    <t>Inversión 2</t>
  </si>
  <si>
    <t>Inversión 3</t>
  </si>
  <si>
    <t>Inversión 4</t>
  </si>
  <si>
    <t>Inversión 5</t>
  </si>
  <si>
    <t>Total Axi</t>
  </si>
  <si>
    <t>Inversión Ajustada</t>
  </si>
  <si>
    <t>Total Inversiones Ajustadas</t>
  </si>
  <si>
    <t>Total Depreciación período</t>
  </si>
  <si>
    <t>Axi Depreciación</t>
  </si>
  <si>
    <t>Total Axi Depreciación</t>
  </si>
  <si>
    <t>Depreciación Acumulada</t>
  </si>
  <si>
    <t>Total Depreciación Acumulada</t>
  </si>
  <si>
    <t>DTF T.A. + puntos</t>
  </si>
  <si>
    <t>Margen Bruto</t>
  </si>
  <si>
    <t>Utilidad Operacional</t>
  </si>
  <si>
    <t>Cartera Clientes</t>
  </si>
  <si>
    <t>Cartera Clientes (Var.)</t>
  </si>
  <si>
    <t>Desembolsos Pasivo Largo Plazo</t>
  </si>
  <si>
    <t>Terrenos</t>
  </si>
  <si>
    <t>Valor Ajustado</t>
  </si>
  <si>
    <t>Construcciones y Edificios</t>
  </si>
  <si>
    <t>Maquinaria y Equipo de Operación</t>
  </si>
  <si>
    <t>Equipo de Transporte</t>
  </si>
  <si>
    <t>PAGG</t>
  </si>
  <si>
    <t>Construcciones y Edificaciones</t>
  </si>
  <si>
    <t>Muebles y Enseres</t>
  </si>
  <si>
    <t>Vida útil (años)</t>
  </si>
  <si>
    <t>Equipo de Oficina</t>
  </si>
  <si>
    <t>Provisión Cuentas por Cobrar</t>
  </si>
  <si>
    <t>Provisiones</t>
  </si>
  <si>
    <t>Depreciaciones</t>
  </si>
  <si>
    <t>Provisión Período</t>
  </si>
  <si>
    <t>Inventarios Producto Terminado</t>
  </si>
  <si>
    <t>Semovientes pie de cria</t>
  </si>
  <si>
    <t>Semovientes pie de Cria</t>
  </si>
  <si>
    <t>Cultivos Permanentes</t>
  </si>
  <si>
    <t>Otros Pasivos</t>
  </si>
  <si>
    <t>Pasivo</t>
  </si>
  <si>
    <t>Obligacion Fondo Emprender (Contingente)</t>
  </si>
  <si>
    <t>Variacion Cuentas por Cobrar</t>
  </si>
  <si>
    <t>Variacion Inv. Prod. Terminados</t>
  </si>
  <si>
    <t>Variación Cuentas por Pagar</t>
  </si>
  <si>
    <t>Precio Promedio</t>
  </si>
  <si>
    <t>Rebajas en Ventas</t>
  </si>
  <si>
    <t>Inventarios</t>
  </si>
  <si>
    <t>Capital de Trabajo</t>
  </si>
  <si>
    <t>Rotación Cartera Clientes</t>
  </si>
  <si>
    <t>Activos iniciales</t>
  </si>
  <si>
    <t>Capital Socios</t>
  </si>
  <si>
    <t>Obligaciones Fondo Emprender</t>
  </si>
  <si>
    <t>Inversión en Terrenos</t>
  </si>
  <si>
    <t>Construcciones</t>
  </si>
  <si>
    <t>Inversión en Construcciones</t>
  </si>
  <si>
    <t>Inversión en Maquinaria y Equipo</t>
  </si>
  <si>
    <t>Inversión en Equipos de Oficina</t>
  </si>
  <si>
    <t>Inversión en Muebles</t>
  </si>
  <si>
    <t>Inversión en Equipo de Transporte</t>
  </si>
  <si>
    <t>Transporte</t>
  </si>
  <si>
    <t>Muebles</t>
  </si>
  <si>
    <t>Oficina</t>
  </si>
  <si>
    <t>Otros</t>
  </si>
  <si>
    <t>Semovientes</t>
  </si>
  <si>
    <t>Amortización Período</t>
  </si>
  <si>
    <t>Axi Amortización acumulada</t>
  </si>
  <si>
    <t>Amortización acum.</t>
  </si>
  <si>
    <t xml:space="preserve"> Depreciación Acumulada</t>
  </si>
  <si>
    <t>Amortización</t>
  </si>
  <si>
    <t>Ajuste Amortización Acumulada</t>
  </si>
  <si>
    <t>Axi Amortización</t>
  </si>
  <si>
    <t>Amortización Acumulada</t>
  </si>
  <si>
    <t>Total Amortización Acumulada</t>
  </si>
  <si>
    <t>Total Axi Amortización</t>
  </si>
  <si>
    <t>Total Amortización período</t>
  </si>
  <si>
    <t>Permanentes</t>
  </si>
  <si>
    <t>Utilidades Repartibles</t>
  </si>
  <si>
    <t>Renta</t>
  </si>
  <si>
    <t>Impuesto Renta</t>
  </si>
  <si>
    <t>Impuestos por Pagar</t>
  </si>
  <si>
    <t xml:space="preserve"> Agotamiento Acumulada</t>
  </si>
  <si>
    <t>Total Inventario</t>
  </si>
  <si>
    <t>Otros Activos</t>
  </si>
  <si>
    <t>Variación</t>
  </si>
  <si>
    <t>Inversión Otros Activos</t>
  </si>
  <si>
    <t>Estructura de Capital</t>
  </si>
  <si>
    <t>Capital Adicional Socios</t>
  </si>
  <si>
    <t>Total Otros Activos Fijos</t>
  </si>
  <si>
    <t>Cuentas X Pagar Proveedores</t>
  </si>
  <si>
    <t>Cuentas por Pagar Proveedores</t>
  </si>
  <si>
    <t>Acreedores Varios</t>
  </si>
  <si>
    <t>Variación Acreedores Varios</t>
  </si>
  <si>
    <t>Variación Otros Pasivos</t>
  </si>
  <si>
    <t>Var. Anticipos y Otros Cuentas por Cobrar</t>
  </si>
  <si>
    <t>Inversión 0</t>
  </si>
  <si>
    <t>Ajuste Agotamiento Acumulada</t>
  </si>
  <si>
    <t>Amortización (años)</t>
  </si>
  <si>
    <t>Agotamiento (años)</t>
  </si>
  <si>
    <t>Acreedores Gastos Anticipados(Var.)</t>
  </si>
  <si>
    <t>Gastos durante el período</t>
  </si>
  <si>
    <t xml:space="preserve">  Supuestos Macroeconómicos  </t>
  </si>
  <si>
    <t xml:space="preserve">  Variación Anual IPC     </t>
  </si>
  <si>
    <t xml:space="preserve">  Devaluación     </t>
  </si>
  <si>
    <t xml:space="preserve">  Variación PIB     </t>
  </si>
  <si>
    <t xml:space="preserve">  DTF ATA     </t>
  </si>
  <si>
    <t xml:space="preserve">  Supuestos Operativos  </t>
  </si>
  <si>
    <t xml:space="preserve">  Variación precios     </t>
  </si>
  <si>
    <t xml:space="preserve">  Variación Cantidades vendidas     </t>
  </si>
  <si>
    <t xml:space="preserve">  Variación costos de producción     </t>
  </si>
  <si>
    <t xml:space="preserve">  Variación Gastos Administrativos     </t>
  </si>
  <si>
    <t xml:space="preserve">  Rotación Cartera (días)     </t>
  </si>
  <si>
    <t xml:space="preserve">  Rotación Proveedores (días)     </t>
  </si>
  <si>
    <t xml:space="preserve">  Indicadores Financieros Proyectados </t>
  </si>
  <si>
    <t xml:space="preserve">  Liquidez - Razón Corriente       </t>
  </si>
  <si>
    <t xml:space="preserve">  Prueba Acida       </t>
  </si>
  <si>
    <t xml:space="preserve">  Nivel de Endeudamiento Total       </t>
  </si>
  <si>
    <t xml:space="preserve">  Concentración Corto Plazo       </t>
  </si>
  <si>
    <t xml:space="preserve">  Ebitda / Gastos Financieros       </t>
  </si>
  <si>
    <t xml:space="preserve">  Ebitda / Servicio de Deuda       </t>
  </si>
  <si>
    <t xml:space="preserve">  Rentabilidad Operacional       </t>
  </si>
  <si>
    <t xml:space="preserve">  Rentabilidad Neta       </t>
  </si>
  <si>
    <t xml:space="preserve">  Rentabilidad Patrimonio       </t>
  </si>
  <si>
    <t xml:space="preserve">  Rentabilidad del Activo       </t>
  </si>
  <si>
    <t xml:space="preserve">Flujo de Caja y Rentabilidad  </t>
  </si>
  <si>
    <t xml:space="preserve">  Flujo de Operación     </t>
  </si>
  <si>
    <t xml:space="preserve">  Flujo de Inversión     </t>
  </si>
  <si>
    <t xml:space="preserve">  Flujo de Financiación     </t>
  </si>
  <si>
    <t xml:space="preserve">  Flujo de caja para evaluación     </t>
  </si>
  <si>
    <t xml:space="preserve">  Tasa de descuento Utilizada     </t>
  </si>
  <si>
    <t xml:space="preserve">  Flujo de caja descontado     </t>
  </si>
  <si>
    <t xml:space="preserve">   Criterios de Decisión</t>
  </si>
  <si>
    <t xml:space="preserve"> Tasa mínima de rendimiento a la que aspira el emprendedor </t>
  </si>
  <si>
    <t xml:space="preserve"> TIR (Tasa Interna de Retorno) </t>
  </si>
  <si>
    <t xml:space="preserve"> VAN (Valor actual neto) </t>
  </si>
  <si>
    <t xml:space="preserve"> PRI (Periodo de recuperación de la inversión)  </t>
  </si>
  <si>
    <t xml:space="preserve"> Duración de la etapa improductiva del negocio ( fase de implementación).en meses  </t>
  </si>
  <si>
    <t xml:space="preserve"> Nivel de endeudamiento inicial del negocio, teniendo en cuenta los recursos del fondo emprender. ( AFE/AT)  </t>
  </si>
  <si>
    <t xml:space="preserve"> Periodo en el cual se plantea la primera expansión del negocio ( Indique el mes )  </t>
  </si>
  <si>
    <t xml:space="preserve"> Periodo en el cual se plantea la segunda expansión del negocio ( Indique el mes ) </t>
  </si>
  <si>
    <t>Devaluación</t>
  </si>
  <si>
    <t>Materia Prima (Costo Promedio)</t>
  </si>
  <si>
    <t>$ / unid.</t>
  </si>
  <si>
    <t>Gracia a Capital (Años)</t>
  </si>
  <si>
    <t>Plazo de la Deuda (Años)</t>
  </si>
  <si>
    <t>Inflación</t>
  </si>
  <si>
    <t>Unidades Vendidas por Producto</t>
  </si>
  <si>
    <t>Total Ventas</t>
  </si>
  <si>
    <t>Costos Variables Unitarios</t>
  </si>
  <si>
    <t>Renta Presuntiva sobre patrimonio Liquido</t>
  </si>
  <si>
    <t>icono</t>
  </si>
  <si>
    <t>Desembolsos Fondo Emprender</t>
  </si>
  <si>
    <t>Ajustes por Inflación</t>
  </si>
  <si>
    <t>0: Tener en cuenta; 1: No Tener en cuenta</t>
  </si>
  <si>
    <t>Factor</t>
  </si>
  <si>
    <t>Fecha</t>
  </si>
  <si>
    <t>Ultimo año</t>
  </si>
  <si>
    <t>Condiciones de la Deuda</t>
  </si>
  <si>
    <t>Depreciación Activos Fijos</t>
  </si>
  <si>
    <t>ACTIVO</t>
  </si>
  <si>
    <t>PASIVO</t>
  </si>
  <si>
    <t>PATRIMONIO</t>
  </si>
  <si>
    <t>PASIVO + PATRIMONIO</t>
  </si>
  <si>
    <t>Activo</t>
  </si>
  <si>
    <t>Tasa Efectiva Anual</t>
  </si>
  <si>
    <t>tarifa de impuesto CREE</t>
  </si>
  <si>
    <t>Impuesto CREE</t>
  </si>
  <si>
    <t>CREE</t>
  </si>
  <si>
    <t>Indique si se acoge a la ley 1429</t>
  </si>
  <si>
    <t>Tarifa Impuesto de Renta</t>
  </si>
  <si>
    <t>No</t>
  </si>
  <si>
    <t>Selecciones Si o No</t>
  </si>
  <si>
    <t>Tarifa a pagar sobre impuesto renta(Según ley 1429)</t>
  </si>
  <si>
    <t>PLAN DE INVERSIÓN Y FINANCIACIÓN PROYECTO</t>
  </si>
  <si>
    <t>TOTAL INVERSIONES</t>
  </si>
  <si>
    <t xml:space="preserve">Deuda </t>
  </si>
  <si>
    <t>TOTAL</t>
  </si>
  <si>
    <t>Proveedores</t>
  </si>
  <si>
    <t>Inversiones Fijas *</t>
  </si>
  <si>
    <t>Verificación Inversiones Fijas **</t>
  </si>
  <si>
    <t>Verificación Inversión Diferida **</t>
  </si>
  <si>
    <t>Verificación Total Inversiones **</t>
  </si>
  <si>
    <t>Inversión Diferida</t>
  </si>
  <si>
    <t>Gastos de Constitución</t>
  </si>
  <si>
    <t>Información del Proyecto</t>
  </si>
  <si>
    <t>Total Inversión Diferida</t>
  </si>
  <si>
    <t>Amortización Diferidos</t>
  </si>
  <si>
    <t>Total Inversión Diferida:</t>
  </si>
  <si>
    <t xml:space="preserve">  Utilidades después de impuestos</t>
  </si>
  <si>
    <t xml:space="preserve">  Depreciac + Amortizac + Agotamiento + Provisiones</t>
  </si>
  <si>
    <t>Empleos y Mano de Obra</t>
  </si>
  <si>
    <t>Empleos Administrativos</t>
  </si>
  <si>
    <t>Empleos Comerciales</t>
  </si>
  <si>
    <t>Total Personal</t>
  </si>
  <si>
    <t>Gasto de Administración</t>
  </si>
  <si>
    <t>Arrendamientos</t>
  </si>
  <si>
    <t>MÁRGENES POR PRODUCTOS</t>
  </si>
  <si>
    <t>Adecuaciones y Mejoras</t>
  </si>
  <si>
    <t>Verificación Inversión Corriente **</t>
  </si>
  <si>
    <t>Capital Emprendedor</t>
  </si>
  <si>
    <t>Inversión Corriente (Capital de Trabajo) *</t>
  </si>
  <si>
    <t>Fondo Emprender ***</t>
  </si>
  <si>
    <t>*** Tenga en cuenta para determinar los recursos máximos del Fondo Emprender el número de empleos generados por el proyecto.</t>
  </si>
  <si>
    <t xml:space="preserve"> Indique la Tasa de Descuento del emprendedor</t>
  </si>
  <si>
    <t xml:space="preserve">   Productos</t>
  </si>
  <si>
    <t>Depreciación Acumulada A y M</t>
  </si>
  <si>
    <t>Adecuaciones y mejoras</t>
  </si>
  <si>
    <t>Inversión en Adecuaciones y Mejoras</t>
  </si>
  <si>
    <t>Activos Diferidos</t>
  </si>
  <si>
    <t>Agotamiento</t>
  </si>
  <si>
    <t>Otros Ingresos</t>
  </si>
  <si>
    <t>Unidad</t>
  </si>
  <si>
    <t>Variables Macroeconómicas (Solo para uso informativo)</t>
  </si>
  <si>
    <t>Precio por Producto</t>
  </si>
  <si>
    <t>Precios, Volùmenes y Ventas Totales</t>
  </si>
  <si>
    <t>Cantidad</t>
  </si>
  <si>
    <t>Factor Prestacional</t>
  </si>
  <si>
    <t>Rubros</t>
  </si>
  <si>
    <t>Dotaciones</t>
  </si>
  <si>
    <t>$ / unidad</t>
  </si>
  <si>
    <t>Salario Mensual</t>
  </si>
  <si>
    <t>Total</t>
  </si>
  <si>
    <t>Subtotal</t>
  </si>
  <si>
    <t>Administración</t>
  </si>
  <si>
    <t>Sueldos a empleados de ventas</t>
  </si>
  <si>
    <t>Sueldos a empleados de administración</t>
  </si>
  <si>
    <t>Precio</t>
  </si>
  <si>
    <t>Infraestructura: Terrenos y Construcciones</t>
  </si>
  <si>
    <t>Maquinaria y Equipos</t>
  </si>
  <si>
    <t>Subtotal Infraestructura</t>
  </si>
  <si>
    <t>Subtotal Maquinaria y Equipos</t>
  </si>
  <si>
    <t>Subtotal Muebles y Enseres</t>
  </si>
  <si>
    <t>Equipo de Transporte y Carga</t>
  </si>
  <si>
    <t>Total Inversiones Fijas</t>
  </si>
  <si>
    <t>Inversión Activos</t>
  </si>
  <si>
    <t>Inversión Diferida (Gastos Período Preoperativo )</t>
  </si>
  <si>
    <t>Servicios Públicos</t>
  </si>
  <si>
    <t>Gastos Notariales</t>
  </si>
  <si>
    <t>Matrícula Mercantil</t>
  </si>
  <si>
    <t>Sistema de Seguridad Industrial / Plan de Emergencia</t>
  </si>
  <si>
    <t>Honorarios Contador</t>
  </si>
  <si>
    <t>Seguro Todo Riesgo</t>
  </si>
  <si>
    <t>Evento de Lanzamiento</t>
  </si>
  <si>
    <t>Equipos Comunicaciones, Computación y Herramientas</t>
  </si>
  <si>
    <t>Subtotal Semovientes</t>
  </si>
  <si>
    <t>Subtotal Cultivos Permanentes</t>
  </si>
  <si>
    <t>g</t>
  </si>
  <si>
    <t>v</t>
  </si>
  <si>
    <t>Otros Ingresos No operacionales</t>
  </si>
  <si>
    <t>Otros Ingresos No Operacionales</t>
  </si>
  <si>
    <t>Equipos de Comunicaciones, Computación y Herramientas</t>
  </si>
  <si>
    <t>Publicidad y Mercadeo</t>
  </si>
  <si>
    <t>Otros Diferidos  No Financiables</t>
  </si>
  <si>
    <t>Subtotal Otros Diferidos No Financiables</t>
  </si>
  <si>
    <t>Otros Diferidos Financiables No Especificados</t>
  </si>
  <si>
    <t>Subtotal Otros Diferidos Financiables No Especificados</t>
  </si>
  <si>
    <t>Inicio</t>
  </si>
  <si>
    <t>Bases</t>
  </si>
  <si>
    <t>Precio Ventas</t>
  </si>
  <si>
    <t>Inversiones Fijas y Diferidas</t>
  </si>
  <si>
    <t>Plan de Inversión y Financiación</t>
  </si>
  <si>
    <t xml:space="preserve">El bloque Entrada de Datos (pestañas en Amarillo) permite la entrada de todos los datos de información requeridos.  </t>
  </si>
  <si>
    <t>Igualmente, se deben diligenciar el nombre de  productos que producirá el proyecto. Se pueden incluir hasta un máximo de 10 productos.</t>
  </si>
  <si>
    <t>ENTRADA DE DATOS</t>
  </si>
  <si>
    <t>RESULTADOS</t>
  </si>
  <si>
    <t>AUXILIARES</t>
  </si>
  <si>
    <t>Márgenes por productos</t>
  </si>
  <si>
    <t>Deuda $</t>
  </si>
  <si>
    <t>Precios Ventas</t>
  </si>
  <si>
    <t>P&amp;G</t>
  </si>
  <si>
    <t>Balance</t>
  </si>
  <si>
    <t>Flujo de caja</t>
  </si>
  <si>
    <t>Producción</t>
  </si>
  <si>
    <t>Maquinaria</t>
  </si>
  <si>
    <t>Salidas</t>
  </si>
  <si>
    <t>Capital de trabajo</t>
  </si>
  <si>
    <t>Estuctura de Capital</t>
  </si>
  <si>
    <t>Diferidos</t>
  </si>
  <si>
    <t>Plan de inversión y Financiación</t>
  </si>
  <si>
    <t>Manual de instrucciones</t>
  </si>
  <si>
    <t>El modelo está compuesto de tres grandes bloques: Entrada de Datos, Resultados y Auxiliares, más un Manual de Instrucciones.</t>
  </si>
  <si>
    <t>A través de la página de Inicio se puede ingresar a cada una de las hojas individuales de cada uno de los bloques. Cada hoja tiene regreso a la hoja de Incio, clickando en Inicio.</t>
  </si>
  <si>
    <t>En la hoja Bases, debe obligatoriamente diligenciarse en las celdas amarillas el crecimiento estimado de las variables macroeconómicas para los 5 años de proyección.</t>
  </si>
  <si>
    <t xml:space="preserve">Seguidamente debe incluir las unidades estimadas de ventas para cada uno de los productos para los 5 años de proyección. </t>
  </si>
  <si>
    <t>Inversiones Fijas</t>
  </si>
  <si>
    <t>Otros Diferidos  No Financiables No Especificados</t>
  </si>
  <si>
    <t>y finalmente debe incluirse otros gastos preoperativos no especificados anteriormente y que no son financiables por el Fondo Emprender según su reglamento.</t>
  </si>
  <si>
    <t>Tenga en cuenta que es posible incluir nuevas inversiones si las hubiere en los 5 años de proyección. En general, no se realizan nuevas inversiones en los años de  operación</t>
  </si>
  <si>
    <t>Igualmente debe incluirse otros gastos diferidos que no hayan sido especificados anteriormente que sean financiables por el Fondo Emprender de acuerdo a su reglamento</t>
  </si>
  <si>
    <t>días costo de ventas</t>
  </si>
  <si>
    <t>El capital de trabajo está compuesto de 4 elementos: (1) Cuentas por cobrar, (2) Inventarios, (3) Anticipos y Otras cuentas por cobrar y (4) Cuentas por Pagar.</t>
  </si>
  <si>
    <t>En cuanto a los Anticipos y Otras Cuentas por Cobrar,  debe incluir un valor ($) estimado de otras cuentas por cobrar para los cinco años de proyección.</t>
  </si>
  <si>
    <t>Inversión Diferida (Total Gastos durante Período Preoperativo) *</t>
  </si>
  <si>
    <t>Fondo Emprender y los recursos aportados como capital para el emprendimiento. El modelo genera estos valores totales de inversión y financiación (Columna H y Fila 42).</t>
  </si>
  <si>
    <t>y mejoras, (5) Maquinaria y Equipos, (6) Muebles y Enseres, (7) Equipos de Transporte y carga, (8) Equipos de Comunicación, Computación y Herramientas, y (9) Diferidos.</t>
  </si>
  <si>
    <t>Producción y Salidas.</t>
  </si>
  <si>
    <t>El bloque Resultados (pestañas verde claro) arroja los resultados del proyecto así: Márgenes de Productos, Estado de Resultados (P&amp;G), Balance General, Flujo de Caja,</t>
  </si>
  <si>
    <t>La Hoja de Inversiones Fijas y Diferidas, debe en incluir las inversiones fijas, unidad, cantidad y precio para Terrenos, Construcciones y Edificios,  Adecuaciones y Mejoras,</t>
  </si>
  <si>
    <t>Maquinaria y Equipos, detallando cada uno de ellos, Muebles y Enseres, Equipo de Transporte de Carga y finalmente, Equipos de Comunicaciones, Computación y Herramientas.</t>
  </si>
  <si>
    <t xml:space="preserve">su valor total estimado. </t>
  </si>
  <si>
    <t>Posteriormente debe incluir en el Cuadro de Inversiones Diferidas, todos los gastos preoperativos especificados, incluyendo unidad, cantidad y precio, si es necesario, así como</t>
  </si>
  <si>
    <t>en el gasto de la empresa.</t>
  </si>
  <si>
    <t>Tenga muy en cuenta que solo es posible incluir inversiones diferidas en el periodo de ejecución o período preoperativo, posteriormente no es posible y deben ser registradas</t>
  </si>
  <si>
    <t>En la Hoja Plan de Inversión y Financiación puede observar a la vez el total de Inversiones estimadas del proyecto, es decir Inversiones Fijas, Capital de Trabajo e Inversiones</t>
  </si>
  <si>
    <t>diferidas (Gastos durante perìodo preoperativo), así como todos los recursos de financiación del proyecto como Proveedores, Deuda de Obligaciones Financieras, recursos del</t>
  </si>
  <si>
    <t>A apartir de los valores totales, el usuario debe distribuir el valor de las inversiones fijas, corriente y diferidas (Columna H) en las diferentes fuentes de financiación según los</t>
  </si>
  <si>
    <t>por parte del Fondo Emprender.</t>
  </si>
  <si>
    <t>Tenga en cuenta para determinar los recursos máximos del Fondo Emprender el número de empleos generados por el proyecto, asi como los rubros susceptibles de financiación</t>
  </si>
  <si>
    <t>El Plan de Inversión de Inversión y Financiación le permite observar si está financiando adecuadamente la inversión total con las diferentes fuentes de financiación disponibles y</t>
  </si>
  <si>
    <t>rubros financiables conforme al Reglamento establecido del Fondo Emprender. Revise que el valor de verificación (Columna I) coincida con el valor de cada una de las</t>
  </si>
  <si>
    <t>inversiones fijas, capital de trabajo y diferida horizontalmente. Igualmente revise que el valor de verificación de las fuentes de financiación (Fila 43) coincide con las fuentes de</t>
  </si>
  <si>
    <t>Propiedad de Fonade - Fondo Emprender. Solo se pueden diligenciar o modificar las celdas amarillas.</t>
  </si>
  <si>
    <t>Propiedad de Fonade - Fondo Emprender. Solo se pueden diligenciar las celdas amarillas.</t>
  </si>
  <si>
    <t>Subtotal Equipos de Comunicaciones, Computación y Herr</t>
  </si>
  <si>
    <t>Descripción</t>
  </si>
  <si>
    <t>Anticipos y Otras C x C</t>
  </si>
  <si>
    <t>Cuentas x Cobrar</t>
  </si>
  <si>
    <t>Provisión Cuentas x Cobrar</t>
  </si>
  <si>
    <t>Propiedad de Fonade - Fondo Emprender. Solo se pueden modificar las celdas amarillas.</t>
  </si>
  <si>
    <t>* Hay que distribuir el valor total de las inversiones fijas, corriente y diferida (Columna H) en las fuentes de financiación según los rubros financiables de acuerdo al Reglamento del Fondo</t>
  </si>
  <si>
    <t>** El valor de verificación debe coincidir con el valor de cada una de las inversiones (fijas, capital de trabajo y diferida) horizontalmente y con las fuentes de financiación verticalmente.</t>
  </si>
  <si>
    <t>Anticipos y Otras Cuentas por Cobrar</t>
  </si>
  <si>
    <t>Anticipos y Otras Cuentas por Cobrar (Variación)</t>
  </si>
  <si>
    <t>Cuentas por Pagar Proveedores (Variación)</t>
  </si>
  <si>
    <t>Acreedores Varios (Variación)</t>
  </si>
  <si>
    <t>Otros Pasivos (Variación)</t>
  </si>
  <si>
    <t>más Compras</t>
  </si>
  <si>
    <t>Costos de Ventas</t>
  </si>
  <si>
    <t xml:space="preserve">  Rotación cartera (días de ventas),       </t>
  </si>
  <si>
    <t xml:space="preserve">  Rotación Inventarios (días del Costo de Ventas)       </t>
  </si>
  <si>
    <t xml:space="preserve">  Rotacion Proveedores (días del Costo de MP Consumida)       </t>
  </si>
  <si>
    <t xml:space="preserve">  Rotación inventarios (días del Costo de Ventas)     </t>
  </si>
  <si>
    <t>Nòmina Empleados (no incluye  Gerente)</t>
  </si>
  <si>
    <t>Nómina Gerente Emprendedor</t>
  </si>
  <si>
    <t>Nòmina Operarios</t>
  </si>
  <si>
    <t>(Años 1 a 5) y si las hubiere deben estar plenamente justificadas. En el rubro Adecuaciones solo es posible financiar un valor no mayor del 20% solicitado al Fondo Emprender.</t>
  </si>
  <si>
    <t>Gastos Fijos de Ventas</t>
  </si>
  <si>
    <t>% s/Ventas</t>
  </si>
  <si>
    <t>Gastos Variables sobre Ventas</t>
  </si>
  <si>
    <t>Monto Solicitado (2)</t>
  </si>
  <si>
    <t>Indice Número de Salarios Solicitados (2/1)</t>
  </si>
  <si>
    <t>Salario Mínimo Mensual Legal Vigente (1)</t>
  </si>
  <si>
    <t>Verificación</t>
  </si>
  <si>
    <t>en concordancia con los rubros financiables por el Fondo Emprender.</t>
  </si>
  <si>
    <t>Actividad del Proceso</t>
  </si>
  <si>
    <t>Tiempo estimado de realización (minutos/horas)</t>
  </si>
  <si>
    <t>Cargos que participan en la actividad</t>
  </si>
  <si>
    <t>Número de personas que intervienen por cargo</t>
  </si>
  <si>
    <t>Equipos y maquinarias utilizadas. Capacidad de producción por equipo (Cantidad de Producto / Unidad de Tiempo)</t>
  </si>
  <si>
    <t>Bien / Servicio:</t>
  </si>
  <si>
    <t>Unidades a Producir:</t>
  </si>
  <si>
    <t xml:space="preserve">Nota: El esquema solicitado requiere al menos los siguientes aspectos: Actividad del proceso, tiempo estimado de realización, cargos que participan en la actividad, </t>
  </si>
  <si>
    <t>número de personas que intervienen por cargo, y equipo y máquinas utilizadas en el proceso (Capacidad de producción por máquina - Cantidad de producto / unidad</t>
  </si>
  <si>
    <t>de tiempo). Sin embargo, si usted dispone de un análisis alternativo con la misma información, puede anexarlo.</t>
  </si>
  <si>
    <t>Actividad del Proceso *</t>
  </si>
  <si>
    <t>El bloque Auxilares (pestañas en color café) son hojas que permiten al modelo calcular en forma automática: (1) Deuda $, (2) Terrenos, (3) Cosntrucciones, (4) Adecuaciones y</t>
  </si>
  <si>
    <t>En la información del Proyecto, debe incluirse la vida útil de los activos fijos para la depreciación de los mismos por parte del modelo.</t>
  </si>
  <si>
    <t>Para las inversiones diferidas puede determinarse los años estimados de amortización para efectos de evaluación del proyecto, más no para efectos contables.</t>
  </si>
  <si>
    <t>En la hoja Precio Ventas debe incluir los precios de venta por producto para cada uno de los 5 años de proyección.</t>
  </si>
  <si>
    <t>Proceso de Producción</t>
  </si>
  <si>
    <t>Este cuadro del proceso de producción del bien o prestación de servicio es informativo y corresponde al punto 15. del Plan de Negocios Fondo Emprender.</t>
  </si>
  <si>
    <t>Gastos de Mercancía</t>
  </si>
  <si>
    <t>Costos Mercancía Inventariables</t>
  </si>
  <si>
    <t>Unidades Compradas Estimadas</t>
  </si>
  <si>
    <t>Compras Mercancías</t>
  </si>
  <si>
    <t>Compras Mercancías + Gastos de Mercancías</t>
  </si>
  <si>
    <t>Costo Mercancía Vendida</t>
  </si>
  <si>
    <t>Invent. Mercancía Rotación</t>
  </si>
  <si>
    <t>Invent. Mercancía Final</t>
  </si>
  <si>
    <t>Invent. Mercancía Variación</t>
  </si>
  <si>
    <t>Inventarios de Mercancía</t>
  </si>
  <si>
    <t>Cargos de Operación, Gastos Aministración y Ventas, Inversiones Fijas y Diferidas, Capital de Trabajo, Estructura de Capital, y Plan de Inversión y Financiación.</t>
  </si>
  <si>
    <t>Al ingresar a cada una de las 10 hojas de Entrada de datos señaladas, diligencie únicamente las celdas amarillas.</t>
  </si>
  <si>
    <t>También incluir en (%) porcentaje si estima rebajas en la venta de los productos durantes los años de proyección. Se trata de un valor promedio para el total de ventas</t>
  </si>
  <si>
    <t>Costo de Mercancías</t>
  </si>
  <si>
    <t>En la parte superior de la hoja Costo de Mercancías se debe incluir el costo unitario por producto.</t>
  </si>
  <si>
    <t>Proceso Comercial</t>
  </si>
  <si>
    <t>* Este cuadro del proceso comercial del bien o prestación de servicio corresponde al punto 15. del Plan de Negocios Fondo Emprender.</t>
  </si>
  <si>
    <t>de provisión de Cuentas por Cobrar por ser de difícil cobro o incobrables.</t>
  </si>
  <si>
    <t xml:space="preserve">Respecto a los Inventarios para los 5 años de proyección, debe determinar solo los dìas de rotación del inventario de Mercancías  (calculado respecto a Costo de Ventas). </t>
  </si>
  <si>
    <t>Respecto a las Cuentas por Pagar debe diligenciar la rotación estimada en días de las cuentas por pagar a proveedores para los 5 años de proyección.</t>
  </si>
  <si>
    <t>Modelo Financiero para Emprendimientos Comerciales y de Servicios</t>
  </si>
  <si>
    <t>El bloque Entrada de Datos está compuesta de 10 hojas nombradas en las pestañas así: Bases, Precio Ventas, Costo de Mercancías, Proceso Comercial,</t>
  </si>
  <si>
    <t>Pago de Impuesto Renta</t>
  </si>
  <si>
    <t>Impuesto renta</t>
  </si>
  <si>
    <t xml:space="preserve">Inversión Diferida (Gastos en período preoperativo o de ejecución del proyecto) </t>
  </si>
  <si>
    <t>Capacidad Instalada Horas / Hombre</t>
  </si>
  <si>
    <t>Capacidad Utilizada Horas / Hombre</t>
  </si>
  <si>
    <t>% Utilización Capacidad Instalada en H/H</t>
  </si>
  <si>
    <t>COMENTARIOS</t>
  </si>
  <si>
    <t>realizadas. También debe diligenciar si estima recibir otros ingresos no operacionales en pesos durante los 5 años de proyección.</t>
  </si>
  <si>
    <t>Capacidad Instalada y Utilizada *</t>
  </si>
  <si>
    <t>* Si utiliza otra medida puede señalarlo en el espacio dejado para comentarios en la parte de abajo de  la hoja.</t>
  </si>
  <si>
    <t>Cargos Adicionales a partir del 2o Año Ventas</t>
  </si>
  <si>
    <t>Igualmente, es posible incluir cargos adicionales de Ventas a partir del 2o año de operación si los hubiere, en cuyo caso debe incluir número de ocupantes y su salario</t>
  </si>
  <si>
    <t>mensual correspondiente. En la celda D5 de la Hoja debe incluir el factor prestacional promedio estimado para estos cargos.</t>
  </si>
  <si>
    <t>Adicionalmente debe incluir los gastos fijos mensuales de ventas e incluir en % los gastos variables sobre ventas como Comisiones, Gastos de Mercadeo y Publicidad,</t>
  </si>
  <si>
    <t>u otros gastos variables de ventas.</t>
  </si>
  <si>
    <t xml:space="preserve"> vigente en porcentaje (%). </t>
  </si>
  <si>
    <t xml:space="preserve"> En cuanto al rubro Estructura de Capital debe incluir en la celda E80 el valor ($) del capital inicial propuesto para desarrollar el emprendimiento. Después debe diligenciar si las </t>
  </si>
  <si>
    <t xml:space="preserve"> hubiere las adiciones de capital estimadas (Fila 81) para los siguientes 5 años de proyección. </t>
  </si>
  <si>
    <t xml:space="preserve"> Además debe incluir (celda E82) el valor estimado ($) propuesto de recursos del Fondo de acuerdo al Reglamento en cuanto a generación de empleo y rubros financiables. </t>
  </si>
  <si>
    <t xml:space="preserve"> Posteriormente debe determinar  el valor  ($) de Obligaciones Financieras que considere en el plan de financiación del proyecto (celda E83), así como las Obligaciones Financieras </t>
  </si>
  <si>
    <t xml:space="preserve"> Financieras adicionales si las tuviere para los 5 años de proyección. </t>
  </si>
  <si>
    <t xml:space="preserve"> Por último debe incluir el porcentaje (%) de pago de dividendos, si hubiere lugar. En general para efectos del presentación del proyecto, no se determinan dividendos. </t>
  </si>
  <si>
    <t xml:space="preserve"> En la Hoja Estructura de Capital en el rubro de Impuestos debe incluir la tasa de Renta Presuntiva sobre Patrimonio vigente en porcentaje (%) y la tarifa de Impuesto de Renta </t>
  </si>
  <si>
    <t>Para fines informativos, la capacidad instalada puede ser medida en horas/hombre. En este caso incluya la capacidad estimada y la capacidad utilizada en</t>
  </si>
  <si>
    <t>horas/hombre. Si utiliza otra medida como metros cuadrados por ejemplo, puede señalarlo en el espacio para comentarios en la parte de abajo de  la hoja.</t>
  </si>
  <si>
    <t>Finalmente debe incluir para fines informativos el número de empleos generados como empleos administrativos y comerciales.</t>
  </si>
  <si>
    <t xml:space="preserve"> Finalmente, en la parte de abajo de la hoja cuenta con un espacio para comentarios o mostrar cualquier cálculo previo que considere pertinente.</t>
  </si>
  <si>
    <t>Inicie diligenciando el costo por unidad de cada producto (máximo 10) para los 5 años de proyección de ventas.</t>
  </si>
  <si>
    <t xml:space="preserve">u otros gastos relacionados. La hoja incluye un espacio para comentarios o cálculos que considere puedan ser útiles para un mejor entendimiento. </t>
  </si>
  <si>
    <t>Posteriormente, incluya los gastos totales anuales en pesos que estas compras de mercancías ocasionen tales como fletes, derecchos de aduana, gastos de bodegaje</t>
  </si>
  <si>
    <t>En las Cuentas por Cobrar debe diligenciar la rotación de cartera estimada en días para cada uno de los 5 años de proyección e incluir si ha estimado un valor en porcentaje (%)</t>
  </si>
  <si>
    <t>Finalmente, incluya si considera los valores ($) estimados de Acreedores Varios, así como los valores ($) de Otros Pasivos para los 5 años de proyección.</t>
  </si>
  <si>
    <t>Nro Ocupantes</t>
  </si>
  <si>
    <t>Cargos</t>
  </si>
  <si>
    <t>Salarios Operación, Administración y Ventas</t>
  </si>
  <si>
    <t>Operativos</t>
  </si>
  <si>
    <t>Gastos Generales</t>
  </si>
  <si>
    <t>Gastos Generales: Operativos, Administración y Ventas</t>
  </si>
  <si>
    <t>En los Gastos Generales debe incluir inicialmente los nombres de los cargos operativos y el número de ocupantes para cada uno de los años de proyección.</t>
  </si>
  <si>
    <t>Adicionalmente, debe incluir el salario inicial de cada uno de los cargos operativos del emprendimiento.</t>
  </si>
  <si>
    <t>Igualmente debe incluir el costo según su periodicidad para los 5 años de proyección de Gastos Generales como Honorarios, Arrendamientos, Servicios públicos,</t>
  </si>
  <si>
    <t>Valor</t>
  </si>
  <si>
    <t>Número meses en el cargo primer año operación</t>
  </si>
  <si>
    <t>Número de Ocupantes</t>
  </si>
  <si>
    <t>En los Cargos de Administración y Ventas debe incluir los nombres de los cargos en las áreas de adminstración y ventas, su correspondiente salario mensual,</t>
  </si>
  <si>
    <t>Suministros de Oficina, Gastos y/o Auxilio de Transporte, renovación anual de Cámara de Comercio, costos del Sistema de gestión de seguridad y salud en el trabajo, etc.</t>
  </si>
  <si>
    <t>Nombre de Cargos</t>
  </si>
  <si>
    <t xml:space="preserve">así como los meses en el cargo para e primer año de operación para los cargos operativos, administrativos y de ventas. </t>
  </si>
  <si>
    <t xml:space="preserve">  Operativos</t>
  </si>
  <si>
    <t xml:space="preserve">  Impuestos     </t>
  </si>
  <si>
    <t>Utilidad antes de Impuestos</t>
  </si>
  <si>
    <t>Saldo Utilidades - retenidas</t>
  </si>
  <si>
    <t>Mano de Obra Operativa</t>
  </si>
  <si>
    <t>Costo/Gastos de M/cía o Servicio + Mano Obra Operativa</t>
  </si>
  <si>
    <t>Costo/Gastos Mcía o Servicio Vendido + Mano Obra Operativa</t>
  </si>
  <si>
    <t>Costo Unitario Promedio de Mercancía o Servicio</t>
  </si>
  <si>
    <t>Gastos de Mercancía o Servicios</t>
  </si>
  <si>
    <t>Total Gastos de Mercancía o Servicio Vendido</t>
  </si>
  <si>
    <t>Costos Unitario de la Mercancía o Servicio por Producto</t>
  </si>
  <si>
    <t>Costos Unitarios Mercancía o Servicio</t>
  </si>
  <si>
    <t>Inventario Inicial de Mercancía o Servicio</t>
  </si>
  <si>
    <t>menos Inventario Final de Mercancía o Servicio</t>
  </si>
  <si>
    <t>Costo de la Mercancía o Servicio Vendido</t>
  </si>
  <si>
    <t>más Gastos de Mercancía o Servicio</t>
  </si>
  <si>
    <t>Costo de Lo Vendido (Mercancía o Servicio)</t>
  </si>
  <si>
    <t>Total Costo de Lo Vendido (Mercancía o Servicio)</t>
  </si>
  <si>
    <t>Número meses Contrato primer año operación</t>
  </si>
  <si>
    <t>Subtotal Contratos de Servicios MOD</t>
  </si>
  <si>
    <t>Contrato de Servicios Mano de Obra Operativa</t>
  </si>
  <si>
    <t>Cargos Administración y Ventas</t>
  </si>
  <si>
    <t>Subtotal Cargos Nómina Operativos</t>
  </si>
  <si>
    <t>Contratos de Servicios Mano de Obra Operativa</t>
  </si>
  <si>
    <t>Total Costo Nómina y Contratos Operativos</t>
  </si>
  <si>
    <t>Valor Mensual (Periodicidad) del Contrato</t>
  </si>
  <si>
    <t>Valor Total del Contrato</t>
  </si>
  <si>
    <t>Gastos Generales Admon y Ventas</t>
  </si>
  <si>
    <t>Así mismo puede incluir los contratos de servicio de mano de obra operativa, indicand el valor mensual o periódico del contrato, el valor total del mismo y el</t>
  </si>
  <si>
    <t>número de meses del contrato respectivo para el primer año de operación.</t>
  </si>
  <si>
    <t>Recursos Emprendedor</t>
  </si>
  <si>
    <t>Fondo Emprender</t>
  </si>
  <si>
    <t>Crédito</t>
  </si>
  <si>
    <t>Tenga en consideración que los diferentes rubros en las inversiones fijas del proyecto pueden ser financiados con recursos del Emprendedor, recursos del Fondo Emprender,</t>
  </si>
  <si>
    <t>financiación de Proveedores o mediante Crédito. Tenga en cuenta estos valores cuando diligencie la financiación total de Mquinaria y Equipos en la Hoja Plan de Inversión</t>
  </si>
  <si>
    <t>y Financiación.</t>
  </si>
  <si>
    <t>Así mismo a título informativo en la Columna M, debe indicar como estima financiar cada uno de los rubros de la totalidad de Inversiones Fijas del Proyecto, es decir</t>
  </si>
  <si>
    <t>las inversiones del año base 0. Recuerde que las inversiones posteriores durante los años de operación no son financiadas por el Fondo Emprender</t>
  </si>
  <si>
    <t>Financiado con:</t>
  </si>
  <si>
    <t>financiación (fila 42) verticalmente. Si no coinciden, existe una alerta con los números en color rojo. Los valores  que se incluyan deben ser en números redondos.</t>
  </si>
  <si>
    <t xml:space="preserve">CONTADOR </t>
  </si>
  <si>
    <t xml:space="preserve">ARRIENDO </t>
  </si>
  <si>
    <t xml:space="preserve">SERVICIOS </t>
  </si>
  <si>
    <t xml:space="preserve">GASTOS PAPELERIA </t>
  </si>
  <si>
    <t xml:space="preserve">GASTOS DE MANTENIMIENTO </t>
  </si>
  <si>
    <t xml:space="preserve">GASTOS DE FACTURACION ELECTRONICA </t>
  </si>
  <si>
    <t xml:space="preserve">GASTOS DOTACIONES </t>
  </si>
  <si>
    <t xml:space="preserve">unidad </t>
  </si>
  <si>
    <t>OPERADOR</t>
  </si>
  <si>
    <t>kg</t>
  </si>
  <si>
    <t>GERENTE EMPRENDEDOR</t>
  </si>
  <si>
    <t>MATERIA PRIMA - SEMILLA DE MORINGA</t>
  </si>
  <si>
    <t>PRODUCCION ACEITE PRENSADO EN FRIO 1 LITRO</t>
  </si>
  <si>
    <t>PROTEÍNA DE TORTA DE MORINGA EN PRESENTACIÓN 30 GR</t>
  </si>
  <si>
    <t>PROTEÍNA DE TORTA DE MORINGA EN PRESENTACIÓN 560 GR</t>
  </si>
  <si>
    <t>PROTEÍNA DE TORTA DE MORINGA EN PRESENTACIÓN 900 GR</t>
  </si>
  <si>
    <t>Inmersión en Etanol</t>
  </si>
  <si>
    <t>OPERARIO</t>
  </si>
  <si>
    <t>Agitador mecánico con control de temperatura</t>
  </si>
  <si>
    <t>Enfriado</t>
  </si>
  <si>
    <t xml:space="preserve">Lavado y filtrado </t>
  </si>
  <si>
    <t>Maquina separadora vibratoria</t>
  </si>
  <si>
    <t>Secado</t>
  </si>
  <si>
    <t>Horno</t>
  </si>
  <si>
    <t>Molienda y tamizado</t>
  </si>
  <si>
    <t>Pulverizador</t>
  </si>
  <si>
    <t>MODELOS CAMPAÑA</t>
  </si>
  <si>
    <t>AGENCIA DE MARKETING</t>
  </si>
  <si>
    <t>PAUTA EN META</t>
  </si>
  <si>
    <t xml:space="preserve">Unidad </t>
  </si>
  <si>
    <t>Destilador de agua</t>
  </si>
  <si>
    <t xml:space="preserve">Pulverizador </t>
  </si>
  <si>
    <t xml:space="preserve">Utensilios </t>
  </si>
  <si>
    <t xml:space="preserve">INFLUENCIADORES DIGITALES </t>
  </si>
  <si>
    <t xml:space="preserve">Productos </t>
  </si>
  <si>
    <t>Proteína 30 gr</t>
  </si>
  <si>
    <t>Proteína 560 gr</t>
  </si>
  <si>
    <t>Proteína 900 gr</t>
  </si>
  <si>
    <t>Precio de venta</t>
  </si>
  <si>
    <t xml:space="preserve">Costo variable </t>
  </si>
  <si>
    <t>Margen de contribución</t>
  </si>
  <si>
    <t>% participación</t>
  </si>
  <si>
    <t xml:space="preserve">Mc ponderado </t>
  </si>
  <si>
    <t>Costos fijos año 1</t>
  </si>
  <si>
    <t>Punto de equilibrio</t>
  </si>
  <si>
    <t>Unidades que se deben vender</t>
  </si>
  <si>
    <t>Año 1</t>
  </si>
  <si>
    <t>Año 2</t>
  </si>
  <si>
    <t>Año 3</t>
  </si>
  <si>
    <t>Año 4</t>
  </si>
  <si>
    <t>Año 5</t>
  </si>
  <si>
    <t>Unidades anuales que se deben vender para alcanzar punto de equilibrio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</si>
</sst>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_(* #,##0_);_(* \(#,##0\);_(* &quot;-&quot;_);_(@_)"/>
    <numFmt numFmtId="165" formatCode="_(* #,##0.00_);_(* \(#,##0.00\);_(* &quot;-&quot;??_);_(@_)"/>
    <numFmt numFmtId="166" formatCode="_-* #,##0.00\ _p_t_a_-;\-* #,##0.00\ _p_t_a_-;_-* &quot;-&quot;??\ _p_t_a_-;_-@_-"/>
    <numFmt numFmtId="167" formatCode="#,##0.0"/>
    <numFmt numFmtId="168" formatCode="_(* #,##0_);_(* \(#,##0\);_(* &quot;-&quot;??_);_(@_)"/>
    <numFmt numFmtId="169" formatCode="0.0%"/>
    <numFmt numFmtId="170" formatCode="#,##0&quot; mes&quot;"/>
    <numFmt numFmtId="171" formatCode="&quot;Año &quot;#,##0"/>
    <numFmt numFmtId="172" formatCode="_(* #,##0.00_);_(* \(#,##0.00\);_(* &quot;-&quot;_);_(@_)"/>
  </numFmts>
  <fonts count="51" x14ac:knownFonts="1">
    <font>
      <sz val="10"/>
      <name val="Arial"/>
      <family val="2"/>
    </font>
    <font>
      <sz val="10"/>
      <name val="Arial"/>
      <family val="2"/>
    </font>
    <font>
      <u/>
      <sz val="7.5"/>
      <color indexed="12"/>
      <name val="Arial"/>
      <family val="2"/>
    </font>
    <font>
      <b/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0"/>
      <color indexed="48"/>
      <name val="Arial"/>
      <family val="2"/>
    </font>
    <font>
      <b/>
      <sz val="10"/>
      <color indexed="48"/>
      <name val="Arial"/>
      <family val="2"/>
    </font>
    <font>
      <sz val="10"/>
      <color indexed="12"/>
      <name val="Arial"/>
      <family val="2"/>
    </font>
    <font>
      <b/>
      <sz val="12"/>
      <color indexed="9"/>
      <name val="Arial"/>
      <family val="2"/>
    </font>
    <font>
      <b/>
      <sz val="10"/>
      <name val="Arial"/>
      <family val="2"/>
    </font>
    <font>
      <b/>
      <sz val="12"/>
      <color indexed="9"/>
      <name val="Arial"/>
      <family val="2"/>
    </font>
    <font>
      <b/>
      <sz val="10"/>
      <name val="Arial"/>
      <family val="2"/>
    </font>
    <font>
      <b/>
      <u/>
      <sz val="10"/>
      <color indexed="12"/>
      <name val="Arial"/>
      <family val="2"/>
    </font>
    <font>
      <b/>
      <sz val="10"/>
      <color indexed="12"/>
      <name val="Arial"/>
      <family val="2"/>
    </font>
    <font>
      <sz val="10"/>
      <color indexed="48"/>
      <name val="Arial"/>
      <family val="2"/>
    </font>
    <font>
      <b/>
      <sz val="10"/>
      <color indexed="43"/>
      <name val="Arial"/>
      <family val="2"/>
    </font>
    <font>
      <sz val="10"/>
      <color indexed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indexed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9"/>
      <name val="Arial"/>
      <family val="2"/>
    </font>
    <font>
      <b/>
      <sz val="10"/>
      <color indexed="81"/>
      <name val="Calibri"/>
      <family val="2"/>
    </font>
    <font>
      <b/>
      <sz val="11"/>
      <color indexed="43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1"/>
      <color indexed="12"/>
      <name val="Arial"/>
      <family val="2"/>
    </font>
    <font>
      <u/>
      <sz val="14"/>
      <color indexed="12"/>
      <name val="Arial"/>
      <family val="2"/>
    </font>
    <font>
      <sz val="14"/>
      <color indexed="9"/>
      <name val="Arial"/>
      <family val="2"/>
    </font>
    <font>
      <b/>
      <sz val="14"/>
      <color indexed="9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sz val="9"/>
      <color indexed="12"/>
      <name val="Arial"/>
      <family val="2"/>
    </font>
    <font>
      <sz val="10"/>
      <color rgb="FF0000FF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sz val="10"/>
      <color theme="0"/>
      <name val="Arial"/>
      <family val="2"/>
    </font>
    <font>
      <b/>
      <sz val="10"/>
      <color theme="4" tint="-0.249977111117893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3"/>
      <name val="Arial"/>
      <family val="2"/>
    </font>
    <font>
      <sz val="8"/>
      <color theme="0"/>
      <name val="Arial"/>
      <family val="2"/>
    </font>
    <font>
      <sz val="12"/>
      <color theme="3" tint="0.39997558519241921"/>
      <name val="Arial"/>
      <family val="2"/>
    </font>
    <font>
      <sz val="8"/>
      <color rgb="FFFFFFFF"/>
      <name val="Arial"/>
      <family val="2"/>
    </font>
    <font>
      <sz val="10"/>
      <color rgb="FFFFFFFF"/>
      <name val="Arial"/>
      <family val="2"/>
    </font>
    <font>
      <b/>
      <sz val="9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294"/>
        <bgColor indexed="64"/>
      </patternFill>
    </fill>
    <fill>
      <patternFill patternType="solid">
        <fgColor rgb="FF3366FF"/>
        <bgColor rgb="FF000000"/>
      </patternFill>
    </fill>
    <fill>
      <patternFill patternType="solid">
        <fgColor rgb="FF0431FB"/>
        <bgColor indexed="64"/>
      </patternFill>
    </fill>
    <fill>
      <patternFill patternType="solid">
        <fgColor rgb="FFFFF191"/>
        <bgColor indexed="64"/>
      </patternFill>
    </fill>
    <fill>
      <patternFill patternType="solid">
        <fgColor rgb="FF0070C0"/>
        <bgColor indexed="64"/>
      </patternFill>
    </fill>
  </fills>
  <borders count="5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8">
    <xf numFmtId="0" fontId="0" fillId="0" borderId="0" xfId="0"/>
    <xf numFmtId="0" fontId="0" fillId="0" borderId="0" xfId="0" applyProtection="1">
      <protection hidden="1"/>
    </xf>
    <xf numFmtId="164" fontId="4" fillId="0" borderId="0" xfId="4" applyNumberFormat="1" applyFont="1" applyFill="1" applyBorder="1" applyAlignment="1" applyProtection="1">
      <alignment horizontal="center"/>
      <protection hidden="1"/>
    </xf>
    <xf numFmtId="3" fontId="1" fillId="0" borderId="0" xfId="4" applyNumberForma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168" fontId="1" fillId="0" borderId="0" xfId="4" applyNumberFormat="1" applyBorder="1" applyProtection="1">
      <protection hidden="1"/>
    </xf>
    <xf numFmtId="0" fontId="12" fillId="0" borderId="0" xfId="0" applyFont="1" applyAlignment="1" applyProtection="1">
      <alignment horizontal="center"/>
      <protection hidden="1"/>
    </xf>
    <xf numFmtId="164" fontId="1" fillId="0" borderId="0" xfId="3" applyBorder="1" applyProtection="1">
      <protection hidden="1"/>
    </xf>
    <xf numFmtId="1" fontId="3" fillId="2" borderId="0" xfId="0" applyNumberFormat="1" applyFont="1" applyFill="1" applyAlignment="1" applyProtection="1">
      <alignment horizontal="center"/>
      <protection hidden="1"/>
    </xf>
    <xf numFmtId="168" fontId="9" fillId="3" borderId="0" xfId="4" applyNumberFormat="1" applyFont="1" applyFill="1" applyBorder="1" applyAlignment="1" applyProtection="1">
      <alignment horizontal="center"/>
      <protection hidden="1"/>
    </xf>
    <xf numFmtId="1" fontId="0" fillId="0" borderId="0" xfId="0" applyNumberFormat="1" applyAlignment="1" applyProtection="1">
      <alignment horizontal="center"/>
      <protection hidden="1"/>
    </xf>
    <xf numFmtId="1" fontId="0" fillId="0" borderId="0" xfId="0" applyNumberFormat="1" applyProtection="1">
      <protection hidden="1"/>
    </xf>
    <xf numFmtId="0" fontId="10" fillId="0" borderId="0" xfId="0" applyFont="1" applyProtection="1">
      <protection hidden="1"/>
    </xf>
    <xf numFmtId="3" fontId="0" fillId="0" borderId="0" xfId="0" applyNumberFormat="1" applyAlignment="1" applyProtection="1">
      <alignment horizontal="center"/>
      <protection hidden="1"/>
    </xf>
    <xf numFmtId="168" fontId="10" fillId="0" borderId="0" xfId="4" applyNumberFormat="1" applyFont="1" applyFill="1" applyBorder="1" applyProtection="1">
      <protection hidden="1"/>
    </xf>
    <xf numFmtId="3" fontId="4" fillId="4" borderId="0" xfId="3" applyNumberFormat="1" applyFont="1" applyFill="1" applyBorder="1" applyAlignment="1" applyProtection="1">
      <alignment horizontal="center"/>
      <protection hidden="1"/>
    </xf>
    <xf numFmtId="0" fontId="4" fillId="0" borderId="0" xfId="0" applyFont="1" applyProtection="1">
      <protection hidden="1"/>
    </xf>
    <xf numFmtId="165" fontId="1" fillId="0" borderId="0" xfId="4" applyProtection="1">
      <protection hidden="1"/>
    </xf>
    <xf numFmtId="0" fontId="12" fillId="0" borderId="0" xfId="0" applyFont="1" applyProtection="1">
      <protection hidden="1"/>
    </xf>
    <xf numFmtId="0" fontId="6" fillId="0" borderId="0" xfId="0" applyFont="1" applyProtection="1">
      <protection hidden="1"/>
    </xf>
    <xf numFmtId="168" fontId="1" fillId="0" borderId="0" xfId="4" applyNumberFormat="1" applyProtection="1">
      <protection hidden="1"/>
    </xf>
    <xf numFmtId="164" fontId="5" fillId="0" borderId="0" xfId="4" applyNumberFormat="1" applyFont="1" applyProtection="1">
      <protection hidden="1"/>
    </xf>
    <xf numFmtId="10" fontId="0" fillId="0" borderId="0" xfId="0" applyNumberFormat="1" applyAlignment="1" applyProtection="1">
      <alignment horizontal="center"/>
      <protection hidden="1"/>
    </xf>
    <xf numFmtId="10" fontId="1" fillId="0" borderId="0" xfId="4" applyNumberFormat="1" applyAlignment="1" applyProtection="1">
      <alignment horizontal="center"/>
      <protection hidden="1"/>
    </xf>
    <xf numFmtId="0" fontId="14" fillId="0" borderId="0" xfId="0" applyFont="1" applyProtection="1">
      <protection hidden="1"/>
    </xf>
    <xf numFmtId="168" fontId="4" fillId="3" borderId="0" xfId="4" applyNumberFormat="1" applyFont="1" applyFill="1" applyBorder="1" applyAlignment="1" applyProtection="1">
      <alignment horizontal="left"/>
      <protection hidden="1"/>
    </xf>
    <xf numFmtId="168" fontId="7" fillId="0" borderId="0" xfId="4" applyNumberFormat="1" applyFont="1" applyBorder="1" applyProtection="1">
      <protection hidden="1"/>
    </xf>
    <xf numFmtId="168" fontId="7" fillId="0" borderId="0" xfId="4" applyNumberFormat="1" applyFont="1" applyProtection="1">
      <protection hidden="1"/>
    </xf>
    <xf numFmtId="0" fontId="3" fillId="2" borderId="0" xfId="0" applyFont="1" applyFill="1" applyProtection="1">
      <protection hidden="1"/>
    </xf>
    <xf numFmtId="3" fontId="12" fillId="0" borderId="0" xfId="0" applyNumberFormat="1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3" fontId="5" fillId="0" borderId="0" xfId="0" applyNumberFormat="1" applyFont="1" applyAlignment="1" applyProtection="1">
      <alignment horizontal="center"/>
      <protection hidden="1"/>
    </xf>
    <xf numFmtId="168" fontId="0" fillId="0" borderId="0" xfId="0" applyNumberFormat="1" applyProtection="1">
      <protection hidden="1"/>
    </xf>
    <xf numFmtId="168" fontId="1" fillId="0" borderId="0" xfId="4" applyNumberForma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164" fontId="4" fillId="0" borderId="0" xfId="4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vertical="center" wrapText="1"/>
      <protection hidden="1"/>
    </xf>
    <xf numFmtId="3" fontId="14" fillId="0" borderId="0" xfId="4" applyNumberFormat="1" applyFont="1" applyFill="1" applyBorder="1" applyAlignment="1" applyProtection="1">
      <alignment horizontal="center"/>
      <protection hidden="1"/>
    </xf>
    <xf numFmtId="164" fontId="16" fillId="5" borderId="1" xfId="4" applyNumberFormat="1" applyFont="1" applyFill="1" applyBorder="1" applyAlignment="1" applyProtection="1">
      <alignment horizontal="left" indent="1"/>
      <protection hidden="1"/>
    </xf>
    <xf numFmtId="3" fontId="8" fillId="6" borderId="1" xfId="4" applyNumberFormat="1" applyFont="1" applyFill="1" applyBorder="1" applyAlignment="1" applyProtection="1">
      <alignment horizontal="center"/>
      <protection locked="0"/>
    </xf>
    <xf numFmtId="3" fontId="5" fillId="0" borderId="1" xfId="4" applyNumberFormat="1" applyFont="1" applyFill="1" applyBorder="1" applyAlignment="1" applyProtection="1">
      <alignment horizontal="center"/>
      <protection hidden="1"/>
    </xf>
    <xf numFmtId="3" fontId="1" fillId="0" borderId="1" xfId="4" applyNumberFormat="1" applyBorder="1" applyAlignment="1" applyProtection="1">
      <alignment horizontal="center"/>
      <protection hidden="1"/>
    </xf>
    <xf numFmtId="9" fontId="8" fillId="6" borderId="1" xfId="6" applyFont="1" applyFill="1" applyBorder="1" applyAlignment="1" applyProtection="1">
      <alignment horizontal="center"/>
      <protection locked="0"/>
    </xf>
    <xf numFmtId="3" fontId="0" fillId="0" borderId="1" xfId="0" applyNumberFormat="1" applyBorder="1" applyAlignment="1" applyProtection="1">
      <alignment horizontal="center"/>
      <protection hidden="1"/>
    </xf>
    <xf numFmtId="3" fontId="8" fillId="6" borderId="1" xfId="0" applyNumberFormat="1" applyFont="1" applyFill="1" applyBorder="1" applyAlignment="1" applyProtection="1">
      <alignment horizontal="center"/>
      <protection locked="0"/>
    </xf>
    <xf numFmtId="164" fontId="1" fillId="0" borderId="1" xfId="3" applyBorder="1" applyProtection="1">
      <protection hidden="1"/>
    </xf>
    <xf numFmtId="164" fontId="1" fillId="0" borderId="1" xfId="3" applyFont="1" applyBorder="1" applyProtection="1">
      <protection hidden="1"/>
    </xf>
    <xf numFmtId="0" fontId="8" fillId="6" borderId="1" xfId="0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hidden="1"/>
    </xf>
    <xf numFmtId="168" fontId="3" fillId="2" borderId="1" xfId="4" applyNumberFormat="1" applyFont="1" applyFill="1" applyBorder="1" applyProtection="1">
      <protection hidden="1"/>
    </xf>
    <xf numFmtId="168" fontId="10" fillId="0" borderId="1" xfId="4" applyNumberFormat="1" applyFont="1" applyBorder="1" applyProtection="1">
      <protection hidden="1"/>
    </xf>
    <xf numFmtId="3" fontId="10" fillId="0" borderId="1" xfId="4" applyNumberFormat="1" applyFont="1" applyBorder="1" applyAlignment="1" applyProtection="1">
      <alignment horizontal="center"/>
      <protection hidden="1"/>
    </xf>
    <xf numFmtId="168" fontId="3" fillId="2" borderId="2" xfId="4" applyNumberFormat="1" applyFont="1" applyFill="1" applyBorder="1" applyProtection="1">
      <protection hidden="1"/>
    </xf>
    <xf numFmtId="165" fontId="1" fillId="0" borderId="1" xfId="4" applyFont="1" applyBorder="1" applyAlignment="1" applyProtection="1">
      <alignment horizontal="left" indent="1"/>
      <protection hidden="1"/>
    </xf>
    <xf numFmtId="165" fontId="1" fillId="0" borderId="1" xfId="4" quotePrefix="1" applyBorder="1" applyAlignment="1" applyProtection="1">
      <alignment horizontal="left" indent="1"/>
      <protection hidden="1"/>
    </xf>
    <xf numFmtId="165" fontId="1" fillId="0" borderId="1" xfId="4" applyBorder="1" applyAlignment="1" applyProtection="1">
      <alignment horizontal="left" indent="1"/>
      <protection hidden="1"/>
    </xf>
    <xf numFmtId="165" fontId="10" fillId="0" borderId="1" xfId="4" applyFont="1" applyBorder="1" applyProtection="1">
      <protection hidden="1"/>
    </xf>
    <xf numFmtId="165" fontId="12" fillId="0" borderId="1" xfId="4" quotePrefix="1" applyFont="1" applyBorder="1" applyAlignment="1" applyProtection="1">
      <alignment horizontal="left"/>
      <protection hidden="1"/>
    </xf>
    <xf numFmtId="168" fontId="6" fillId="0" borderId="1" xfId="4" applyNumberFormat="1" applyFont="1" applyBorder="1" applyAlignment="1" applyProtection="1">
      <alignment horizontal="left" indent="1"/>
      <protection hidden="1"/>
    </xf>
    <xf numFmtId="165" fontId="1" fillId="0" borderId="1" xfId="4" applyFont="1" applyBorder="1" applyProtection="1">
      <protection hidden="1"/>
    </xf>
    <xf numFmtId="165" fontId="1" fillId="0" borderId="1" xfId="4" applyBorder="1" applyProtection="1">
      <protection hidden="1"/>
    </xf>
    <xf numFmtId="165" fontId="12" fillId="0" borderId="1" xfId="4" applyFont="1" applyBorder="1" applyProtection="1">
      <protection hidden="1"/>
    </xf>
    <xf numFmtId="165" fontId="10" fillId="0" borderId="1" xfId="4" applyFont="1" applyBorder="1" applyAlignment="1" applyProtection="1">
      <alignment horizontal="left"/>
      <protection hidden="1"/>
    </xf>
    <xf numFmtId="3" fontId="1" fillId="0" borderId="3" xfId="4" applyNumberFormat="1" applyBorder="1" applyAlignment="1" applyProtection="1">
      <alignment horizontal="center"/>
      <protection hidden="1"/>
    </xf>
    <xf numFmtId="168" fontId="9" fillId="3" borderId="1" xfId="4" applyNumberFormat="1" applyFont="1" applyFill="1" applyBorder="1" applyAlignment="1" applyProtection="1">
      <alignment horizontal="center"/>
      <protection hidden="1"/>
    </xf>
    <xf numFmtId="168" fontId="1" fillId="0" borderId="1" xfId="4" applyNumberFormat="1" applyBorder="1" applyAlignment="1" applyProtection="1">
      <alignment horizontal="left" indent="1"/>
      <protection hidden="1"/>
    </xf>
    <xf numFmtId="168" fontId="1" fillId="0" borderId="1" xfId="4" applyNumberFormat="1" applyFont="1" applyBorder="1" applyAlignment="1" applyProtection="1">
      <alignment horizontal="left" indent="1"/>
      <protection hidden="1"/>
    </xf>
    <xf numFmtId="168" fontId="1" fillId="0" borderId="1" xfId="4" quotePrefix="1" applyNumberFormat="1" applyFont="1" applyBorder="1" applyAlignment="1" applyProtection="1">
      <alignment horizontal="left" indent="1"/>
      <protection hidden="1"/>
    </xf>
    <xf numFmtId="164" fontId="16" fillId="5" borderId="1" xfId="4" applyNumberFormat="1" applyFont="1" applyFill="1" applyBorder="1" applyAlignment="1" applyProtection="1">
      <alignment horizontal="left" vertical="center"/>
      <protection hidden="1"/>
    </xf>
    <xf numFmtId="168" fontId="1" fillId="0" borderId="1" xfId="4" applyNumberFormat="1" applyBorder="1" applyAlignment="1" applyProtection="1">
      <alignment vertical="center"/>
      <protection hidden="1"/>
    </xf>
    <xf numFmtId="168" fontId="1" fillId="0" borderId="1" xfId="4" applyNumberFormat="1" applyBorder="1" applyAlignment="1" applyProtection="1">
      <alignment horizontal="left" vertical="center" indent="1"/>
      <protection hidden="1"/>
    </xf>
    <xf numFmtId="168" fontId="1" fillId="0" borderId="1" xfId="4" applyNumberFormat="1" applyBorder="1" applyAlignment="1" applyProtection="1">
      <alignment vertical="center" wrapText="1"/>
      <protection hidden="1"/>
    </xf>
    <xf numFmtId="170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Protection="1">
      <protection hidden="1"/>
    </xf>
    <xf numFmtId="0" fontId="3" fillId="2" borderId="1" xfId="0" applyFont="1" applyFill="1" applyBorder="1" applyProtection="1">
      <protection hidden="1"/>
    </xf>
    <xf numFmtId="0" fontId="0" fillId="0" borderId="1" xfId="0" applyBorder="1" applyAlignment="1" applyProtection="1">
      <alignment horizontal="left" indent="1"/>
      <protection hidden="1"/>
    </xf>
    <xf numFmtId="168" fontId="10" fillId="0" borderId="1" xfId="4" applyNumberFormat="1" applyFont="1" applyFill="1" applyBorder="1" applyProtection="1">
      <protection hidden="1"/>
    </xf>
    <xf numFmtId="168" fontId="10" fillId="0" borderId="1" xfId="4" applyNumberFormat="1" applyFont="1" applyBorder="1" applyAlignment="1" applyProtection="1">
      <alignment vertical="center"/>
      <protection hidden="1"/>
    </xf>
    <xf numFmtId="168" fontId="1" fillId="0" borderId="4" xfId="4" applyNumberFormat="1" applyBorder="1" applyAlignment="1" applyProtection="1">
      <alignment horizontal="left" vertical="center" indent="1"/>
      <protection hidden="1"/>
    </xf>
    <xf numFmtId="0" fontId="0" fillId="7" borderId="0" xfId="0" applyFill="1" applyProtection="1">
      <protection hidden="1"/>
    </xf>
    <xf numFmtId="164" fontId="1" fillId="7" borderId="0" xfId="3" applyFill="1" applyBorder="1" applyProtection="1">
      <protection hidden="1"/>
    </xf>
    <xf numFmtId="0" fontId="12" fillId="7" borderId="0" xfId="0" applyFont="1" applyFill="1" applyAlignment="1" applyProtection="1">
      <alignment horizontal="center"/>
      <protection hidden="1"/>
    </xf>
    <xf numFmtId="164" fontId="4" fillId="7" borderId="0" xfId="4" applyNumberFormat="1" applyFont="1" applyFill="1" applyBorder="1" applyAlignment="1" applyProtection="1">
      <alignment horizontal="center"/>
      <protection hidden="1"/>
    </xf>
    <xf numFmtId="0" fontId="12" fillId="0" borderId="5" xfId="0" applyFont="1" applyBorder="1" applyAlignment="1" applyProtection="1">
      <alignment horizontal="center"/>
      <protection hidden="1"/>
    </xf>
    <xf numFmtId="0" fontId="12" fillId="0" borderId="6" xfId="0" applyFont="1" applyBorder="1" applyAlignment="1" applyProtection="1">
      <alignment horizontal="center"/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164" fontId="4" fillId="0" borderId="7" xfId="4" applyNumberFormat="1" applyFont="1" applyFill="1" applyBorder="1" applyAlignment="1" applyProtection="1">
      <alignment horizontal="center"/>
      <protection hidden="1"/>
    </xf>
    <xf numFmtId="164" fontId="4" fillId="0" borderId="8" xfId="4" applyNumberFormat="1" applyFont="1" applyFill="1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164" fontId="1" fillId="0" borderId="10" xfId="3" applyBorder="1" applyProtection="1">
      <protection hidden="1"/>
    </xf>
    <xf numFmtId="0" fontId="0" fillId="0" borderId="10" xfId="0" applyBorder="1" applyProtection="1">
      <protection hidden="1"/>
    </xf>
    <xf numFmtId="0" fontId="0" fillId="0" borderId="11" xfId="0" applyBorder="1" applyProtection="1">
      <protection hidden="1"/>
    </xf>
    <xf numFmtId="168" fontId="1" fillId="7" borderId="0" xfId="4" applyNumberFormat="1" applyFill="1" applyBorder="1" applyProtection="1">
      <protection hidden="1"/>
    </xf>
    <xf numFmtId="0" fontId="0" fillId="0" borderId="5" xfId="0" applyBorder="1" applyProtection="1">
      <protection hidden="1"/>
    </xf>
    <xf numFmtId="0" fontId="3" fillId="8" borderId="12" xfId="0" applyFont="1" applyFill="1" applyBorder="1" applyAlignment="1" applyProtection="1">
      <alignment horizontal="center"/>
      <protection hidden="1"/>
    </xf>
    <xf numFmtId="171" fontId="3" fillId="8" borderId="12" xfId="0" applyNumberFormat="1" applyFont="1" applyFill="1" applyBorder="1" applyAlignment="1" applyProtection="1">
      <alignment horizontal="center"/>
      <protection hidden="1"/>
    </xf>
    <xf numFmtId="0" fontId="0" fillId="0" borderId="6" xfId="0" applyBorder="1" applyProtection="1">
      <protection hidden="1"/>
    </xf>
    <xf numFmtId="168" fontId="1" fillId="0" borderId="7" xfId="4" applyNumberFormat="1" applyBorder="1" applyProtection="1">
      <protection hidden="1"/>
    </xf>
    <xf numFmtId="168" fontId="1" fillId="0" borderId="8" xfId="4" applyNumberFormat="1" applyBorder="1" applyProtection="1">
      <protection hidden="1"/>
    </xf>
    <xf numFmtId="0" fontId="0" fillId="0" borderId="10" xfId="0" applyBorder="1" applyAlignment="1" applyProtection="1">
      <alignment horizontal="center"/>
      <protection hidden="1"/>
    </xf>
    <xf numFmtId="0" fontId="10" fillId="7" borderId="0" xfId="0" applyFont="1" applyFill="1" applyProtection="1">
      <protection hidden="1"/>
    </xf>
    <xf numFmtId="0" fontId="4" fillId="7" borderId="0" xfId="0" applyFont="1" applyFill="1" applyProtection="1">
      <protection hidden="1"/>
    </xf>
    <xf numFmtId="164" fontId="1" fillId="7" borderId="0" xfId="3" applyFill="1" applyBorder="1" applyAlignment="1" applyProtection="1">
      <alignment horizontal="center"/>
      <protection hidden="1"/>
    </xf>
    <xf numFmtId="168" fontId="1" fillId="0" borderId="13" xfId="4" applyNumberFormat="1" applyBorder="1" applyProtection="1">
      <protection hidden="1"/>
    </xf>
    <xf numFmtId="0" fontId="10" fillId="0" borderId="7" xfId="0" applyFont="1" applyBorder="1" applyProtection="1">
      <protection hidden="1"/>
    </xf>
    <xf numFmtId="0" fontId="10" fillId="0" borderId="8" xfId="0" applyFont="1" applyBorder="1" applyProtection="1">
      <protection hidden="1"/>
    </xf>
    <xf numFmtId="168" fontId="1" fillId="0" borderId="10" xfId="4" applyNumberFormat="1" applyBorder="1" applyProtection="1">
      <protection hidden="1"/>
    </xf>
    <xf numFmtId="164" fontId="1" fillId="0" borderId="10" xfId="3" applyBorder="1" applyAlignment="1" applyProtection="1">
      <alignment horizontal="center"/>
      <protection hidden="1"/>
    </xf>
    <xf numFmtId="0" fontId="12" fillId="7" borderId="0" xfId="0" applyFont="1" applyFill="1" applyProtection="1">
      <protection hidden="1"/>
    </xf>
    <xf numFmtId="0" fontId="6" fillId="7" borderId="0" xfId="0" applyFont="1" applyFill="1" applyProtection="1">
      <protection hidden="1"/>
    </xf>
    <xf numFmtId="164" fontId="5" fillId="7" borderId="0" xfId="4" applyNumberFormat="1" applyFont="1" applyFill="1" applyProtection="1">
      <protection hidden="1"/>
    </xf>
    <xf numFmtId="10" fontId="0" fillId="7" borderId="0" xfId="0" applyNumberFormat="1" applyFill="1" applyAlignment="1" applyProtection="1">
      <alignment horizontal="center"/>
      <protection hidden="1"/>
    </xf>
    <xf numFmtId="165" fontId="11" fillId="3" borderId="0" xfId="4" applyFont="1" applyFill="1" applyBorder="1" applyAlignment="1" applyProtection="1">
      <alignment horizontal="center"/>
      <protection hidden="1"/>
    </xf>
    <xf numFmtId="0" fontId="12" fillId="0" borderId="7" xfId="0" applyFont="1" applyBorder="1" applyProtection="1">
      <protection hidden="1"/>
    </xf>
    <xf numFmtId="0" fontId="12" fillId="0" borderId="8" xfId="0" applyFont="1" applyBorder="1" applyProtection="1">
      <protection hidden="1"/>
    </xf>
    <xf numFmtId="0" fontId="6" fillId="0" borderId="7" xfId="0" applyFont="1" applyBorder="1" applyProtection="1">
      <protection hidden="1"/>
    </xf>
    <xf numFmtId="0" fontId="6" fillId="0" borderId="8" xfId="0" applyFont="1" applyBorder="1" applyProtection="1">
      <protection hidden="1"/>
    </xf>
    <xf numFmtId="165" fontId="1" fillId="0" borderId="10" xfId="4" applyBorder="1" applyProtection="1">
      <protection hidden="1"/>
    </xf>
    <xf numFmtId="168" fontId="1" fillId="0" borderId="10" xfId="4" applyNumberFormat="1" applyBorder="1" applyAlignment="1" applyProtection="1">
      <alignment horizontal="center"/>
      <protection hidden="1"/>
    </xf>
    <xf numFmtId="1" fontId="0" fillId="7" borderId="0" xfId="0" applyNumberFormat="1" applyFill="1" applyProtection="1">
      <protection hidden="1"/>
    </xf>
    <xf numFmtId="0" fontId="14" fillId="7" borderId="0" xfId="0" applyFont="1" applyFill="1" applyProtection="1">
      <protection hidden="1"/>
    </xf>
    <xf numFmtId="168" fontId="1" fillId="7" borderId="0" xfId="4" applyNumberFormat="1" applyFill="1" applyProtection="1">
      <protection hidden="1"/>
    </xf>
    <xf numFmtId="0" fontId="0" fillId="7" borderId="0" xfId="0" applyFill="1" applyAlignment="1" applyProtection="1">
      <alignment horizontal="center"/>
      <protection hidden="1"/>
    </xf>
    <xf numFmtId="1" fontId="0" fillId="0" borderId="8" xfId="0" applyNumberFormat="1" applyBorder="1" applyProtection="1">
      <protection hidden="1"/>
    </xf>
    <xf numFmtId="0" fontId="14" fillId="0" borderId="7" xfId="0" applyFont="1" applyBorder="1" applyProtection="1">
      <protection hidden="1"/>
    </xf>
    <xf numFmtId="0" fontId="14" fillId="0" borderId="8" xfId="0" applyFont="1" applyBorder="1" applyProtection="1">
      <protection hidden="1"/>
    </xf>
    <xf numFmtId="168" fontId="13" fillId="0" borderId="0" xfId="4" applyNumberFormat="1" applyFont="1" applyFill="1" applyBorder="1" applyProtection="1">
      <protection hidden="1"/>
    </xf>
    <xf numFmtId="0" fontId="0" fillId="7" borderId="0" xfId="0" applyFill="1" applyAlignment="1" applyProtection="1">
      <alignment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7" borderId="0" xfId="0" applyFill="1" applyAlignment="1" applyProtection="1">
      <alignment vertical="center" wrapText="1"/>
      <protection hidden="1"/>
    </xf>
    <xf numFmtId="168" fontId="1" fillId="7" borderId="0" xfId="4" applyNumberFormat="1" applyFill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171" fontId="3" fillId="8" borderId="12" xfId="0" applyNumberFormat="1" applyFont="1" applyFill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vertical="center"/>
      <protection hidden="1"/>
    </xf>
    <xf numFmtId="0" fontId="0" fillId="0" borderId="8" xfId="0" applyBorder="1" applyAlignment="1" applyProtection="1">
      <alignment vertical="center"/>
      <protection hidden="1"/>
    </xf>
    <xf numFmtId="0" fontId="0" fillId="0" borderId="7" xfId="0" applyBorder="1" applyAlignment="1" applyProtection="1">
      <alignment vertical="center" wrapText="1"/>
      <protection hidden="1"/>
    </xf>
    <xf numFmtId="0" fontId="0" fillId="0" borderId="8" xfId="0" applyBorder="1" applyAlignment="1" applyProtection="1">
      <alignment vertical="center" wrapText="1"/>
      <protection hidden="1"/>
    </xf>
    <xf numFmtId="0" fontId="0" fillId="0" borderId="9" xfId="0" applyBorder="1" applyAlignment="1" applyProtection="1">
      <alignment vertical="center"/>
      <protection hidden="1"/>
    </xf>
    <xf numFmtId="168" fontId="1" fillId="0" borderId="10" xfId="4" applyNumberFormat="1" applyBorder="1" applyAlignment="1" applyProtection="1">
      <alignment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168" fontId="1" fillId="0" borderId="1" xfId="4" quotePrefix="1" applyNumberFormat="1" applyBorder="1" applyAlignment="1" applyProtection="1">
      <alignment horizontal="left" indent="2"/>
      <protection hidden="1"/>
    </xf>
    <xf numFmtId="168" fontId="1" fillId="0" borderId="1" xfId="4" applyNumberFormat="1" applyBorder="1" applyAlignment="1" applyProtection="1">
      <alignment horizontal="left" indent="2"/>
      <protection hidden="1"/>
    </xf>
    <xf numFmtId="168" fontId="15" fillId="0" borderId="1" xfId="4" applyNumberFormat="1" applyFont="1" applyBorder="1" applyAlignment="1" applyProtection="1">
      <alignment horizontal="left" indent="3"/>
      <protection hidden="1"/>
    </xf>
    <xf numFmtId="168" fontId="10" fillId="0" borderId="1" xfId="4" applyNumberFormat="1" applyFont="1" applyBorder="1" applyAlignment="1" applyProtection="1">
      <alignment horizontal="left" indent="1"/>
      <protection hidden="1"/>
    </xf>
    <xf numFmtId="168" fontId="10" fillId="0" borderId="1" xfId="4" quotePrefix="1" applyNumberFormat="1" applyFont="1" applyBorder="1" applyAlignment="1" applyProtection="1">
      <alignment horizontal="left" indent="1"/>
      <protection hidden="1"/>
    </xf>
    <xf numFmtId="171" fontId="4" fillId="8" borderId="12" xfId="0" applyNumberFormat="1" applyFont="1" applyFill="1" applyBorder="1" applyAlignment="1" applyProtection="1">
      <alignment horizontal="center"/>
      <protection hidden="1"/>
    </xf>
    <xf numFmtId="168" fontId="1" fillId="0" borderId="1" xfId="4" applyNumberFormat="1" applyFont="1" applyBorder="1" applyProtection="1">
      <protection hidden="1"/>
    </xf>
    <xf numFmtId="0" fontId="0" fillId="0" borderId="4" xfId="0" applyBorder="1" applyProtection="1">
      <protection hidden="1"/>
    </xf>
    <xf numFmtId="3" fontId="5" fillId="0" borderId="3" xfId="4" applyNumberFormat="1" applyFont="1" applyFill="1" applyBorder="1" applyAlignment="1" applyProtection="1">
      <alignment horizontal="center"/>
      <protection hidden="1"/>
    </xf>
    <xf numFmtId="3" fontId="0" fillId="0" borderId="3" xfId="0" applyNumberFormat="1" applyBorder="1" applyAlignment="1" applyProtection="1">
      <alignment horizontal="center"/>
      <protection hidden="1"/>
    </xf>
    <xf numFmtId="168" fontId="4" fillId="3" borderId="1" xfId="4" applyNumberFormat="1" applyFont="1" applyFill="1" applyBorder="1" applyAlignment="1" applyProtection="1">
      <alignment horizontal="left"/>
      <protection hidden="1"/>
    </xf>
    <xf numFmtId="0" fontId="3" fillId="2" borderId="2" xfId="0" applyFont="1" applyFill="1" applyBorder="1" applyProtection="1">
      <protection hidden="1"/>
    </xf>
    <xf numFmtId="0" fontId="3" fillId="2" borderId="14" xfId="0" applyFont="1" applyFill="1" applyBorder="1" applyProtection="1">
      <protection hidden="1"/>
    </xf>
    <xf numFmtId="0" fontId="5" fillId="0" borderId="1" xfId="0" applyFont="1" applyBorder="1" applyAlignment="1" applyProtection="1">
      <alignment horizontal="left" indent="1"/>
      <protection hidden="1"/>
    </xf>
    <xf numFmtId="171" fontId="3" fillId="3" borderId="1" xfId="0" applyNumberFormat="1" applyFont="1" applyFill="1" applyBorder="1" applyAlignment="1" applyProtection="1">
      <alignment horizontal="center"/>
      <protection hidden="1"/>
    </xf>
    <xf numFmtId="3" fontId="8" fillId="6" borderId="1" xfId="0" applyNumberFormat="1" applyFont="1" applyFill="1" applyBorder="1" applyAlignment="1" applyProtection="1">
      <alignment horizontal="left" indent="1"/>
      <protection locked="0"/>
    </xf>
    <xf numFmtId="164" fontId="5" fillId="0" borderId="1" xfId="3" applyFont="1" applyBorder="1" applyProtection="1">
      <protection hidden="1"/>
    </xf>
    <xf numFmtId="0" fontId="38" fillId="9" borderId="1" xfId="0" applyFont="1" applyFill="1" applyBorder="1" applyAlignment="1" applyProtection="1">
      <alignment horizontal="center"/>
      <protection locked="0" hidden="1"/>
    </xf>
    <xf numFmtId="0" fontId="14" fillId="6" borderId="15" xfId="0" applyFont="1" applyFill="1" applyBorder="1" applyAlignment="1" applyProtection="1">
      <alignment horizontal="center" vertical="center"/>
      <protection locked="0"/>
    </xf>
    <xf numFmtId="0" fontId="14" fillId="6" borderId="16" xfId="0" applyFont="1" applyFill="1" applyBorder="1" applyAlignment="1" applyProtection="1">
      <alignment horizontal="center" vertical="center"/>
      <protection locked="0"/>
    </xf>
    <xf numFmtId="164" fontId="1" fillId="0" borderId="13" xfId="4" applyNumberFormat="1" applyFill="1" applyBorder="1" applyAlignment="1" applyProtection="1">
      <alignment vertical="center"/>
      <protection hidden="1"/>
    </xf>
    <xf numFmtId="0" fontId="3" fillId="8" borderId="12" xfId="0" applyFont="1" applyFill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9" fontId="0" fillId="7" borderId="0" xfId="0" applyNumberFormat="1" applyFill="1" applyAlignment="1" applyProtection="1">
      <alignment vertical="center"/>
      <protection hidden="1"/>
    </xf>
    <xf numFmtId="9" fontId="0" fillId="0" borderId="7" xfId="0" applyNumberFormat="1" applyBorder="1" applyAlignment="1" applyProtection="1">
      <alignment vertical="center"/>
      <protection hidden="1"/>
    </xf>
    <xf numFmtId="164" fontId="1" fillId="0" borderId="1" xfId="4" applyNumberFormat="1" applyBorder="1" applyAlignment="1" applyProtection="1">
      <alignment horizontal="left" vertical="center"/>
      <protection hidden="1"/>
    </xf>
    <xf numFmtId="164" fontId="1" fillId="0" borderId="1" xfId="4" applyNumberFormat="1" applyFont="1" applyFill="1" applyBorder="1" applyAlignment="1" applyProtection="1">
      <alignment horizontal="center" vertical="center"/>
      <protection hidden="1"/>
    </xf>
    <xf numFmtId="9" fontId="0" fillId="0" borderId="8" xfId="0" applyNumberFormat="1" applyBorder="1" applyAlignment="1" applyProtection="1">
      <alignment vertical="center"/>
      <protection hidden="1"/>
    </xf>
    <xf numFmtId="9" fontId="0" fillId="0" borderId="0" xfId="0" applyNumberFormat="1" applyAlignment="1" applyProtection="1">
      <alignment vertical="center"/>
      <protection hidden="1"/>
    </xf>
    <xf numFmtId="164" fontId="1" fillId="0" borderId="1" xfId="4" applyNumberFormat="1" applyFont="1" applyBorder="1" applyAlignment="1" applyProtection="1">
      <alignment horizontal="left" vertical="center"/>
      <protection hidden="1"/>
    </xf>
    <xf numFmtId="168" fontId="1" fillId="7" borderId="0" xfId="4" applyNumberFormat="1" applyFill="1" applyBorder="1" applyAlignment="1" applyProtection="1">
      <alignment vertical="center"/>
      <protection hidden="1"/>
    </xf>
    <xf numFmtId="168" fontId="1" fillId="0" borderId="7" xfId="4" applyNumberFormat="1" applyBorder="1" applyAlignment="1" applyProtection="1">
      <alignment vertical="center"/>
      <protection hidden="1"/>
    </xf>
    <xf numFmtId="168" fontId="1" fillId="0" borderId="8" xfId="4" applyNumberFormat="1" applyBorder="1" applyAlignment="1" applyProtection="1">
      <alignment vertical="center"/>
      <protection hidden="1"/>
    </xf>
    <xf numFmtId="168" fontId="1" fillId="0" borderId="0" xfId="4" applyNumberFormat="1" applyBorder="1" applyAlignment="1" applyProtection="1">
      <alignment vertical="center"/>
      <protection hidden="1"/>
    </xf>
    <xf numFmtId="164" fontId="4" fillId="2" borderId="1" xfId="4" applyNumberFormat="1" applyFont="1" applyFill="1" applyBorder="1" applyAlignment="1" applyProtection="1">
      <alignment horizontal="left" vertical="center"/>
      <protection hidden="1"/>
    </xf>
    <xf numFmtId="168" fontId="1" fillId="0" borderId="7" xfId="4" applyNumberFormat="1" applyBorder="1" applyAlignment="1" applyProtection="1">
      <alignment horizontal="center" vertical="center"/>
      <protection hidden="1"/>
    </xf>
    <xf numFmtId="3" fontId="8" fillId="6" borderId="1" xfId="4" applyNumberFormat="1" applyFont="1" applyFill="1" applyBorder="1" applyAlignment="1" applyProtection="1">
      <alignment horizontal="center" vertical="center"/>
      <protection locked="0"/>
    </xf>
    <xf numFmtId="168" fontId="1" fillId="7" borderId="0" xfId="4" applyNumberFormat="1" applyFill="1" applyBorder="1" applyAlignment="1" applyProtection="1">
      <alignment horizontal="center" vertical="center"/>
      <protection hidden="1"/>
    </xf>
    <xf numFmtId="168" fontId="1" fillId="0" borderId="0" xfId="4" applyNumberFormat="1" applyBorder="1" applyAlignment="1" applyProtection="1">
      <alignment horizontal="center" vertical="center"/>
      <protection hidden="1"/>
    </xf>
    <xf numFmtId="3" fontId="0" fillId="0" borderId="7" xfId="0" applyNumberFormat="1" applyBorder="1" applyAlignment="1" applyProtection="1">
      <alignment vertical="center"/>
      <protection hidden="1"/>
    </xf>
    <xf numFmtId="3" fontId="0" fillId="7" borderId="0" xfId="0" applyNumberFormat="1" applyFill="1" applyAlignment="1" applyProtection="1">
      <alignment vertical="center"/>
      <protection hidden="1"/>
    </xf>
    <xf numFmtId="3" fontId="0" fillId="0" borderId="0" xfId="0" applyNumberFormat="1" applyAlignment="1" applyProtection="1">
      <alignment vertical="center"/>
      <protection hidden="1"/>
    </xf>
    <xf numFmtId="3" fontId="1" fillId="0" borderId="1" xfId="4" applyNumberFormat="1" applyBorder="1" applyAlignment="1" applyProtection="1">
      <alignment horizontal="center" vertical="center"/>
      <protection hidden="1"/>
    </xf>
    <xf numFmtId="9" fontId="8" fillId="6" borderId="1" xfId="6" applyFont="1" applyFill="1" applyBorder="1" applyAlignment="1" applyProtection="1">
      <alignment horizontal="center" vertical="center"/>
      <protection locked="0"/>
    </xf>
    <xf numFmtId="3" fontId="1" fillId="0" borderId="1" xfId="4" applyNumberFormat="1" applyFont="1" applyFill="1" applyBorder="1" applyAlignment="1" applyProtection="1">
      <alignment horizontal="center" vertical="center"/>
      <protection hidden="1"/>
    </xf>
    <xf numFmtId="3" fontId="0" fillId="0" borderId="8" xfId="0" applyNumberFormat="1" applyBorder="1" applyAlignment="1" applyProtection="1">
      <alignment vertical="center"/>
      <protection hidden="1"/>
    </xf>
    <xf numFmtId="3" fontId="1" fillId="0" borderId="0" xfId="4" applyNumberFormat="1" applyFont="1" applyFill="1" applyBorder="1" applyAlignment="1" applyProtection="1">
      <alignment horizontal="center" vertical="center"/>
      <protection hidden="1"/>
    </xf>
    <xf numFmtId="3" fontId="1" fillId="0" borderId="4" xfId="4" applyNumberFormat="1" applyFont="1" applyFill="1" applyBorder="1" applyAlignment="1" applyProtection="1">
      <alignment horizontal="center" vertical="center"/>
      <protection hidden="1"/>
    </xf>
    <xf numFmtId="3" fontId="1" fillId="0" borderId="18" xfId="4" applyNumberFormat="1" applyFont="1" applyFill="1" applyBorder="1" applyAlignment="1" applyProtection="1">
      <alignment horizontal="center" vertical="center"/>
      <protection hidden="1"/>
    </xf>
    <xf numFmtId="164" fontId="15" fillId="0" borderId="1" xfId="4" applyNumberFormat="1" applyFont="1" applyBorder="1" applyAlignment="1" applyProtection="1">
      <alignment horizontal="left" vertical="center"/>
      <protection hidden="1"/>
    </xf>
    <xf numFmtId="164" fontId="1" fillId="0" borderId="1" xfId="4" applyNumberFormat="1" applyFont="1" applyBorder="1" applyAlignment="1" applyProtection="1">
      <alignment vertical="center"/>
      <protection hidden="1"/>
    </xf>
    <xf numFmtId="164" fontId="1" fillId="0" borderId="0" xfId="4" applyNumberFormat="1" applyFont="1" applyFill="1" applyBorder="1" applyAlignment="1" applyProtection="1">
      <alignment horizontal="center" vertical="center"/>
      <protection hidden="1"/>
    </xf>
    <xf numFmtId="164" fontId="5" fillId="0" borderId="1" xfId="4" applyNumberFormat="1" applyFont="1" applyBorder="1" applyAlignment="1" applyProtection="1">
      <alignment horizontal="left" vertical="center"/>
      <protection hidden="1"/>
    </xf>
    <xf numFmtId="164" fontId="5" fillId="0" borderId="1" xfId="4" applyNumberFormat="1" applyFont="1" applyBorder="1" applyAlignment="1" applyProtection="1">
      <alignment horizontal="left" vertical="center" wrapText="1"/>
      <protection hidden="1"/>
    </xf>
    <xf numFmtId="164" fontId="3" fillId="2" borderId="1" xfId="4" applyNumberFormat="1" applyFont="1" applyFill="1" applyBorder="1" applyAlignment="1" applyProtection="1">
      <alignment horizontal="left" vertical="center"/>
      <protection hidden="1"/>
    </xf>
    <xf numFmtId="164" fontId="0" fillId="0" borderId="1" xfId="4" applyNumberFormat="1" applyFont="1" applyBorder="1" applyAlignment="1" applyProtection="1">
      <alignment horizontal="left" vertical="center"/>
      <protection hidden="1"/>
    </xf>
    <xf numFmtId="164" fontId="1" fillId="0" borderId="10" xfId="4" applyNumberFormat="1" applyBorder="1" applyAlignment="1" applyProtection="1">
      <alignment vertical="center"/>
      <protection hidden="1"/>
    </xf>
    <xf numFmtId="164" fontId="1" fillId="0" borderId="10" xfId="4" applyNumberFormat="1" applyFill="1" applyBorder="1" applyAlignment="1" applyProtection="1">
      <alignment horizontal="center" vertical="center"/>
      <protection hidden="1"/>
    </xf>
    <xf numFmtId="164" fontId="1" fillId="7" borderId="0" xfId="4" applyNumberFormat="1" applyFill="1" applyBorder="1" applyAlignment="1" applyProtection="1">
      <alignment vertical="center"/>
      <protection hidden="1"/>
    </xf>
    <xf numFmtId="164" fontId="1" fillId="7" borderId="0" xfId="4" applyNumberFormat="1" applyFill="1" applyBorder="1" applyAlignment="1" applyProtection="1">
      <alignment horizontal="center" vertical="center"/>
      <protection hidden="1"/>
    </xf>
    <xf numFmtId="164" fontId="1" fillId="0" borderId="0" xfId="4" applyNumberFormat="1" applyBorder="1" applyAlignment="1" applyProtection="1">
      <alignment vertical="center"/>
      <protection hidden="1"/>
    </xf>
    <xf numFmtId="164" fontId="1" fillId="0" borderId="0" xfId="4" applyNumberFormat="1" applyFill="1" applyBorder="1" applyAlignment="1" applyProtection="1">
      <alignment horizontal="center" vertical="center"/>
      <protection hidden="1"/>
    </xf>
    <xf numFmtId="164" fontId="17" fillId="0" borderId="0" xfId="4" applyNumberFormat="1" applyFont="1" applyFill="1" applyBorder="1" applyAlignment="1" applyProtection="1">
      <alignment horizontal="left" vertical="center"/>
      <protection hidden="1"/>
    </xf>
    <xf numFmtId="0" fontId="3" fillId="8" borderId="13" xfId="0" applyFont="1" applyFill="1" applyBorder="1" applyAlignment="1" applyProtection="1">
      <alignment horizontal="center"/>
      <protection hidden="1"/>
    </xf>
    <xf numFmtId="164" fontId="6" fillId="0" borderId="1" xfId="4" applyNumberFormat="1" applyFont="1" applyBorder="1" applyAlignment="1" applyProtection="1">
      <alignment horizontal="left" vertical="center"/>
      <protection hidden="1"/>
    </xf>
    <xf numFmtId="164" fontId="39" fillId="5" borderId="1" xfId="4" applyNumberFormat="1" applyFont="1" applyFill="1" applyBorder="1" applyAlignment="1" applyProtection="1">
      <alignment horizontal="left" indent="1"/>
      <protection hidden="1"/>
    </xf>
    <xf numFmtId="0" fontId="5" fillId="7" borderId="0" xfId="0" applyFont="1" applyFill="1" applyProtection="1">
      <protection hidden="1"/>
    </xf>
    <xf numFmtId="164" fontId="39" fillId="5" borderId="1" xfId="4" applyNumberFormat="1" applyFont="1" applyFill="1" applyBorder="1" applyAlignment="1" applyProtection="1">
      <alignment horizontal="center"/>
      <protection hidden="1"/>
    </xf>
    <xf numFmtId="164" fontId="39" fillId="5" borderId="0" xfId="4" applyNumberFormat="1" applyFont="1" applyFill="1" applyBorder="1" applyAlignment="1" applyProtection="1">
      <alignment horizontal="center"/>
      <protection hidden="1"/>
    </xf>
    <xf numFmtId="164" fontId="5" fillId="10" borderId="1" xfId="3" applyFont="1" applyFill="1" applyBorder="1" applyProtection="1">
      <protection hidden="1"/>
    </xf>
    <xf numFmtId="164" fontId="39" fillId="5" borderId="4" xfId="4" applyNumberFormat="1" applyFont="1" applyFill="1" applyBorder="1" applyAlignment="1" applyProtection="1">
      <alignment horizontal="left" indent="1"/>
      <protection hidden="1"/>
    </xf>
    <xf numFmtId="164" fontId="5" fillId="0" borderId="2" xfId="3" applyFont="1" applyBorder="1" applyProtection="1">
      <protection hidden="1"/>
    </xf>
    <xf numFmtId="164" fontId="39" fillId="5" borderId="0" xfId="4" applyNumberFormat="1" applyFont="1" applyFill="1" applyBorder="1" applyAlignment="1" applyProtection="1">
      <alignment horizontal="left" indent="1"/>
      <protection hidden="1"/>
    </xf>
    <xf numFmtId="3" fontId="8" fillId="0" borderId="1" xfId="4" applyNumberFormat="1" applyFont="1" applyFill="1" applyBorder="1" applyAlignment="1" applyProtection="1">
      <alignment horizontal="center" vertical="center"/>
      <protection locked="0"/>
    </xf>
    <xf numFmtId="168" fontId="6" fillId="0" borderId="1" xfId="4" applyNumberFormat="1" applyFont="1" applyBorder="1" applyAlignment="1" applyProtection="1">
      <alignment horizontal="left" indent="3"/>
      <protection hidden="1"/>
    </xf>
    <xf numFmtId="165" fontId="5" fillId="0" borderId="1" xfId="4" applyFont="1" applyBorder="1" applyAlignment="1" applyProtection="1">
      <alignment horizontal="left" indent="1"/>
      <protection hidden="1"/>
    </xf>
    <xf numFmtId="168" fontId="5" fillId="0" borderId="1" xfId="4" applyNumberFormat="1" applyFont="1" applyBorder="1" applyAlignment="1" applyProtection="1">
      <alignment horizontal="left" indent="1"/>
      <protection hidden="1"/>
    </xf>
    <xf numFmtId="168" fontId="5" fillId="0" borderId="4" xfId="4" applyNumberFormat="1" applyFont="1" applyBorder="1" applyAlignment="1" applyProtection="1">
      <alignment horizontal="left" vertical="center" indent="1"/>
      <protection hidden="1"/>
    </xf>
    <xf numFmtId="164" fontId="18" fillId="9" borderId="0" xfId="4" applyNumberFormat="1" applyFont="1" applyFill="1" applyBorder="1" applyAlignment="1" applyProtection="1">
      <alignment vertical="center"/>
      <protection hidden="1"/>
    </xf>
    <xf numFmtId="0" fontId="0" fillId="9" borderId="0" xfId="0" applyFill="1" applyAlignment="1" applyProtection="1">
      <alignment vertical="center"/>
      <protection hidden="1"/>
    </xf>
    <xf numFmtId="0" fontId="19" fillId="9" borderId="19" xfId="0" applyFont="1" applyFill="1" applyBorder="1" applyAlignment="1" applyProtection="1">
      <alignment vertical="center"/>
      <protection hidden="1"/>
    </xf>
    <xf numFmtId="0" fontId="20" fillId="9" borderId="0" xfId="0" applyFont="1" applyFill="1" applyAlignment="1" applyProtection="1">
      <alignment horizontal="center" vertical="center"/>
      <protection locked="0"/>
    </xf>
    <xf numFmtId="0" fontId="20" fillId="9" borderId="20" xfId="0" applyFont="1" applyFill="1" applyBorder="1" applyAlignment="1" applyProtection="1">
      <alignment horizontal="center" vertical="center"/>
      <protection locked="0"/>
    </xf>
    <xf numFmtId="164" fontId="21" fillId="11" borderId="1" xfId="3" applyFont="1" applyFill="1" applyBorder="1" applyProtection="1">
      <protection hidden="1"/>
    </xf>
    <xf numFmtId="3" fontId="21" fillId="11" borderId="21" xfId="0" applyNumberFormat="1" applyFont="1" applyFill="1" applyBorder="1" applyAlignment="1" applyProtection="1">
      <alignment horizontal="left" indent="1"/>
      <protection locked="0"/>
    </xf>
    <xf numFmtId="164" fontId="5" fillId="0" borderId="1" xfId="4" applyNumberFormat="1" applyFont="1" applyFill="1" applyBorder="1" applyAlignment="1" applyProtection="1">
      <alignment horizontal="center" vertical="center"/>
      <protection hidden="1"/>
    </xf>
    <xf numFmtId="164" fontId="5" fillId="0" borderId="0" xfId="4" applyNumberFormat="1" applyFont="1" applyFill="1" applyBorder="1" applyAlignment="1" applyProtection="1">
      <alignment horizontal="center" vertical="center"/>
      <protection hidden="1"/>
    </xf>
    <xf numFmtId="3" fontId="8" fillId="12" borderId="0" xfId="4" applyNumberFormat="1" applyFont="1" applyFill="1" applyBorder="1" applyAlignment="1" applyProtection="1">
      <alignment horizontal="center" vertical="center"/>
      <protection locked="0"/>
    </xf>
    <xf numFmtId="168" fontId="1" fillId="0" borderId="0" xfId="4" applyNumberFormat="1" applyFill="1" applyBorder="1" applyProtection="1">
      <protection hidden="1"/>
    </xf>
    <xf numFmtId="171" fontId="3" fillId="0" borderId="0" xfId="0" applyNumberFormat="1" applyFont="1" applyAlignment="1" applyProtection="1">
      <alignment horizontal="center"/>
      <protection hidden="1"/>
    </xf>
    <xf numFmtId="3" fontId="5" fillId="13" borderId="1" xfId="4" applyNumberFormat="1" applyFont="1" applyFill="1" applyBorder="1" applyAlignment="1" applyProtection="1">
      <alignment horizontal="center"/>
      <protection hidden="1"/>
    </xf>
    <xf numFmtId="164" fontId="40" fillId="5" borderId="1" xfId="4" applyNumberFormat="1" applyFont="1" applyFill="1" applyBorder="1" applyAlignment="1" applyProtection="1">
      <alignment horizontal="left" indent="1"/>
      <protection hidden="1"/>
    </xf>
    <xf numFmtId="3" fontId="23" fillId="0" borderId="1" xfId="4" applyNumberFormat="1" applyFont="1" applyBorder="1" applyAlignment="1" applyProtection="1">
      <alignment horizontal="center"/>
      <protection hidden="1"/>
    </xf>
    <xf numFmtId="164" fontId="23" fillId="0" borderId="1" xfId="4" applyNumberFormat="1" applyFont="1" applyFill="1" applyBorder="1" applyAlignment="1" applyProtection="1">
      <alignment horizontal="left" indent="1"/>
      <protection hidden="1"/>
    </xf>
    <xf numFmtId="3" fontId="24" fillId="0" borderId="0" xfId="0" applyNumberFormat="1" applyFont="1" applyAlignment="1" applyProtection="1">
      <alignment horizontal="center"/>
      <protection hidden="1"/>
    </xf>
    <xf numFmtId="3" fontId="24" fillId="0" borderId="1" xfId="4" applyNumberFormat="1" applyFont="1" applyFill="1" applyBorder="1" applyAlignment="1" applyProtection="1">
      <alignment horizontal="center"/>
      <protection hidden="1"/>
    </xf>
    <xf numFmtId="164" fontId="23" fillId="13" borderId="1" xfId="4" applyNumberFormat="1" applyFont="1" applyFill="1" applyBorder="1" applyAlignment="1" applyProtection="1">
      <alignment horizontal="left" indent="1"/>
      <protection hidden="1"/>
    </xf>
    <xf numFmtId="3" fontId="24" fillId="13" borderId="1" xfId="4" applyNumberFormat="1" applyFont="1" applyFill="1" applyBorder="1" applyAlignment="1" applyProtection="1">
      <alignment horizontal="center"/>
      <protection hidden="1"/>
    </xf>
    <xf numFmtId="3" fontId="5" fillId="14" borderId="1" xfId="4" applyNumberFormat="1" applyFont="1" applyFill="1" applyBorder="1" applyAlignment="1" applyProtection="1">
      <alignment horizontal="center"/>
      <protection hidden="1"/>
    </xf>
    <xf numFmtId="164" fontId="23" fillId="14" borderId="1" xfId="4" applyNumberFormat="1" applyFont="1" applyFill="1" applyBorder="1" applyAlignment="1" applyProtection="1">
      <alignment horizontal="left" indent="1"/>
      <protection hidden="1"/>
    </xf>
    <xf numFmtId="3" fontId="10" fillId="14" borderId="1" xfId="4" applyNumberFormat="1" applyFont="1" applyFill="1" applyBorder="1" applyAlignment="1" applyProtection="1">
      <alignment horizontal="center"/>
      <protection hidden="1"/>
    </xf>
    <xf numFmtId="164" fontId="0" fillId="0" borderId="1" xfId="4" applyNumberFormat="1" applyFont="1" applyFill="1" applyBorder="1" applyAlignment="1" applyProtection="1">
      <alignment horizontal="center" vertical="center"/>
      <protection hidden="1"/>
    </xf>
    <xf numFmtId="164" fontId="5" fillId="0" borderId="1" xfId="4" applyNumberFormat="1" applyFont="1" applyFill="1" applyBorder="1" applyAlignment="1" applyProtection="1">
      <alignment horizontal="left" indent="1"/>
      <protection hidden="1"/>
    </xf>
    <xf numFmtId="164" fontId="5" fillId="13" borderId="1" xfId="4" applyNumberFormat="1" applyFont="1" applyFill="1" applyBorder="1" applyAlignment="1" applyProtection="1">
      <alignment horizontal="left" indent="1"/>
      <protection hidden="1"/>
    </xf>
    <xf numFmtId="164" fontId="5" fillId="14" borderId="1" xfId="4" applyNumberFormat="1" applyFont="1" applyFill="1" applyBorder="1" applyAlignment="1" applyProtection="1">
      <alignment horizontal="left" indent="1"/>
      <protection hidden="1"/>
    </xf>
    <xf numFmtId="164" fontId="41" fillId="5" borderId="1" xfId="4" applyNumberFormat="1" applyFont="1" applyFill="1" applyBorder="1" applyAlignment="1" applyProtection="1">
      <alignment horizontal="left" indent="1"/>
      <protection hidden="1"/>
    </xf>
    <xf numFmtId="164" fontId="5" fillId="11" borderId="1" xfId="3" applyFont="1" applyFill="1" applyBorder="1" applyProtection="1">
      <protection hidden="1"/>
    </xf>
    <xf numFmtId="0" fontId="3" fillId="8" borderId="22" xfId="0" applyFont="1" applyFill="1" applyBorder="1" applyAlignment="1" applyProtection="1">
      <alignment horizontal="center"/>
      <protection hidden="1"/>
    </xf>
    <xf numFmtId="0" fontId="0" fillId="0" borderId="23" xfId="0" applyBorder="1" applyProtection="1">
      <protection hidden="1"/>
    </xf>
    <xf numFmtId="164" fontId="0" fillId="0" borderId="1" xfId="3" applyFont="1" applyBorder="1" applyProtection="1">
      <protection hidden="1"/>
    </xf>
    <xf numFmtId="168" fontId="0" fillId="0" borderId="1" xfId="4" applyNumberFormat="1" applyFont="1" applyBorder="1" applyAlignment="1" applyProtection="1">
      <alignment horizontal="left" indent="2"/>
      <protection hidden="1"/>
    </xf>
    <xf numFmtId="3" fontId="1" fillId="0" borderId="0" xfId="4" applyNumberFormat="1" applyBorder="1" applyAlignment="1" applyProtection="1">
      <alignment horizontal="center" vertical="center"/>
      <protection hidden="1"/>
    </xf>
    <xf numFmtId="164" fontId="1" fillId="12" borderId="24" xfId="4" applyNumberFormat="1" applyFill="1" applyBorder="1" applyAlignment="1" applyProtection="1">
      <alignment vertical="center"/>
      <protection hidden="1"/>
    </xf>
    <xf numFmtId="0" fontId="0" fillId="12" borderId="0" xfId="0" applyFill="1" applyAlignment="1" applyProtection="1">
      <alignment vertical="center"/>
      <protection hidden="1"/>
    </xf>
    <xf numFmtId="0" fontId="0" fillId="12" borderId="25" xfId="0" applyFill="1" applyBorder="1" applyAlignment="1" applyProtection="1">
      <alignment vertical="center"/>
      <protection hidden="1"/>
    </xf>
    <xf numFmtId="0" fontId="0" fillId="12" borderId="6" xfId="0" applyFill="1" applyBorder="1" applyAlignment="1" applyProtection="1">
      <alignment vertical="center"/>
      <protection hidden="1"/>
    </xf>
    <xf numFmtId="0" fontId="0" fillId="12" borderId="8" xfId="0" applyFill="1" applyBorder="1" applyAlignment="1" applyProtection="1">
      <alignment vertical="center"/>
      <protection hidden="1"/>
    </xf>
    <xf numFmtId="164" fontId="4" fillId="12" borderId="0" xfId="4" applyNumberFormat="1" applyFont="1" applyFill="1" applyBorder="1" applyAlignment="1" applyProtection="1">
      <alignment horizontal="center" vertical="center"/>
      <protection hidden="1"/>
    </xf>
    <xf numFmtId="0" fontId="0" fillId="12" borderId="0" xfId="0" applyFill="1" applyAlignment="1" applyProtection="1">
      <alignment horizontal="center" vertical="center"/>
      <protection hidden="1"/>
    </xf>
    <xf numFmtId="0" fontId="0" fillId="12" borderId="5" xfId="0" applyFill="1" applyBorder="1" applyAlignment="1" applyProtection="1">
      <alignment vertical="center"/>
      <protection hidden="1"/>
    </xf>
    <xf numFmtId="9" fontId="0" fillId="12" borderId="7" xfId="0" applyNumberFormat="1" applyFill="1" applyBorder="1" applyAlignment="1" applyProtection="1">
      <alignment vertical="center"/>
      <protection hidden="1"/>
    </xf>
    <xf numFmtId="0" fontId="0" fillId="12" borderId="7" xfId="0" applyFill="1" applyBorder="1" applyAlignment="1" applyProtection="1">
      <alignment vertical="center"/>
      <protection hidden="1"/>
    </xf>
    <xf numFmtId="168" fontId="1" fillId="12" borderId="7" xfId="4" applyNumberFormat="1" applyFill="1" applyBorder="1" applyAlignment="1" applyProtection="1">
      <alignment horizontal="center" vertical="center"/>
      <protection hidden="1"/>
    </xf>
    <xf numFmtId="164" fontId="1" fillId="12" borderId="13" xfId="4" applyNumberFormat="1" applyFill="1" applyBorder="1" applyAlignment="1" applyProtection="1">
      <alignment vertical="center"/>
      <protection hidden="1"/>
    </xf>
    <xf numFmtId="164" fontId="1" fillId="12" borderId="0" xfId="4" applyNumberFormat="1" applyFill="1" applyBorder="1" applyAlignment="1" applyProtection="1">
      <alignment vertical="center"/>
      <protection hidden="1"/>
    </xf>
    <xf numFmtId="0" fontId="0" fillId="12" borderId="15" xfId="0" applyFill="1" applyBorder="1" applyAlignment="1" applyProtection="1">
      <alignment vertical="center"/>
      <protection hidden="1"/>
    </xf>
    <xf numFmtId="0" fontId="19" fillId="9" borderId="0" xfId="0" applyFont="1" applyFill="1" applyAlignment="1" applyProtection="1">
      <alignment vertical="center"/>
      <protection hidden="1"/>
    </xf>
    <xf numFmtId="164" fontId="1" fillId="0" borderId="18" xfId="4" applyNumberFormat="1" applyFont="1" applyFill="1" applyBorder="1" applyAlignment="1" applyProtection="1">
      <alignment horizontal="center" vertical="center"/>
      <protection hidden="1"/>
    </xf>
    <xf numFmtId="164" fontId="1" fillId="0" borderId="4" xfId="4" applyNumberFormat="1" applyFont="1" applyFill="1" applyBorder="1" applyAlignment="1" applyProtection="1">
      <alignment horizontal="center" vertical="center"/>
      <protection hidden="1"/>
    </xf>
    <xf numFmtId="4" fontId="0" fillId="7" borderId="0" xfId="0" applyNumberFormat="1" applyFill="1" applyProtection="1">
      <protection hidden="1"/>
    </xf>
    <xf numFmtId="4" fontId="0" fillId="0" borderId="7" xfId="0" applyNumberFormat="1" applyBorder="1" applyProtection="1">
      <protection hidden="1"/>
    </xf>
    <xf numFmtId="4" fontId="1" fillId="0" borderId="1" xfId="3" applyNumberFormat="1" applyBorder="1" applyProtection="1">
      <protection hidden="1"/>
    </xf>
    <xf numFmtId="4" fontId="0" fillId="0" borderId="0" xfId="0" applyNumberFormat="1" applyProtection="1">
      <protection hidden="1"/>
    </xf>
    <xf numFmtId="4" fontId="0" fillId="0" borderId="8" xfId="0" applyNumberFormat="1" applyBorder="1" applyProtection="1">
      <protection hidden="1"/>
    </xf>
    <xf numFmtId="164" fontId="42" fillId="12" borderId="0" xfId="4" applyNumberFormat="1" applyFont="1" applyFill="1" applyBorder="1" applyAlignment="1" applyProtection="1">
      <alignment horizontal="center"/>
      <protection hidden="1"/>
    </xf>
    <xf numFmtId="4" fontId="41" fillId="12" borderId="0" xfId="0" applyNumberFormat="1" applyFont="1" applyFill="1" applyProtection="1">
      <protection hidden="1"/>
    </xf>
    <xf numFmtId="0" fontId="0" fillId="12" borderId="0" xfId="0" applyFill="1"/>
    <xf numFmtId="172" fontId="39" fillId="5" borderId="1" xfId="4" applyNumberFormat="1" applyFont="1" applyFill="1" applyBorder="1" applyAlignment="1" applyProtection="1">
      <alignment horizontal="left" indent="1"/>
      <protection hidden="1"/>
    </xf>
    <xf numFmtId="3" fontId="8" fillId="12" borderId="0" xfId="4" applyNumberFormat="1" applyFont="1" applyFill="1" applyBorder="1" applyAlignment="1" applyProtection="1">
      <alignment horizontal="left" vertical="center"/>
      <protection locked="0"/>
    </xf>
    <xf numFmtId="0" fontId="0" fillId="12" borderId="13" xfId="0" applyFill="1" applyBorder="1"/>
    <xf numFmtId="171" fontId="3" fillId="8" borderId="26" xfId="0" applyNumberFormat="1" applyFont="1" applyFill="1" applyBorder="1" applyAlignment="1" applyProtection="1">
      <alignment horizontal="center" vertical="center"/>
      <protection hidden="1"/>
    </xf>
    <xf numFmtId="171" fontId="3" fillId="8" borderId="27" xfId="0" applyNumberFormat="1" applyFont="1" applyFill="1" applyBorder="1" applyAlignment="1" applyProtection="1">
      <alignment horizontal="center" vertical="center"/>
      <protection hidden="1"/>
    </xf>
    <xf numFmtId="164" fontId="3" fillId="2" borderId="28" xfId="4" applyNumberFormat="1" applyFont="1" applyFill="1" applyBorder="1" applyAlignment="1" applyProtection="1">
      <alignment horizontal="left" vertical="center"/>
      <protection hidden="1"/>
    </xf>
    <xf numFmtId="164" fontId="1" fillId="0" borderId="28" xfId="4" applyNumberFormat="1" applyFont="1" applyBorder="1" applyAlignment="1" applyProtection="1">
      <alignment horizontal="left" vertical="center"/>
      <protection hidden="1"/>
    </xf>
    <xf numFmtId="171" fontId="3" fillId="8" borderId="29" xfId="0" applyNumberFormat="1" applyFont="1" applyFill="1" applyBorder="1" applyAlignment="1" applyProtection="1">
      <alignment horizontal="center" vertical="center"/>
      <protection hidden="1"/>
    </xf>
    <xf numFmtId="171" fontId="3" fillId="8" borderId="30" xfId="0" applyNumberFormat="1" applyFont="1" applyFill="1" applyBorder="1" applyAlignment="1" applyProtection="1">
      <alignment horizontal="center" vertical="center"/>
      <protection hidden="1"/>
    </xf>
    <xf numFmtId="3" fontId="8" fillId="6" borderId="1" xfId="4" applyNumberFormat="1" applyFont="1" applyFill="1" applyBorder="1" applyAlignment="1" applyProtection="1">
      <alignment horizontal="left" vertical="center"/>
      <protection locked="0"/>
    </xf>
    <xf numFmtId="3" fontId="8" fillId="6" borderId="21" xfId="4" applyNumberFormat="1" applyFont="1" applyFill="1" applyBorder="1" applyAlignment="1" applyProtection="1">
      <alignment horizontal="left" vertical="center"/>
      <protection locked="0"/>
    </xf>
    <xf numFmtId="164" fontId="3" fillId="15" borderId="0" xfId="4" applyNumberFormat="1" applyFont="1" applyFill="1" applyBorder="1" applyAlignment="1" applyProtection="1">
      <alignment horizontal="left" vertical="center"/>
      <protection hidden="1"/>
    </xf>
    <xf numFmtId="164" fontId="3" fillId="15" borderId="3" xfId="4" applyNumberFormat="1" applyFont="1" applyFill="1" applyBorder="1" applyAlignment="1" applyProtection="1">
      <alignment horizontal="left" vertical="center"/>
      <protection hidden="1"/>
    </xf>
    <xf numFmtId="164" fontId="43" fillId="15" borderId="0" xfId="4" applyNumberFormat="1" applyFont="1" applyFill="1" applyBorder="1" applyAlignment="1" applyProtection="1">
      <alignment horizontal="left" vertical="center"/>
      <protection hidden="1"/>
    </xf>
    <xf numFmtId="171" fontId="3" fillId="8" borderId="31" xfId="0" applyNumberFormat="1" applyFont="1" applyFill="1" applyBorder="1" applyAlignment="1" applyProtection="1">
      <alignment horizontal="center" vertical="center"/>
      <protection hidden="1"/>
    </xf>
    <xf numFmtId="171" fontId="3" fillId="8" borderId="26" xfId="0" applyNumberFormat="1" applyFont="1" applyFill="1" applyBorder="1" applyAlignment="1" applyProtection="1">
      <alignment horizontal="left" vertical="center"/>
      <protection hidden="1"/>
    </xf>
    <xf numFmtId="3" fontId="8" fillId="6" borderId="2" xfId="4" applyNumberFormat="1" applyFont="1" applyFill="1" applyBorder="1" applyAlignment="1" applyProtection="1">
      <alignment horizontal="left" vertical="center"/>
      <protection locked="0"/>
    </xf>
    <xf numFmtId="171" fontId="3" fillId="8" borderId="29" xfId="0" applyNumberFormat="1" applyFont="1" applyFill="1" applyBorder="1" applyAlignment="1" applyProtection="1">
      <alignment horizontal="left" vertical="center"/>
      <protection hidden="1"/>
    </xf>
    <xf numFmtId="171" fontId="3" fillId="0" borderId="20" xfId="0" applyNumberFormat="1" applyFont="1" applyBorder="1" applyAlignment="1" applyProtection="1">
      <alignment horizontal="left" vertical="center"/>
      <protection hidden="1"/>
    </xf>
    <xf numFmtId="3" fontId="44" fillId="0" borderId="21" xfId="4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right"/>
    </xf>
    <xf numFmtId="0" fontId="0" fillId="0" borderId="7" xfId="0" applyBorder="1"/>
    <xf numFmtId="0" fontId="0" fillId="12" borderId="7" xfId="0" applyFill="1" applyBorder="1"/>
    <xf numFmtId="0" fontId="0" fillId="12" borderId="9" xfId="0" applyFill="1" applyBorder="1"/>
    <xf numFmtId="0" fontId="0" fillId="12" borderId="10" xfId="0" applyFill="1" applyBorder="1"/>
    <xf numFmtId="0" fontId="0" fillId="0" borderId="10" xfId="0" applyBorder="1"/>
    <xf numFmtId="3" fontId="8" fillId="0" borderId="32" xfId="4" applyNumberFormat="1" applyFont="1" applyFill="1" applyBorder="1" applyAlignment="1" applyProtection="1">
      <alignment horizontal="center" vertical="center"/>
      <protection locked="0"/>
    </xf>
    <xf numFmtId="164" fontId="1" fillId="0" borderId="0" xfId="4" applyNumberFormat="1" applyFont="1" applyBorder="1" applyAlignment="1" applyProtection="1">
      <alignment vertical="center"/>
      <protection hidden="1"/>
    </xf>
    <xf numFmtId="164" fontId="27" fillId="5" borderId="1" xfId="4" applyNumberFormat="1" applyFont="1" applyFill="1" applyBorder="1" applyAlignment="1" applyProtection="1">
      <alignment horizontal="left" vertical="center"/>
      <protection hidden="1"/>
    </xf>
    <xf numFmtId="3" fontId="1" fillId="14" borderId="1" xfId="4" applyNumberFormat="1" applyFill="1" applyBorder="1" applyAlignment="1" applyProtection="1">
      <alignment horizontal="center" vertical="center"/>
      <protection hidden="1"/>
    </xf>
    <xf numFmtId="3" fontId="1" fillId="14" borderId="18" xfId="4" applyNumberFormat="1" applyFont="1" applyFill="1" applyBorder="1" applyAlignment="1" applyProtection="1">
      <alignment horizontal="center" vertical="center"/>
      <protection hidden="1"/>
    </xf>
    <xf numFmtId="3" fontId="1" fillId="14" borderId="4" xfId="4" applyNumberFormat="1" applyFont="1" applyFill="1" applyBorder="1" applyAlignment="1" applyProtection="1">
      <alignment horizontal="center" vertical="center"/>
      <protection hidden="1"/>
    </xf>
    <xf numFmtId="0" fontId="18" fillId="9" borderId="0" xfId="0" applyFont="1" applyFill="1" applyAlignment="1" applyProtection="1">
      <alignment vertical="center"/>
      <protection hidden="1"/>
    </xf>
    <xf numFmtId="0" fontId="18" fillId="9" borderId="19" xfId="0" applyFont="1" applyFill="1" applyBorder="1" applyAlignment="1" applyProtection="1">
      <alignment vertical="center"/>
      <protection hidden="1"/>
    </xf>
    <xf numFmtId="164" fontId="3" fillId="0" borderId="0" xfId="4" applyNumberFormat="1" applyFont="1" applyFill="1" applyBorder="1" applyAlignment="1" applyProtection="1">
      <alignment horizontal="center"/>
      <protection hidden="1"/>
    </xf>
    <xf numFmtId="3" fontId="8" fillId="0" borderId="1" xfId="4" applyNumberFormat="1" applyFont="1" applyFill="1" applyBorder="1" applyAlignment="1" applyProtection="1">
      <alignment horizontal="center" vertical="center"/>
    </xf>
    <xf numFmtId="3" fontId="8" fillId="0" borderId="4" xfId="4" applyNumberFormat="1" applyFont="1" applyFill="1" applyBorder="1" applyAlignment="1" applyProtection="1">
      <alignment horizontal="center" vertical="center"/>
      <protection locked="0"/>
    </xf>
    <xf numFmtId="164" fontId="21" fillId="15" borderId="1" xfId="3" applyFont="1" applyFill="1" applyBorder="1" applyProtection="1">
      <protection hidden="1"/>
    </xf>
    <xf numFmtId="164" fontId="0" fillId="0" borderId="28" xfId="4" applyNumberFormat="1" applyFont="1" applyBorder="1" applyAlignment="1" applyProtection="1">
      <alignment horizontal="left" vertical="center"/>
      <protection hidden="1"/>
    </xf>
    <xf numFmtId="164" fontId="16" fillId="5" borderId="1" xfId="4" applyNumberFormat="1" applyFont="1" applyFill="1" applyBorder="1" applyAlignment="1" applyProtection="1">
      <alignment horizontal="center" vertical="center"/>
      <protection hidden="1"/>
    </xf>
    <xf numFmtId="0" fontId="29" fillId="16" borderId="0" xfId="5" applyFont="1" applyFill="1" applyAlignment="1">
      <alignment horizontal="center"/>
    </xf>
    <xf numFmtId="0" fontId="29" fillId="16" borderId="0" xfId="5" applyFont="1" applyFill="1"/>
    <xf numFmtId="0" fontId="30" fillId="16" borderId="0" xfId="5" applyFont="1" applyFill="1"/>
    <xf numFmtId="0" fontId="31" fillId="16" borderId="0" xfId="1" applyFont="1" applyFill="1" applyAlignment="1" applyProtection="1"/>
    <xf numFmtId="0" fontId="5" fillId="16" borderId="0" xfId="5" applyFill="1"/>
    <xf numFmtId="0" fontId="32" fillId="9" borderId="0" xfId="1" applyFont="1" applyFill="1" applyBorder="1" applyAlignment="1" applyProtection="1">
      <alignment horizontal="center" vertical="center"/>
      <protection locked="0"/>
    </xf>
    <xf numFmtId="168" fontId="0" fillId="0" borderId="1" xfId="4" applyNumberFormat="1" applyFont="1" applyBorder="1" applyAlignment="1" applyProtection="1">
      <alignment vertical="center"/>
      <protection hidden="1"/>
    </xf>
    <xf numFmtId="164" fontId="0" fillId="0" borderId="14" xfId="4" applyNumberFormat="1" applyFont="1" applyFill="1" applyBorder="1" applyAlignment="1" applyProtection="1">
      <alignment horizontal="left" vertical="center"/>
      <protection hidden="1"/>
    </xf>
    <xf numFmtId="164" fontId="28" fillId="0" borderId="1" xfId="3" applyFont="1" applyFill="1" applyBorder="1" applyProtection="1">
      <protection hidden="1"/>
    </xf>
    <xf numFmtId="164" fontId="41" fillId="0" borderId="1" xfId="4" applyNumberFormat="1" applyFont="1" applyFill="1" applyBorder="1" applyAlignment="1" applyProtection="1">
      <alignment horizontal="left" indent="1"/>
      <protection hidden="1"/>
    </xf>
    <xf numFmtId="164" fontId="39" fillId="0" borderId="1" xfId="4" applyNumberFormat="1" applyFont="1" applyFill="1" applyBorder="1" applyAlignment="1" applyProtection="1">
      <alignment horizontal="left" indent="1"/>
      <protection hidden="1"/>
    </xf>
    <xf numFmtId="164" fontId="5" fillId="0" borderId="1" xfId="3" applyFont="1" applyFill="1" applyBorder="1" applyProtection="1">
      <protection hidden="1"/>
    </xf>
    <xf numFmtId="164" fontId="0" fillId="0" borderId="1" xfId="3" applyFont="1" applyFill="1" applyBorder="1" applyProtection="1">
      <protection hidden="1"/>
    </xf>
    <xf numFmtId="164" fontId="1" fillId="12" borderId="0" xfId="4" applyNumberFormat="1" applyFill="1" applyBorder="1" applyAlignment="1" applyProtection="1">
      <alignment horizontal="center" vertical="center"/>
      <protection hidden="1"/>
    </xf>
    <xf numFmtId="164" fontId="29" fillId="12" borderId="13" xfId="4" applyNumberFormat="1" applyFont="1" applyFill="1" applyBorder="1" applyAlignment="1" applyProtection="1">
      <alignment horizontal="center" vertical="center"/>
      <protection hidden="1"/>
    </xf>
    <xf numFmtId="0" fontId="5" fillId="12" borderId="0" xfId="0" applyFont="1" applyFill="1" applyAlignment="1" applyProtection="1">
      <alignment horizontal="center" vertical="center"/>
      <protection hidden="1"/>
    </xf>
    <xf numFmtId="3" fontId="8" fillId="6" borderId="1" xfId="4" applyNumberFormat="1" applyFont="1" applyFill="1" applyBorder="1" applyAlignment="1" applyProtection="1">
      <alignment horizontal="center" vertical="center"/>
    </xf>
    <xf numFmtId="3" fontId="1" fillId="0" borderId="21" xfId="4" applyNumberFormat="1" applyFont="1" applyFill="1" applyBorder="1" applyAlignment="1" applyProtection="1">
      <alignment horizontal="center" vertical="center"/>
      <protection hidden="1"/>
    </xf>
    <xf numFmtId="0" fontId="20" fillId="9" borderId="0" xfId="0" applyFont="1" applyFill="1" applyAlignment="1">
      <alignment horizontal="center" vertical="center"/>
    </xf>
    <xf numFmtId="0" fontId="32" fillId="9" borderId="0" xfId="1" applyFont="1" applyFill="1" applyBorder="1" applyAlignment="1" applyProtection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10" fontId="8" fillId="6" borderId="1" xfId="0" applyNumberFormat="1" applyFont="1" applyFill="1" applyBorder="1" applyAlignment="1" applyProtection="1">
      <alignment horizontal="right" vertical="center"/>
      <protection locked="0"/>
    </xf>
    <xf numFmtId="10" fontId="5" fillId="0" borderId="1" xfId="0" applyNumberFormat="1" applyFont="1" applyBorder="1" applyAlignment="1" applyProtection="1">
      <alignment horizontal="right" vertical="center"/>
      <protection locked="0" hidden="1"/>
    </xf>
    <xf numFmtId="10" fontId="8" fillId="6" borderId="1" xfId="6" applyNumberFormat="1" applyFont="1" applyFill="1" applyBorder="1" applyAlignment="1" applyProtection="1">
      <alignment horizontal="right" vertical="center"/>
      <protection locked="0"/>
    </xf>
    <xf numFmtId="3" fontId="8" fillId="6" borderId="1" xfId="4" applyNumberFormat="1" applyFont="1" applyFill="1" applyBorder="1" applyAlignment="1" applyProtection="1">
      <alignment horizontal="right" vertical="center"/>
      <protection locked="0"/>
    </xf>
    <xf numFmtId="0" fontId="20" fillId="9" borderId="0" xfId="0" applyFont="1" applyFill="1" applyAlignment="1" applyProtection="1">
      <alignment horizontal="right" vertical="center"/>
      <protection locked="0"/>
    </xf>
    <xf numFmtId="0" fontId="20" fillId="9" borderId="20" xfId="0" applyFont="1" applyFill="1" applyBorder="1" applyAlignment="1" applyProtection="1">
      <alignment horizontal="right" vertical="center"/>
      <protection locked="0"/>
    </xf>
    <xf numFmtId="9" fontId="0" fillId="0" borderId="0" xfId="0" applyNumberFormat="1" applyAlignment="1" applyProtection="1">
      <alignment horizontal="right" vertical="center"/>
      <protection hidden="1"/>
    </xf>
    <xf numFmtId="168" fontId="1" fillId="0" borderId="0" xfId="4" applyNumberFormat="1" applyBorder="1" applyAlignment="1" applyProtection="1">
      <alignment horizontal="righ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169" fontId="0" fillId="0" borderId="0" xfId="6" applyNumberFormat="1" applyFont="1" applyBorder="1" applyAlignment="1" applyProtection="1">
      <alignment horizontal="right" vertical="center"/>
      <protection hidden="1"/>
    </xf>
    <xf numFmtId="167" fontId="5" fillId="0" borderId="1" xfId="4" applyNumberFormat="1" applyFont="1" applyFill="1" applyBorder="1" applyAlignment="1" applyProtection="1">
      <alignment horizontal="right" vertical="center"/>
      <protection hidden="1"/>
    </xf>
    <xf numFmtId="3" fontId="0" fillId="0" borderId="0" xfId="0" applyNumberFormat="1" applyAlignment="1" applyProtection="1">
      <alignment horizontal="right" vertical="center"/>
      <protection hidden="1"/>
    </xf>
    <xf numFmtId="3" fontId="1" fillId="0" borderId="1" xfId="4" applyNumberFormat="1" applyFont="1" applyBorder="1" applyAlignment="1" applyProtection="1">
      <alignment horizontal="right" vertical="center"/>
      <protection hidden="1"/>
    </xf>
    <xf numFmtId="169" fontId="8" fillId="6" borderId="1" xfId="6" applyNumberFormat="1" applyFont="1" applyFill="1" applyBorder="1" applyAlignment="1" applyProtection="1">
      <alignment horizontal="right" vertical="center"/>
      <protection locked="0"/>
    </xf>
    <xf numFmtId="3" fontId="1" fillId="0" borderId="0" xfId="4" applyNumberFormat="1" applyBorder="1" applyAlignment="1" applyProtection="1">
      <alignment horizontal="right" vertical="center"/>
      <protection hidden="1"/>
    </xf>
    <xf numFmtId="0" fontId="0" fillId="7" borderId="0" xfId="0" applyFill="1" applyAlignment="1" applyProtection="1">
      <alignment horizontal="right" vertical="center"/>
      <protection hidden="1"/>
    </xf>
    <xf numFmtId="3" fontId="8" fillId="0" borderId="1" xfId="4" applyNumberFormat="1" applyFont="1" applyFill="1" applyBorder="1" applyAlignment="1" applyProtection="1">
      <alignment horizontal="right" vertical="center"/>
      <protection locked="0"/>
    </xf>
    <xf numFmtId="2" fontId="45" fillId="0" borderId="30" xfId="0" applyNumberFormat="1" applyFont="1" applyBorder="1" applyAlignment="1" applyProtection="1">
      <alignment horizontal="right" vertical="center"/>
      <protection hidden="1"/>
    </xf>
    <xf numFmtId="2" fontId="45" fillId="0" borderId="33" xfId="0" applyNumberFormat="1" applyFont="1" applyBorder="1" applyAlignment="1" applyProtection="1">
      <alignment horizontal="right" vertical="center"/>
      <protection hidden="1"/>
    </xf>
    <xf numFmtId="3" fontId="8" fillId="6" borderId="2" xfId="4" applyNumberFormat="1" applyFont="1" applyFill="1" applyBorder="1" applyAlignment="1" applyProtection="1">
      <alignment horizontal="right" vertical="center"/>
      <protection locked="0"/>
    </xf>
    <xf numFmtId="4" fontId="5" fillId="0" borderId="1" xfId="4" applyNumberFormat="1" applyFont="1" applyFill="1" applyBorder="1" applyAlignment="1" applyProtection="1">
      <alignment horizontal="right" vertical="center"/>
      <protection hidden="1"/>
    </xf>
    <xf numFmtId="3" fontId="8" fillId="0" borderId="1" xfId="4" applyNumberFormat="1" applyFont="1" applyFill="1" applyBorder="1" applyAlignment="1" applyProtection="1">
      <alignment horizontal="right" vertical="center"/>
    </xf>
    <xf numFmtId="164" fontId="1" fillId="0" borderId="1" xfId="4" applyNumberFormat="1" applyFont="1" applyFill="1" applyBorder="1" applyAlignment="1" applyProtection="1">
      <alignment horizontal="right" vertical="center"/>
      <protection hidden="1"/>
    </xf>
    <xf numFmtId="3" fontId="8" fillId="6" borderId="21" xfId="4" applyNumberFormat="1" applyFont="1" applyFill="1" applyBorder="1" applyAlignment="1" applyProtection="1">
      <alignment horizontal="right" vertical="center"/>
      <protection locked="0"/>
    </xf>
    <xf numFmtId="3" fontId="8" fillId="0" borderId="21" xfId="4" applyNumberFormat="1" applyFont="1" applyFill="1" applyBorder="1" applyAlignment="1" applyProtection="1">
      <alignment horizontal="right" vertical="center"/>
    </xf>
    <xf numFmtId="164" fontId="44" fillId="0" borderId="32" xfId="4" applyNumberFormat="1" applyFont="1" applyFill="1" applyBorder="1" applyAlignment="1" applyProtection="1">
      <alignment horizontal="right" vertical="center"/>
      <protection hidden="1"/>
    </xf>
    <xf numFmtId="164" fontId="0" fillId="0" borderId="0" xfId="0" applyNumberFormat="1" applyAlignment="1">
      <alignment horizontal="right"/>
    </xf>
    <xf numFmtId="3" fontId="8" fillId="0" borderId="32" xfId="4" applyNumberFormat="1" applyFont="1" applyFill="1" applyBorder="1" applyAlignment="1" applyProtection="1">
      <alignment horizontal="right" vertical="center"/>
      <protection locked="0"/>
    </xf>
    <xf numFmtId="3" fontId="8" fillId="12" borderId="21" xfId="4" applyNumberFormat="1" applyFont="1" applyFill="1" applyBorder="1" applyAlignment="1" applyProtection="1">
      <alignment horizontal="right" vertical="center"/>
    </xf>
    <xf numFmtId="3" fontId="0" fillId="0" borderId="34" xfId="0" applyNumberFormat="1" applyBorder="1" applyAlignment="1" applyProtection="1">
      <alignment horizontal="right" vertical="center"/>
      <protection hidden="1"/>
    </xf>
    <xf numFmtId="3" fontId="8" fillId="6" borderId="4" xfId="4" applyNumberFormat="1" applyFont="1" applyFill="1" applyBorder="1" applyAlignment="1" applyProtection="1">
      <alignment horizontal="right" vertical="center"/>
      <protection locked="0"/>
    </xf>
    <xf numFmtId="164" fontId="1" fillId="0" borderId="4" xfId="4" applyNumberFormat="1" applyFont="1" applyFill="1" applyBorder="1" applyAlignment="1" applyProtection="1">
      <alignment horizontal="right" vertical="center"/>
      <protection hidden="1"/>
    </xf>
    <xf numFmtId="164" fontId="1" fillId="0" borderId="35" xfId="4" applyNumberFormat="1" applyFont="1" applyFill="1" applyBorder="1" applyAlignment="1" applyProtection="1">
      <alignment horizontal="right" vertical="center"/>
      <protection hidden="1"/>
    </xf>
    <xf numFmtId="3" fontId="44" fillId="0" borderId="1" xfId="4" applyNumberFormat="1" applyFont="1" applyFill="1" applyBorder="1" applyAlignment="1" applyProtection="1">
      <alignment horizontal="right" vertical="center"/>
    </xf>
    <xf numFmtId="9" fontId="8" fillId="6" borderId="1" xfId="6" applyFont="1" applyFill="1" applyBorder="1" applyAlignment="1" applyProtection="1">
      <alignment horizontal="right" vertical="center"/>
      <protection locked="0"/>
    </xf>
    <xf numFmtId="3" fontId="1" fillId="0" borderId="1" xfId="2" applyNumberFormat="1" applyBorder="1" applyAlignment="1" applyProtection="1">
      <alignment horizontal="right" vertical="center"/>
      <protection hidden="1"/>
    </xf>
    <xf numFmtId="0" fontId="0" fillId="0" borderId="17" xfId="0" applyBorder="1" applyAlignment="1" applyProtection="1">
      <alignment horizontal="right" vertical="center"/>
      <protection hidden="1"/>
    </xf>
    <xf numFmtId="3" fontId="1" fillId="0" borderId="1" xfId="4" applyNumberFormat="1" applyBorder="1" applyAlignment="1" applyProtection="1">
      <alignment horizontal="right" vertical="center"/>
      <protection hidden="1"/>
    </xf>
    <xf numFmtId="0" fontId="0" fillId="0" borderId="10" xfId="0" applyBorder="1" applyAlignment="1" applyProtection="1">
      <alignment horizontal="right" vertical="center"/>
      <protection hidden="1"/>
    </xf>
    <xf numFmtId="164" fontId="43" fillId="0" borderId="0" xfId="4" applyNumberFormat="1" applyFont="1" applyFill="1" applyBorder="1" applyAlignment="1" applyProtection="1">
      <alignment horizontal="center" vertical="center"/>
      <protection hidden="1"/>
    </xf>
    <xf numFmtId="164" fontId="4" fillId="0" borderId="0" xfId="4" applyNumberFormat="1" applyFont="1" applyFill="1" applyBorder="1" applyAlignment="1" applyProtection="1">
      <alignment horizontal="right" vertical="center"/>
      <protection hidden="1"/>
    </xf>
    <xf numFmtId="3" fontId="8" fillId="6" borderId="3" xfId="4" applyNumberFormat="1" applyFont="1" applyFill="1" applyBorder="1" applyAlignment="1" applyProtection="1">
      <alignment horizontal="right" vertical="center"/>
      <protection locked="0"/>
    </xf>
    <xf numFmtId="3" fontId="0" fillId="0" borderId="1" xfId="0" applyNumberFormat="1" applyBorder="1" applyAlignment="1" applyProtection="1">
      <alignment horizontal="right" vertical="center"/>
      <protection hidden="1"/>
    </xf>
    <xf numFmtId="3" fontId="8" fillId="6" borderId="1" xfId="0" applyNumberFormat="1" applyFont="1" applyFill="1" applyBorder="1" applyAlignment="1" applyProtection="1">
      <alignment horizontal="right" vertical="center"/>
      <protection locked="0"/>
    </xf>
    <xf numFmtId="3" fontId="8" fillId="6" borderId="16" xfId="0" applyNumberFormat="1" applyFont="1" applyFill="1" applyBorder="1" applyAlignment="1" applyProtection="1">
      <alignment horizontal="right" vertical="center"/>
      <protection locked="0"/>
    </xf>
    <xf numFmtId="4" fontId="0" fillId="0" borderId="0" xfId="0" applyNumberFormat="1" applyAlignment="1" applyProtection="1">
      <alignment horizontal="right" vertical="center"/>
      <protection hidden="1"/>
    </xf>
    <xf numFmtId="3" fontId="1" fillId="0" borderId="1" xfId="4" applyNumberFormat="1" applyFill="1" applyBorder="1" applyAlignment="1" applyProtection="1">
      <alignment horizontal="right" vertical="center"/>
      <protection hidden="1"/>
    </xf>
    <xf numFmtId="0" fontId="0" fillId="0" borderId="36" xfId="0" applyBorder="1" applyAlignment="1" applyProtection="1">
      <alignment horizontal="right" vertical="center"/>
      <protection hidden="1"/>
    </xf>
    <xf numFmtId="0" fontId="0" fillId="0" borderId="37" xfId="0" applyBorder="1" applyAlignment="1" applyProtection="1">
      <alignment horizontal="right" vertical="center"/>
      <protection hidden="1"/>
    </xf>
    <xf numFmtId="3" fontId="8" fillId="0" borderId="1" xfId="0" applyNumberFormat="1" applyFont="1" applyBorder="1" applyAlignment="1" applyProtection="1">
      <alignment horizontal="right"/>
      <protection locked="0"/>
    </xf>
    <xf numFmtId="164" fontId="1" fillId="17" borderId="1" xfId="3" applyFill="1" applyBorder="1" applyAlignment="1" applyProtection="1">
      <alignment horizontal="right"/>
      <protection hidden="1"/>
    </xf>
    <xf numFmtId="164" fontId="10" fillId="0" borderId="0" xfId="4" applyNumberFormat="1" applyFont="1" applyFill="1" applyBorder="1" applyAlignment="1" applyProtection="1">
      <alignment horizontal="right"/>
      <protection hidden="1"/>
    </xf>
    <xf numFmtId="164" fontId="21" fillId="11" borderId="1" xfId="3" applyFont="1" applyFill="1" applyBorder="1" applyAlignment="1" applyProtection="1">
      <alignment horizontal="right"/>
      <protection hidden="1"/>
    </xf>
    <xf numFmtId="164" fontId="22" fillId="11" borderId="0" xfId="4" applyNumberFormat="1" applyFont="1" applyFill="1" applyBorder="1" applyAlignment="1" applyProtection="1">
      <alignment horizontal="right"/>
      <protection hidden="1"/>
    </xf>
    <xf numFmtId="3" fontId="8" fillId="6" borderId="1" xfId="0" applyNumberFormat="1" applyFont="1" applyFill="1" applyBorder="1" applyAlignment="1" applyProtection="1">
      <alignment horizontal="right"/>
      <protection locked="0"/>
    </xf>
    <xf numFmtId="164" fontId="1" fillId="0" borderId="1" xfId="3" applyFont="1" applyFill="1" applyBorder="1" applyAlignment="1" applyProtection="1">
      <alignment horizontal="right"/>
      <protection hidden="1"/>
    </xf>
    <xf numFmtId="164" fontId="10" fillId="10" borderId="0" xfId="4" applyNumberFormat="1" applyFont="1" applyFill="1" applyBorder="1" applyAlignment="1" applyProtection="1">
      <alignment horizontal="right"/>
      <protection hidden="1"/>
    </xf>
    <xf numFmtId="164" fontId="22" fillId="11" borderId="0" xfId="0" applyNumberFormat="1" applyFont="1" applyFill="1" applyAlignment="1" applyProtection="1">
      <alignment horizontal="right"/>
      <protection hidden="1"/>
    </xf>
    <xf numFmtId="164" fontId="22" fillId="0" borderId="0" xfId="0" applyNumberFormat="1" applyFont="1" applyAlignment="1" applyProtection="1">
      <alignment horizontal="right"/>
      <protection hidden="1"/>
    </xf>
    <xf numFmtId="164" fontId="21" fillId="15" borderId="1" xfId="3" applyFont="1" applyFill="1" applyBorder="1" applyAlignment="1" applyProtection="1">
      <alignment horizontal="right"/>
      <protection hidden="1"/>
    </xf>
    <xf numFmtId="164" fontId="22" fillId="15" borderId="0" xfId="0" applyNumberFormat="1" applyFont="1" applyFill="1" applyAlignment="1" applyProtection="1">
      <alignment horizontal="right"/>
      <protection hidden="1"/>
    </xf>
    <xf numFmtId="3" fontId="1" fillId="0" borderId="1" xfId="4" applyNumberFormat="1" applyBorder="1" applyAlignment="1" applyProtection="1">
      <alignment horizontal="right"/>
      <protection hidden="1"/>
    </xf>
    <xf numFmtId="3" fontId="1" fillId="13" borderId="1" xfId="4" applyNumberFormat="1" applyFill="1" applyBorder="1" applyAlignment="1" applyProtection="1">
      <alignment horizontal="right"/>
      <protection hidden="1"/>
    </xf>
    <xf numFmtId="169" fontId="1" fillId="14" borderId="1" xfId="6" applyNumberFormat="1" applyFill="1" applyBorder="1" applyAlignment="1" applyProtection="1">
      <alignment horizontal="right"/>
      <protection hidden="1"/>
    </xf>
    <xf numFmtId="3" fontId="10" fillId="0" borderId="1" xfId="4" applyNumberFormat="1" applyFont="1" applyBorder="1" applyAlignment="1" applyProtection="1">
      <alignment horizontal="right"/>
      <protection hidden="1"/>
    </xf>
    <xf numFmtId="3" fontId="5" fillId="0" borderId="1" xfId="4" applyNumberFormat="1" applyFont="1" applyFill="1" applyBorder="1" applyAlignment="1" applyProtection="1">
      <alignment horizontal="right"/>
      <protection hidden="1"/>
    </xf>
    <xf numFmtId="3" fontId="23" fillId="0" borderId="1" xfId="4" applyNumberFormat="1" applyFont="1" applyBorder="1" applyAlignment="1" applyProtection="1">
      <alignment horizontal="right"/>
      <protection hidden="1"/>
    </xf>
    <xf numFmtId="3" fontId="5" fillId="0" borderId="1" xfId="4" applyNumberFormat="1" applyFont="1" applyBorder="1" applyAlignment="1" applyProtection="1">
      <alignment horizontal="right"/>
      <protection hidden="1"/>
    </xf>
    <xf numFmtId="169" fontId="10" fillId="14" borderId="1" xfId="6" applyNumberFormat="1" applyFont="1" applyFill="1" applyBorder="1" applyAlignment="1" applyProtection="1">
      <alignment horizontal="right"/>
      <protection hidden="1"/>
    </xf>
    <xf numFmtId="3" fontId="12" fillId="0" borderId="1" xfId="4" applyNumberFormat="1" applyFont="1" applyBorder="1" applyAlignment="1" applyProtection="1">
      <alignment horizontal="right"/>
      <protection hidden="1"/>
    </xf>
    <xf numFmtId="3" fontId="6" fillId="0" borderId="1" xfId="4" applyNumberFormat="1" applyFont="1" applyBorder="1" applyAlignment="1" applyProtection="1">
      <alignment horizontal="right"/>
      <protection hidden="1"/>
    </xf>
    <xf numFmtId="168" fontId="1" fillId="0" borderId="0" xfId="4" applyNumberFormat="1" applyBorder="1" applyAlignment="1" applyProtection="1">
      <alignment horizontal="right"/>
      <protection hidden="1"/>
    </xf>
    <xf numFmtId="3" fontId="0" fillId="0" borderId="0" xfId="0" applyNumberFormat="1" applyAlignment="1" applyProtection="1">
      <alignment horizontal="right"/>
      <protection hidden="1"/>
    </xf>
    <xf numFmtId="3" fontId="10" fillId="0" borderId="1" xfId="4" applyNumberFormat="1" applyFont="1" applyFill="1" applyBorder="1" applyAlignment="1" applyProtection="1">
      <alignment horizontal="right"/>
      <protection hidden="1"/>
    </xf>
    <xf numFmtId="3" fontId="1" fillId="0" borderId="3" xfId="4" applyNumberFormat="1" applyBorder="1" applyAlignment="1" applyProtection="1">
      <alignment horizontal="right"/>
      <protection hidden="1"/>
    </xf>
    <xf numFmtId="3" fontId="10" fillId="0" borderId="3" xfId="4" applyNumberFormat="1" applyFont="1" applyFill="1" applyBorder="1" applyAlignment="1" applyProtection="1">
      <alignment horizontal="right"/>
      <protection hidden="1"/>
    </xf>
    <xf numFmtId="3" fontId="14" fillId="0" borderId="0" xfId="4" applyNumberFormat="1" applyFont="1" applyFill="1" applyBorder="1" applyAlignment="1" applyProtection="1">
      <alignment horizontal="right"/>
      <protection hidden="1"/>
    </xf>
    <xf numFmtId="167" fontId="1" fillId="0" borderId="1" xfId="4" applyNumberFormat="1" applyBorder="1" applyAlignment="1" applyProtection="1">
      <alignment horizontal="right" vertical="center"/>
      <protection hidden="1"/>
    </xf>
    <xf numFmtId="3" fontId="44" fillId="0" borderId="1" xfId="4" applyNumberFormat="1" applyFont="1" applyFill="1" applyBorder="1" applyAlignment="1" applyProtection="1">
      <alignment horizontal="right" vertical="center"/>
      <protection hidden="1"/>
    </xf>
    <xf numFmtId="10" fontId="1" fillId="0" borderId="1" xfId="6" applyNumberFormat="1" applyBorder="1" applyAlignment="1" applyProtection="1">
      <alignment horizontal="right" vertical="center"/>
      <protection hidden="1"/>
    </xf>
    <xf numFmtId="10" fontId="0" fillId="0" borderId="1" xfId="0" applyNumberFormat="1" applyBorder="1" applyAlignment="1" applyProtection="1">
      <alignment horizontal="right" vertical="center"/>
      <protection hidden="1"/>
    </xf>
    <xf numFmtId="169" fontId="0" fillId="0" borderId="1" xfId="6" applyNumberFormat="1" applyFont="1" applyBorder="1" applyAlignment="1" applyProtection="1">
      <alignment horizontal="right" vertical="center"/>
      <protection hidden="1"/>
    </xf>
    <xf numFmtId="3" fontId="4" fillId="0" borderId="0" xfId="4" applyNumberFormat="1" applyFont="1" applyFill="1" applyBorder="1" applyAlignment="1" applyProtection="1">
      <alignment horizontal="right" vertical="center"/>
      <protection hidden="1"/>
    </xf>
    <xf numFmtId="167" fontId="0" fillId="0" borderId="1" xfId="0" applyNumberFormat="1" applyBorder="1" applyAlignment="1" applyProtection="1">
      <alignment horizontal="right" vertical="center"/>
      <protection hidden="1"/>
    </xf>
    <xf numFmtId="3" fontId="10" fillId="0" borderId="1" xfId="0" applyNumberFormat="1" applyFont="1" applyBorder="1" applyAlignment="1" applyProtection="1">
      <alignment horizontal="right" vertical="center"/>
      <protection hidden="1"/>
    </xf>
    <xf numFmtId="9" fontId="1" fillId="0" borderId="1" xfId="6" applyFont="1" applyFill="1" applyBorder="1" applyAlignment="1" applyProtection="1">
      <alignment horizontal="right" vertical="center"/>
      <protection hidden="1"/>
    </xf>
    <xf numFmtId="4" fontId="0" fillId="0" borderId="1" xfId="0" applyNumberForma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right" vertical="center" wrapText="1"/>
      <protection hidden="1"/>
    </xf>
    <xf numFmtId="3" fontId="0" fillId="0" borderId="0" xfId="0" applyNumberFormat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right" vertical="center" wrapText="1"/>
      <protection hidden="1"/>
    </xf>
    <xf numFmtId="3" fontId="5" fillId="0" borderId="0" xfId="0" applyNumberFormat="1" applyFont="1" applyAlignment="1" applyProtection="1">
      <alignment horizontal="right" vertical="center" wrapText="1"/>
      <protection hidden="1"/>
    </xf>
    <xf numFmtId="10" fontId="0" fillId="0" borderId="0" xfId="0" applyNumberFormat="1" applyAlignment="1" applyProtection="1">
      <alignment horizontal="right" vertical="center"/>
      <protection hidden="1"/>
    </xf>
    <xf numFmtId="167" fontId="0" fillId="0" borderId="0" xfId="0" applyNumberFormat="1" applyAlignment="1" applyProtection="1">
      <alignment horizontal="right" vertical="center"/>
      <protection hidden="1"/>
    </xf>
    <xf numFmtId="3" fontId="0" fillId="0" borderId="38" xfId="0" applyNumberFormat="1" applyBorder="1" applyAlignment="1" applyProtection="1">
      <alignment horizontal="right" vertical="center"/>
      <protection hidden="1"/>
    </xf>
    <xf numFmtId="9" fontId="5" fillId="0" borderId="1" xfId="6" applyFont="1" applyFill="1" applyBorder="1" applyAlignment="1" applyProtection="1">
      <alignment horizontal="right" vertical="center"/>
      <protection hidden="1"/>
    </xf>
    <xf numFmtId="10" fontId="5" fillId="0" borderId="1" xfId="6" applyNumberFormat="1" applyFont="1" applyFill="1" applyBorder="1" applyAlignment="1" applyProtection="1">
      <alignment horizontal="right" vertical="center" wrapText="1"/>
      <protection hidden="1"/>
    </xf>
    <xf numFmtId="3" fontId="5" fillId="0" borderId="1" xfId="0" applyNumberFormat="1" applyFont="1" applyBorder="1" applyAlignment="1" applyProtection="1">
      <alignment horizontal="right" vertical="center" wrapText="1"/>
      <protection hidden="1"/>
    </xf>
    <xf numFmtId="4" fontId="5" fillId="0" borderId="1" xfId="0" applyNumberFormat="1" applyFont="1" applyBorder="1" applyAlignment="1" applyProtection="1">
      <alignment horizontal="right" vertical="center" wrapText="1"/>
      <protection hidden="1"/>
    </xf>
    <xf numFmtId="170" fontId="5" fillId="0" borderId="1" xfId="0" applyNumberFormat="1" applyFont="1" applyBorder="1" applyAlignment="1" applyProtection="1">
      <alignment horizontal="right" vertical="center" wrapText="1"/>
      <protection hidden="1"/>
    </xf>
    <xf numFmtId="10" fontId="1" fillId="0" borderId="1" xfId="6" applyNumberFormat="1" applyBorder="1" applyAlignment="1" applyProtection="1">
      <alignment horizontal="right"/>
      <protection hidden="1"/>
    </xf>
    <xf numFmtId="3" fontId="1" fillId="0" borderId="0" xfId="4" applyNumberFormat="1" applyBorder="1" applyAlignment="1" applyProtection="1">
      <alignment horizontal="right"/>
      <protection hidden="1"/>
    </xf>
    <xf numFmtId="3" fontId="3" fillId="0" borderId="0" xfId="0" applyNumberFormat="1" applyFont="1" applyAlignment="1" applyProtection="1">
      <alignment horizontal="right"/>
      <protection hidden="1"/>
    </xf>
    <xf numFmtId="3" fontId="0" fillId="0" borderId="1" xfId="0" applyNumberFormat="1" applyBorder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9" fontId="5" fillId="0" borderId="1" xfId="6" applyFont="1" applyFill="1" applyBorder="1" applyAlignment="1" applyProtection="1">
      <alignment horizontal="right"/>
      <protection hidden="1"/>
    </xf>
    <xf numFmtId="3" fontId="12" fillId="0" borderId="0" xfId="0" applyNumberFormat="1" applyFont="1" applyAlignment="1" applyProtection="1">
      <alignment horizontal="right"/>
      <protection hidden="1"/>
    </xf>
    <xf numFmtId="3" fontId="5" fillId="0" borderId="0" xfId="0" applyNumberFormat="1" applyFont="1" applyAlignment="1" applyProtection="1">
      <alignment horizontal="right"/>
      <protection hidden="1"/>
    </xf>
    <xf numFmtId="3" fontId="5" fillId="0" borderId="3" xfId="4" applyNumberFormat="1" applyFont="1" applyFill="1" applyBorder="1" applyAlignment="1" applyProtection="1">
      <alignment horizontal="right"/>
      <protection hidden="1"/>
    </xf>
    <xf numFmtId="3" fontId="0" fillId="0" borderId="3" xfId="0" applyNumberFormat="1" applyBorder="1" applyAlignment="1" applyProtection="1">
      <alignment horizontal="right"/>
      <protection hidden="1"/>
    </xf>
    <xf numFmtId="164" fontId="46" fillId="5" borderId="1" xfId="4" applyNumberFormat="1" applyFont="1" applyFill="1" applyBorder="1" applyAlignment="1" applyProtection="1">
      <protection hidden="1"/>
    </xf>
    <xf numFmtId="164" fontId="21" fillId="11" borderId="1" xfId="3" applyFont="1" applyFill="1" applyBorder="1" applyAlignment="1" applyProtection="1">
      <alignment horizontal="left"/>
      <protection hidden="1"/>
    </xf>
    <xf numFmtId="3" fontId="44" fillId="0" borderId="1" xfId="4" applyNumberFormat="1" applyFont="1" applyBorder="1" applyAlignment="1" applyProtection="1">
      <alignment horizontal="right"/>
      <protection hidden="1"/>
    </xf>
    <xf numFmtId="3" fontId="44" fillId="0" borderId="1" xfId="4" applyNumberFormat="1" applyFont="1" applyFill="1" applyBorder="1" applyAlignment="1" applyProtection="1">
      <alignment horizontal="right"/>
      <protection hidden="1"/>
    </xf>
    <xf numFmtId="0" fontId="44" fillId="0" borderId="0" xfId="0" applyFont="1" applyAlignment="1" applyProtection="1">
      <alignment horizontal="right"/>
      <protection hidden="1"/>
    </xf>
    <xf numFmtId="3" fontId="44" fillId="0" borderId="2" xfId="4" applyNumberFormat="1" applyFont="1" applyBorder="1" applyAlignment="1" applyProtection="1">
      <alignment horizontal="right"/>
      <protection hidden="1"/>
    </xf>
    <xf numFmtId="3" fontId="44" fillId="0" borderId="3" xfId="4" applyNumberFormat="1" applyFont="1" applyBorder="1" applyAlignment="1" applyProtection="1">
      <alignment horizontal="right"/>
      <protection hidden="1"/>
    </xf>
    <xf numFmtId="168" fontId="1" fillId="0" borderId="1" xfId="4" applyNumberFormat="1" applyBorder="1" applyAlignment="1" applyProtection="1">
      <protection hidden="1"/>
    </xf>
    <xf numFmtId="168" fontId="1" fillId="0" borderId="1" xfId="4" applyNumberFormat="1" applyFont="1" applyBorder="1" applyAlignment="1" applyProtection="1">
      <protection hidden="1"/>
    </xf>
    <xf numFmtId="168" fontId="5" fillId="0" borderId="1" xfId="4" applyNumberFormat="1" applyFont="1" applyBorder="1" applyAlignment="1" applyProtection="1">
      <protection hidden="1"/>
    </xf>
    <xf numFmtId="168" fontId="44" fillId="0" borderId="1" xfId="4" applyNumberFormat="1" applyFont="1" applyBorder="1" applyAlignment="1" applyProtection="1">
      <protection hidden="1"/>
    </xf>
    <xf numFmtId="168" fontId="0" fillId="0" borderId="1" xfId="4" applyNumberFormat="1" applyFont="1" applyBorder="1" applyAlignment="1" applyProtection="1">
      <protection hidden="1"/>
    </xf>
    <xf numFmtId="168" fontId="10" fillId="0" borderId="1" xfId="4" applyNumberFormat="1" applyFont="1" applyBorder="1" applyAlignment="1" applyProtection="1">
      <alignment horizontal="left"/>
      <protection hidden="1"/>
    </xf>
    <xf numFmtId="3" fontId="8" fillId="0" borderId="2" xfId="4" applyNumberFormat="1" applyFont="1" applyFill="1" applyBorder="1" applyAlignment="1" applyProtection="1">
      <alignment horizontal="left" vertical="center"/>
    </xf>
    <xf numFmtId="3" fontId="8" fillId="0" borderId="1" xfId="0" applyNumberFormat="1" applyFont="1" applyBorder="1" applyAlignment="1">
      <alignment horizontal="right"/>
    </xf>
    <xf numFmtId="3" fontId="8" fillId="17" borderId="1" xfId="0" applyNumberFormat="1" applyFont="1" applyFill="1" applyBorder="1" applyAlignment="1">
      <alignment horizontal="right"/>
    </xf>
    <xf numFmtId="3" fontId="5" fillId="0" borderId="1" xfId="0" applyNumberFormat="1" applyFont="1" applyBorder="1" applyAlignment="1">
      <alignment horizontal="right"/>
    </xf>
    <xf numFmtId="10" fontId="1" fillId="0" borderId="0" xfId="6" applyNumberFormat="1" applyBorder="1" applyAlignment="1" applyProtection="1">
      <alignment horizontal="right" vertical="center"/>
      <protection hidden="1"/>
    </xf>
    <xf numFmtId="164" fontId="1" fillId="18" borderId="0" xfId="4" applyNumberFormat="1" applyFont="1" applyFill="1" applyBorder="1" applyAlignment="1" applyProtection="1">
      <alignment horizontal="center" vertical="center"/>
      <protection hidden="1"/>
    </xf>
    <xf numFmtId="0" fontId="0" fillId="18" borderId="0" xfId="0" applyFill="1" applyAlignment="1" applyProtection="1">
      <alignment horizontal="right" vertical="center"/>
      <protection hidden="1"/>
    </xf>
    <xf numFmtId="3" fontId="44" fillId="18" borderId="1" xfId="4" applyNumberFormat="1" applyFont="1" applyFill="1" applyBorder="1" applyAlignment="1" applyProtection="1">
      <alignment horizontal="right" vertical="center"/>
      <protection hidden="1"/>
    </xf>
    <xf numFmtId="164" fontId="0" fillId="0" borderId="1" xfId="4" applyNumberFormat="1" applyFont="1" applyFill="1" applyBorder="1" applyAlignment="1" applyProtection="1">
      <alignment horizontal="left" vertical="center"/>
      <protection hidden="1"/>
    </xf>
    <xf numFmtId="164" fontId="3" fillId="15" borderId="38" xfId="4" applyNumberFormat="1" applyFont="1" applyFill="1" applyBorder="1" applyAlignment="1" applyProtection="1">
      <alignment horizontal="left" vertical="center"/>
      <protection hidden="1"/>
    </xf>
    <xf numFmtId="164" fontId="44" fillId="0" borderId="0" xfId="4" applyNumberFormat="1" applyFont="1" applyFill="1" applyBorder="1" applyAlignment="1" applyProtection="1">
      <protection hidden="1"/>
    </xf>
    <xf numFmtId="164" fontId="44" fillId="0" borderId="0" xfId="4" applyNumberFormat="1" applyFont="1" applyFill="1" applyBorder="1" applyAlignment="1" applyProtection="1">
      <alignment horizontal="left" indent="1"/>
      <protection hidden="1"/>
    </xf>
    <xf numFmtId="164" fontId="16" fillId="5" borderId="0" xfId="4" applyNumberFormat="1" applyFont="1" applyFill="1" applyBorder="1" applyAlignment="1" applyProtection="1">
      <alignment horizontal="center"/>
      <protection hidden="1"/>
    </xf>
    <xf numFmtId="3" fontId="33" fillId="2" borderId="39" xfId="0" applyNumberFormat="1" applyFont="1" applyFill="1" applyBorder="1" applyAlignment="1" applyProtection="1">
      <alignment horizontal="center" wrapText="1"/>
      <protection hidden="1"/>
    </xf>
    <xf numFmtId="164" fontId="16" fillId="5" borderId="4" xfId="4" applyNumberFormat="1" applyFont="1" applyFill="1" applyBorder="1" applyAlignment="1" applyProtection="1">
      <alignment horizontal="left" vertical="center"/>
      <protection hidden="1"/>
    </xf>
    <xf numFmtId="3" fontId="17" fillId="2" borderId="40" xfId="0" applyNumberFormat="1" applyFont="1" applyFill="1" applyBorder="1" applyAlignment="1" applyProtection="1">
      <alignment horizontal="center" wrapText="1"/>
      <protection hidden="1"/>
    </xf>
    <xf numFmtId="171" fontId="3" fillId="8" borderId="0" xfId="0" applyNumberFormat="1" applyFont="1" applyFill="1" applyAlignment="1" applyProtection="1">
      <alignment horizontal="center" vertical="center"/>
      <protection hidden="1"/>
    </xf>
    <xf numFmtId="171" fontId="3" fillId="12" borderId="0" xfId="0" applyNumberFormat="1" applyFont="1" applyFill="1" applyAlignment="1" applyProtection="1">
      <alignment horizontal="center" vertical="center"/>
      <protection hidden="1"/>
    </xf>
    <xf numFmtId="4" fontId="8" fillId="12" borderId="0" xfId="4" applyNumberFormat="1" applyFont="1" applyFill="1" applyBorder="1" applyAlignment="1" applyProtection="1">
      <alignment horizontal="right" vertical="center"/>
    </xf>
    <xf numFmtId="0" fontId="3" fillId="8" borderId="0" xfId="0" applyFont="1" applyFill="1" applyAlignment="1" applyProtection="1">
      <alignment horizontal="center" vertical="center"/>
      <protection hidden="1"/>
    </xf>
    <xf numFmtId="164" fontId="16" fillId="5" borderId="0" xfId="4" applyNumberFormat="1" applyFont="1" applyFill="1" applyBorder="1" applyAlignment="1" applyProtection="1">
      <alignment horizontal="left" vertical="center"/>
      <protection hidden="1"/>
    </xf>
    <xf numFmtId="3" fontId="44" fillId="12" borderId="0" xfId="4" applyNumberFormat="1" applyFont="1" applyFill="1" applyBorder="1" applyAlignment="1" applyProtection="1">
      <alignment horizontal="left" vertical="center"/>
      <protection locked="0"/>
    </xf>
    <xf numFmtId="4" fontId="8" fillId="12" borderId="0" xfId="4" applyNumberFormat="1" applyFont="1" applyFill="1" applyBorder="1" applyAlignment="1" applyProtection="1">
      <alignment horizontal="right" vertical="center"/>
      <protection locked="0"/>
    </xf>
    <xf numFmtId="3" fontId="25" fillId="2" borderId="41" xfId="0" applyNumberFormat="1" applyFont="1" applyFill="1" applyBorder="1" applyAlignment="1" applyProtection="1">
      <alignment horizontal="center" wrapText="1"/>
      <protection hidden="1"/>
    </xf>
    <xf numFmtId="3" fontId="8" fillId="12" borderId="16" xfId="4" applyNumberFormat="1" applyFont="1" applyFill="1" applyBorder="1" applyAlignment="1" applyProtection="1">
      <alignment horizontal="left" vertical="center"/>
      <protection locked="0"/>
    </xf>
    <xf numFmtId="3" fontId="8" fillId="12" borderId="2" xfId="4" applyNumberFormat="1" applyFont="1" applyFill="1" applyBorder="1" applyAlignment="1" applyProtection="1">
      <alignment horizontal="center" vertical="center"/>
      <protection locked="0"/>
    </xf>
    <xf numFmtId="4" fontId="8" fillId="12" borderId="2" xfId="4" applyNumberFormat="1" applyFont="1" applyFill="1" applyBorder="1" applyAlignment="1" applyProtection="1">
      <alignment horizontal="right" vertical="center"/>
      <protection locked="0"/>
    </xf>
    <xf numFmtId="4" fontId="8" fillId="12" borderId="25" xfId="4" applyNumberFormat="1" applyFont="1" applyFill="1" applyBorder="1" applyAlignment="1" applyProtection="1">
      <alignment horizontal="right" vertical="center"/>
      <protection locked="0"/>
    </xf>
    <xf numFmtId="0" fontId="34" fillId="8" borderId="42" xfId="0" applyFont="1" applyFill="1" applyBorder="1" applyAlignment="1" applyProtection="1">
      <alignment horizontal="center" vertical="center"/>
      <protection hidden="1"/>
    </xf>
    <xf numFmtId="164" fontId="16" fillId="0" borderId="0" xfId="4" applyNumberFormat="1" applyFont="1" applyFill="1" applyBorder="1" applyAlignment="1" applyProtection="1">
      <alignment horizontal="left" vertical="center"/>
      <protection hidden="1"/>
    </xf>
    <xf numFmtId="167" fontId="8" fillId="6" borderId="1" xfId="4" applyNumberFormat="1" applyFont="1" applyFill="1" applyBorder="1" applyAlignment="1" applyProtection="1">
      <alignment horizontal="right" vertical="center"/>
      <protection locked="0"/>
    </xf>
    <xf numFmtId="168" fontId="1" fillId="0" borderId="7" xfId="4" applyNumberFormat="1" applyFill="1" applyBorder="1" applyAlignment="1" applyProtection="1">
      <alignment horizontal="center" vertical="center"/>
      <protection hidden="1"/>
    </xf>
    <xf numFmtId="164" fontId="3" fillId="0" borderId="0" xfId="4" applyNumberFormat="1" applyFont="1" applyFill="1" applyBorder="1" applyAlignment="1" applyProtection="1">
      <alignment horizontal="center" vertical="center"/>
      <protection hidden="1"/>
    </xf>
    <xf numFmtId="3" fontId="0" fillId="0" borderId="0" xfId="0" applyNumberFormat="1" applyAlignment="1" applyProtection="1">
      <alignment horizontal="center" vertical="center"/>
      <protection hidden="1"/>
    </xf>
    <xf numFmtId="165" fontId="0" fillId="0" borderId="1" xfId="4" applyFont="1" applyBorder="1" applyAlignment="1" applyProtection="1">
      <alignment horizontal="left" indent="1"/>
      <protection hidden="1"/>
    </xf>
    <xf numFmtId="164" fontId="18" fillId="0" borderId="0" xfId="4" applyNumberFormat="1" applyFont="1" applyFill="1" applyBorder="1" applyAlignment="1" applyProtection="1">
      <alignment vertical="center"/>
      <protection hidden="1"/>
    </xf>
    <xf numFmtId="165" fontId="0" fillId="0" borderId="1" xfId="4" quotePrefix="1" applyFont="1" applyBorder="1" applyAlignment="1" applyProtection="1">
      <alignment horizontal="left"/>
      <protection hidden="1"/>
    </xf>
    <xf numFmtId="169" fontId="14" fillId="9" borderId="35" xfId="0" applyNumberFormat="1" applyFont="1" applyFill="1" applyBorder="1" applyAlignment="1" applyProtection="1">
      <alignment horizontal="center" vertical="center"/>
      <protection locked="0"/>
    </xf>
    <xf numFmtId="164" fontId="3" fillId="12" borderId="0" xfId="4" applyNumberFormat="1" applyFont="1" applyFill="1" applyBorder="1" applyAlignment="1" applyProtection="1">
      <alignment horizontal="center" vertical="center"/>
      <protection hidden="1"/>
    </xf>
    <xf numFmtId="167" fontId="8" fillId="6" borderId="21" xfId="4" applyNumberFormat="1" applyFont="1" applyFill="1" applyBorder="1" applyAlignment="1" applyProtection="1">
      <alignment horizontal="right" vertical="center"/>
      <protection locked="0"/>
    </xf>
    <xf numFmtId="167" fontId="8" fillId="0" borderId="1" xfId="4" applyNumberFormat="1" applyFont="1" applyFill="1" applyBorder="1" applyAlignment="1" applyProtection="1">
      <alignment horizontal="right" vertical="center"/>
    </xf>
    <xf numFmtId="171" fontId="3" fillId="0" borderId="21" xfId="0" applyNumberFormat="1" applyFont="1" applyBorder="1" applyAlignment="1" applyProtection="1">
      <alignment horizontal="center" vertical="center"/>
      <protection hidden="1"/>
    </xf>
    <xf numFmtId="167" fontId="8" fillId="0" borderId="30" xfId="4" applyNumberFormat="1" applyFont="1" applyFill="1" applyBorder="1" applyAlignment="1" applyProtection="1">
      <alignment horizontal="right" vertical="center"/>
    </xf>
    <xf numFmtId="164" fontId="0" fillId="0" borderId="0" xfId="4" applyNumberFormat="1" applyFont="1" applyBorder="1" applyAlignment="1" applyProtection="1">
      <alignment horizontal="left" vertical="center"/>
      <protection hidden="1"/>
    </xf>
    <xf numFmtId="164" fontId="34" fillId="2" borderId="4" xfId="4" applyNumberFormat="1" applyFont="1" applyFill="1" applyBorder="1" applyAlignment="1" applyProtection="1">
      <alignment horizontal="center" vertical="center"/>
      <protection hidden="1"/>
    </xf>
    <xf numFmtId="171" fontId="3" fillId="0" borderId="0" xfId="0" applyNumberFormat="1" applyFont="1" applyAlignment="1" applyProtection="1">
      <alignment horizontal="center" vertical="center"/>
      <protection hidden="1"/>
    </xf>
    <xf numFmtId="164" fontId="0" fillId="0" borderId="3" xfId="4" applyNumberFormat="1" applyFont="1" applyBorder="1" applyAlignment="1" applyProtection="1">
      <alignment horizontal="left" vertical="center"/>
      <protection hidden="1"/>
    </xf>
    <xf numFmtId="3" fontId="8" fillId="0" borderId="30" xfId="4" applyNumberFormat="1" applyFont="1" applyFill="1" applyBorder="1" applyAlignment="1" applyProtection="1">
      <alignment horizontal="right" vertical="center"/>
    </xf>
    <xf numFmtId="164" fontId="0" fillId="0" borderId="1" xfId="0" applyNumberFormat="1" applyBorder="1" applyAlignment="1" applyProtection="1">
      <alignment horizontal="left" vertical="center"/>
      <protection hidden="1"/>
    </xf>
    <xf numFmtId="164" fontId="0" fillId="0" borderId="21" xfId="0" applyNumberFormat="1" applyBorder="1" applyAlignment="1" applyProtection="1">
      <alignment horizontal="left" vertical="center"/>
      <protection hidden="1"/>
    </xf>
    <xf numFmtId="9" fontId="0" fillId="0" borderId="1" xfId="6" applyFont="1" applyBorder="1" applyAlignment="1" applyProtection="1">
      <alignment horizontal="right" vertical="center"/>
      <protection hidden="1"/>
    </xf>
    <xf numFmtId="3" fontId="24" fillId="19" borderId="40" xfId="0" applyNumberFormat="1" applyFont="1" applyFill="1" applyBorder="1" applyAlignment="1" applyProtection="1">
      <alignment horizontal="center" wrapText="1"/>
      <protection locked="0" hidden="1"/>
    </xf>
    <xf numFmtId="3" fontId="47" fillId="19" borderId="40" xfId="0" applyNumberFormat="1" applyFont="1" applyFill="1" applyBorder="1" applyAlignment="1" applyProtection="1">
      <alignment horizontal="center" wrapText="1"/>
      <protection locked="0" hidden="1"/>
    </xf>
    <xf numFmtId="3" fontId="0" fillId="0" borderId="32" xfId="0" applyNumberFormat="1" applyBorder="1" applyAlignment="1">
      <alignment horizontal="right"/>
    </xf>
    <xf numFmtId="3" fontId="0" fillId="0" borderId="0" xfId="0" applyNumberFormat="1" applyAlignment="1">
      <alignment horizontal="right"/>
    </xf>
    <xf numFmtId="0" fontId="0" fillId="0" borderId="0" xfId="0" applyProtection="1">
      <protection locked="0"/>
    </xf>
    <xf numFmtId="3" fontId="8" fillId="0" borderId="18" xfId="4" applyNumberFormat="1" applyFont="1" applyFill="1" applyBorder="1" applyAlignment="1" applyProtection="1">
      <alignment horizontal="right" vertical="center"/>
    </xf>
    <xf numFmtId="3" fontId="8" fillId="0" borderId="3" xfId="4" applyNumberFormat="1" applyFont="1" applyFill="1" applyBorder="1" applyAlignment="1" applyProtection="1">
      <alignment horizontal="right" vertical="center"/>
    </xf>
    <xf numFmtId="167" fontId="8" fillId="0" borderId="1" xfId="4" applyNumberFormat="1" applyFont="1" applyFill="1" applyBorder="1" applyAlignment="1" applyProtection="1">
      <alignment horizontal="right" vertical="center"/>
      <protection hidden="1"/>
    </xf>
    <xf numFmtId="171" fontId="3" fillId="8" borderId="38" xfId="0" applyNumberFormat="1" applyFont="1" applyFill="1" applyBorder="1" applyAlignment="1" applyProtection="1">
      <alignment horizontal="left" vertical="center"/>
      <protection hidden="1"/>
    </xf>
    <xf numFmtId="171" fontId="35" fillId="8" borderId="26" xfId="0" applyNumberFormat="1" applyFont="1" applyFill="1" applyBorder="1" applyAlignment="1" applyProtection="1">
      <alignment horizontal="center" vertical="center"/>
      <protection hidden="1"/>
    </xf>
    <xf numFmtId="171" fontId="35" fillId="8" borderId="31" xfId="0" applyNumberFormat="1" applyFont="1" applyFill="1" applyBorder="1" applyAlignment="1" applyProtection="1">
      <alignment horizontal="center" vertical="center"/>
      <protection hidden="1"/>
    </xf>
    <xf numFmtId="171" fontId="3" fillId="8" borderId="43" xfId="0" applyNumberFormat="1" applyFont="1" applyFill="1" applyBorder="1" applyAlignment="1" applyProtection="1">
      <alignment horizontal="center" vertical="center"/>
      <protection hidden="1"/>
    </xf>
    <xf numFmtId="167" fontId="8" fillId="0" borderId="4" xfId="4" applyNumberFormat="1" applyFont="1" applyFill="1" applyBorder="1" applyAlignment="1" applyProtection="1">
      <alignment horizontal="right" vertical="center"/>
    </xf>
    <xf numFmtId="3" fontId="8" fillId="0" borderId="1" xfId="4" applyNumberFormat="1" applyFont="1" applyFill="1" applyBorder="1" applyAlignment="1" applyProtection="1">
      <alignment horizontal="left" vertical="center"/>
      <protection hidden="1"/>
    </xf>
    <xf numFmtId="164" fontId="3" fillId="0" borderId="1" xfId="4" applyNumberFormat="1" applyFont="1" applyFill="1" applyBorder="1" applyAlignment="1" applyProtection="1">
      <alignment horizontal="left" vertical="center"/>
      <protection hidden="1"/>
    </xf>
    <xf numFmtId="3" fontId="8" fillId="0" borderId="1" xfId="4" applyNumberFormat="1" applyFont="1" applyFill="1" applyBorder="1" applyAlignment="1" applyProtection="1">
      <alignment horizontal="left" vertical="center"/>
    </xf>
    <xf numFmtId="3" fontId="8" fillId="0" borderId="21" xfId="4" applyNumberFormat="1" applyFont="1" applyFill="1" applyBorder="1" applyAlignment="1" applyProtection="1">
      <alignment horizontal="left" vertical="center"/>
      <protection hidden="1"/>
    </xf>
    <xf numFmtId="171" fontId="3" fillId="8" borderId="44" xfId="0" applyNumberFormat="1" applyFont="1" applyFill="1" applyBorder="1" applyAlignment="1" applyProtection="1">
      <alignment horizontal="center" vertical="center"/>
      <protection hidden="1"/>
    </xf>
    <xf numFmtId="171" fontId="3" fillId="8" borderId="32" xfId="0" applyNumberFormat="1" applyFont="1" applyFill="1" applyBorder="1" applyAlignment="1" applyProtection="1">
      <alignment horizontal="left" vertical="center"/>
      <protection hidden="1"/>
    </xf>
    <xf numFmtId="171" fontId="3" fillId="0" borderId="0" xfId="0" applyNumberFormat="1" applyFont="1" applyAlignment="1" applyProtection="1">
      <alignment horizontal="left" vertical="center"/>
      <protection hidden="1"/>
    </xf>
    <xf numFmtId="164" fontId="3" fillId="2" borderId="21" xfId="4" applyNumberFormat="1" applyFont="1" applyFill="1" applyBorder="1" applyAlignment="1" applyProtection="1">
      <alignment horizontal="left" vertical="center"/>
      <protection hidden="1"/>
    </xf>
    <xf numFmtId="3" fontId="48" fillId="20" borderId="39" xfId="0" applyNumberFormat="1" applyFont="1" applyFill="1" applyBorder="1" applyAlignment="1" applyProtection="1">
      <alignment horizontal="center" wrapText="1"/>
      <protection hidden="1"/>
    </xf>
    <xf numFmtId="171" fontId="3" fillId="21" borderId="12" xfId="0" applyNumberFormat="1" applyFont="1" applyFill="1" applyBorder="1" applyAlignment="1" applyProtection="1">
      <alignment horizontal="center" vertical="center"/>
      <protection hidden="1"/>
    </xf>
    <xf numFmtId="3" fontId="49" fillId="20" borderId="39" xfId="0" applyNumberFormat="1" applyFont="1" applyFill="1" applyBorder="1" applyAlignment="1" applyProtection="1">
      <alignment horizontal="left" wrapText="1"/>
      <protection hidden="1"/>
    </xf>
    <xf numFmtId="168" fontId="0" fillId="0" borderId="4" xfId="4" applyNumberFormat="1" applyFont="1" applyBorder="1" applyAlignment="1" applyProtection="1">
      <alignment horizontal="left" vertical="center" indent="1"/>
      <protection hidden="1"/>
    </xf>
    <xf numFmtId="164" fontId="5" fillId="10" borderId="1" xfId="4" applyNumberFormat="1" applyFont="1" applyFill="1" applyBorder="1" applyAlignment="1" applyProtection="1">
      <alignment horizontal="left" vertical="center"/>
      <protection hidden="1"/>
    </xf>
    <xf numFmtId="164" fontId="5" fillId="10" borderId="0" xfId="4" applyNumberFormat="1" applyFont="1" applyFill="1" applyBorder="1" applyAlignment="1" applyProtection="1">
      <alignment horizontal="center" vertical="center"/>
      <protection hidden="1"/>
    </xf>
    <xf numFmtId="0" fontId="0" fillId="10" borderId="0" xfId="0" applyFill="1" applyAlignment="1" applyProtection="1">
      <alignment horizontal="right" vertical="center"/>
      <protection hidden="1"/>
    </xf>
    <xf numFmtId="3" fontId="5" fillId="10" borderId="0" xfId="4" applyNumberFormat="1" applyFont="1" applyFill="1" applyBorder="1" applyAlignment="1" applyProtection="1">
      <alignment horizontal="right" vertical="center"/>
      <protection hidden="1"/>
    </xf>
    <xf numFmtId="164" fontId="1" fillId="10" borderId="1" xfId="4" applyNumberFormat="1" applyFont="1" applyFill="1" applyBorder="1" applyAlignment="1" applyProtection="1">
      <alignment horizontal="left" vertical="center"/>
      <protection hidden="1"/>
    </xf>
    <xf numFmtId="164" fontId="5" fillId="18" borderId="1" xfId="4" applyNumberFormat="1" applyFont="1" applyFill="1" applyBorder="1" applyAlignment="1" applyProtection="1">
      <alignment horizontal="left" vertical="center"/>
      <protection hidden="1"/>
    </xf>
    <xf numFmtId="167" fontId="8" fillId="0" borderId="21" xfId="4" applyNumberFormat="1" applyFont="1" applyFill="1" applyBorder="1" applyAlignment="1" applyProtection="1">
      <alignment horizontal="right" vertical="center"/>
    </xf>
    <xf numFmtId="3" fontId="25" fillId="2" borderId="39" xfId="0" applyNumberFormat="1" applyFont="1" applyFill="1" applyBorder="1" applyAlignment="1" applyProtection="1">
      <alignment horizontal="center" wrapText="1"/>
      <protection hidden="1"/>
    </xf>
    <xf numFmtId="3" fontId="36" fillId="2" borderId="39" xfId="0" applyNumberFormat="1" applyFont="1" applyFill="1" applyBorder="1" applyAlignment="1" applyProtection="1">
      <alignment horizontal="center" wrapText="1"/>
      <protection hidden="1"/>
    </xf>
    <xf numFmtId="3" fontId="37" fillId="6" borderId="1" xfId="4" applyNumberFormat="1" applyFont="1" applyFill="1" applyBorder="1" applyAlignment="1" applyProtection="1">
      <alignment horizontal="left" vertical="center"/>
      <protection locked="0"/>
    </xf>
    <xf numFmtId="3" fontId="37" fillId="6" borderId="1" xfId="4" applyNumberFormat="1" applyFont="1" applyFill="1" applyBorder="1" applyAlignment="1" applyProtection="1">
      <alignment horizontal="right" vertical="center"/>
      <protection locked="0"/>
    </xf>
    <xf numFmtId="4" fontId="37" fillId="0" borderId="1" xfId="4" applyNumberFormat="1" applyFont="1" applyFill="1" applyBorder="1" applyAlignment="1" applyProtection="1">
      <alignment horizontal="right" vertical="center"/>
    </xf>
    <xf numFmtId="3" fontId="37" fillId="0" borderId="1" xfId="4" applyNumberFormat="1" applyFont="1" applyFill="1" applyBorder="1" applyAlignment="1" applyProtection="1">
      <alignment horizontal="right" vertical="center"/>
    </xf>
    <xf numFmtId="164" fontId="40" fillId="5" borderId="4" xfId="4" applyNumberFormat="1" applyFont="1" applyFill="1" applyBorder="1" applyAlignment="1" applyProtection="1">
      <alignment horizontal="left" indent="1"/>
      <protection hidden="1"/>
    </xf>
    <xf numFmtId="164" fontId="50" fillId="5" borderId="1" xfId="4" applyNumberFormat="1" applyFont="1" applyFill="1" applyBorder="1" applyAlignment="1" applyProtection="1">
      <alignment horizontal="right" indent="1"/>
      <protection hidden="1"/>
    </xf>
    <xf numFmtId="3" fontId="0" fillId="0" borderId="35" xfId="0" applyNumberFormat="1" applyBorder="1" applyAlignment="1" applyProtection="1">
      <alignment horizontal="right" vertical="center"/>
      <protection hidden="1"/>
    </xf>
    <xf numFmtId="164" fontId="5" fillId="0" borderId="28" xfId="4" applyNumberFormat="1" applyFont="1" applyFill="1" applyBorder="1" applyAlignment="1" applyProtection="1">
      <alignment horizontal="left" vertical="center"/>
      <protection hidden="1"/>
    </xf>
    <xf numFmtId="0" fontId="0" fillId="0" borderId="39" xfId="0" applyBorder="1"/>
    <xf numFmtId="44" fontId="0" fillId="0" borderId="39" xfId="7" applyFont="1" applyBorder="1"/>
    <xf numFmtId="44" fontId="0" fillId="0" borderId="39" xfId="0" applyNumberFormat="1" applyBorder="1"/>
    <xf numFmtId="10" fontId="0" fillId="0" borderId="39" xfId="0" applyNumberFormat="1" applyBorder="1"/>
    <xf numFmtId="44" fontId="0" fillId="0" borderId="0" xfId="7" applyFont="1"/>
    <xf numFmtId="1" fontId="0" fillId="0" borderId="0" xfId="0" applyNumberFormat="1"/>
    <xf numFmtId="1" fontId="0" fillId="0" borderId="39" xfId="0" applyNumberFormat="1" applyBorder="1"/>
    <xf numFmtId="0" fontId="44" fillId="22" borderId="34" xfId="0" applyFont="1" applyFill="1" applyBorder="1" applyAlignment="1" applyProtection="1">
      <alignment vertical="top" wrapText="1"/>
      <protection locked="0"/>
    </xf>
    <xf numFmtId="0" fontId="44" fillId="22" borderId="32" xfId="0" applyFont="1" applyFill="1" applyBorder="1" applyAlignment="1" applyProtection="1">
      <alignment vertical="top" wrapText="1"/>
      <protection locked="0"/>
    </xf>
    <xf numFmtId="0" fontId="44" fillId="22" borderId="45" xfId="0" applyFont="1" applyFill="1" applyBorder="1" applyAlignment="1" applyProtection="1">
      <alignment vertical="top" wrapText="1"/>
      <protection locked="0"/>
    </xf>
    <xf numFmtId="3" fontId="47" fillId="19" borderId="46" xfId="0" applyNumberFormat="1" applyFont="1" applyFill="1" applyBorder="1" applyAlignment="1" applyProtection="1">
      <alignment horizontal="left" wrapText="1"/>
      <protection locked="0" hidden="1"/>
    </xf>
    <xf numFmtId="3" fontId="47" fillId="19" borderId="36" xfId="0" applyNumberFormat="1" applyFont="1" applyFill="1" applyBorder="1" applyAlignment="1" applyProtection="1">
      <alignment horizontal="left" wrapText="1"/>
      <protection locked="0" hidden="1"/>
    </xf>
    <xf numFmtId="3" fontId="47" fillId="19" borderId="37" xfId="0" applyNumberFormat="1" applyFont="1" applyFill="1" applyBorder="1" applyAlignment="1" applyProtection="1">
      <alignment horizontal="left" wrapText="1"/>
      <protection locked="0" hidden="1"/>
    </xf>
    <xf numFmtId="3" fontId="47" fillId="19" borderId="47" xfId="0" applyNumberFormat="1" applyFont="1" applyFill="1" applyBorder="1" applyAlignment="1" applyProtection="1">
      <alignment horizontal="left" wrapText="1"/>
      <protection locked="0" hidden="1"/>
    </xf>
    <xf numFmtId="3" fontId="47" fillId="19" borderId="48" xfId="0" applyNumberFormat="1" applyFont="1" applyFill="1" applyBorder="1" applyAlignment="1" applyProtection="1">
      <alignment horizontal="left" wrapText="1"/>
      <protection locked="0" hidden="1"/>
    </xf>
    <xf numFmtId="3" fontId="47" fillId="19" borderId="49" xfId="0" applyNumberFormat="1" applyFont="1" applyFill="1" applyBorder="1" applyAlignment="1" applyProtection="1">
      <alignment horizontal="left" wrapText="1"/>
      <protection locked="0" hidden="1"/>
    </xf>
    <xf numFmtId="0" fontId="0" fillId="23" borderId="0" xfId="0" applyFill="1" applyAlignment="1">
      <alignment horizontal="center"/>
    </xf>
    <xf numFmtId="0" fontId="0" fillId="0" borderId="36" xfId="0" applyBorder="1" applyAlignment="1">
      <alignment horizontal="center"/>
    </xf>
  </cellXfs>
  <cellStyles count="8">
    <cellStyle name="Hipervínculo" xfId="1" builtinId="8"/>
    <cellStyle name="Millares" xfId="2" builtinId="3"/>
    <cellStyle name="Millares [0]_Modelo Financiero ACME Final" xfId="3" xr:uid="{00000000-0005-0000-0000-000002000000}"/>
    <cellStyle name="Millares_Modelo Financiero ACME Final" xfId="4" xr:uid="{00000000-0005-0000-0000-000003000000}"/>
    <cellStyle name="Moneda" xfId="7" builtinId="4"/>
    <cellStyle name="Normal" xfId="0" builtinId="0"/>
    <cellStyle name="Normal 2" xfId="5" xr:uid="{00000000-0005-0000-0000-000005000000}"/>
    <cellStyle name="Porcentaje" xfId="6" builtinId="5"/>
  </cellStyles>
  <dxfs count="43">
    <dxf>
      <font>
        <condense val="0"/>
        <extend val="0"/>
        <color indexed="9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51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rgb="FFFF000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Relationship Id="rId35" Type="http://schemas.microsoft.com/office/2006/relationships/vbaProject" Target="vbaProject.bin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473710</xdr:colOff>
      <xdr:row>3</xdr:row>
      <xdr:rowOff>83820</xdr:rowOff>
    </xdr:from>
    <xdr:to>
      <xdr:col>7</xdr:col>
      <xdr:colOff>1924053</xdr:colOff>
      <xdr:row>6</xdr:row>
      <xdr:rowOff>128318</xdr:rowOff>
    </xdr:to>
    <xdr:sp macro="" textlink="">
      <xdr:nvSpPr>
        <xdr:cNvPr id="22093" name="1 Rectángulo redondeado">
          <a:extLst>
            <a:ext uri="{FF2B5EF4-FFF2-40B4-BE49-F238E27FC236}">
              <a16:creationId xmlns:a16="http://schemas.microsoft.com/office/drawing/2014/main" id="{23A23810-3E66-0EA3-33BC-96F765B64706}"/>
            </a:ext>
          </a:extLst>
        </xdr:cNvPr>
        <xdr:cNvSpPr>
          <a:spLocks noChangeArrowheads="1"/>
        </xdr:cNvSpPr>
      </xdr:nvSpPr>
      <xdr:spPr bwMode="auto">
        <a:xfrm>
          <a:off x="2286000" y="571500"/>
          <a:ext cx="8610600" cy="5461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BFBFBF">
                <a:alpha val="12000"/>
              </a:srgbClr>
            </a:gs>
            <a:gs pos="100000">
              <a:srgbClr val="BFBFBF"/>
            </a:gs>
          </a:gsLst>
          <a:lin ang="2700000" scaled="1"/>
        </a:gradFill>
        <a:ln w="9525">
          <a:solidFill>
            <a:srgbClr val="4A7EBB"/>
          </a:solidFill>
          <a:round/>
          <a:headEnd/>
          <a:tailEnd/>
        </a:ln>
        <a:effectLst>
          <a:outerShdw blurRad="63500" dist="23000" dir="5400000" rotWithShape="0">
            <a:srgbClr val="000000">
              <a:alpha val="34998"/>
            </a:srgbClr>
          </a:outerShdw>
        </a:effec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ES_tradnl" sz="1600" b="0" i="0" u="none" strike="noStrike" baseline="0">
              <a:solidFill>
                <a:srgbClr val="90713A"/>
              </a:solidFill>
              <a:latin typeface="Calibri"/>
              <a:ea typeface="Calibri"/>
              <a:cs typeface="Calibri"/>
            </a:rPr>
            <a:t>MODELO FINANCIERO PARA EMPRENDIMIENTOS COMERCIALES Y SERVICIOS</a:t>
          </a:r>
        </a:p>
      </xdr:txBody>
    </xdr:sp>
    <xdr:clientData/>
  </xdr:twoCellAnchor>
  <xdr:twoCellAnchor>
    <xdr:from>
      <xdr:col>2</xdr:col>
      <xdr:colOff>746760</xdr:colOff>
      <xdr:row>7</xdr:row>
      <xdr:rowOff>102870</xdr:rowOff>
    </xdr:from>
    <xdr:to>
      <xdr:col>4</xdr:col>
      <xdr:colOff>114281</xdr:colOff>
      <xdr:row>9</xdr:row>
      <xdr:rowOff>38040</xdr:rowOff>
    </xdr:to>
    <xdr:sp macro="" textlink="">
      <xdr:nvSpPr>
        <xdr:cNvPr id="22094" name="2 Rectángulo redondeado">
          <a:extLst>
            <a:ext uri="{FF2B5EF4-FFF2-40B4-BE49-F238E27FC236}">
              <a16:creationId xmlns:a16="http://schemas.microsoft.com/office/drawing/2014/main" id="{A325398F-D438-3438-45D3-05D4B34314D5}"/>
            </a:ext>
          </a:extLst>
        </xdr:cNvPr>
        <xdr:cNvSpPr>
          <a:spLocks noChangeArrowheads="1"/>
        </xdr:cNvSpPr>
      </xdr:nvSpPr>
      <xdr:spPr bwMode="auto">
        <a:xfrm>
          <a:off x="2590800" y="1257300"/>
          <a:ext cx="2349500" cy="279400"/>
        </a:xfrm>
        <a:prstGeom prst="roundRect">
          <a:avLst>
            <a:gd name="adj" fmla="val 16667"/>
          </a:avLst>
        </a:prstGeom>
        <a:solidFill>
          <a:srgbClr val="FFFF66"/>
        </a:solidFill>
        <a:ln w="9525">
          <a:solidFill>
            <a:srgbClr val="4A7EBB"/>
          </a:solidFill>
          <a:round/>
          <a:headEnd/>
          <a:tailEnd/>
        </a:ln>
        <a:effectLst>
          <a:outerShdw blurRad="63500" dist="23000" dir="5400000" rotWithShape="0">
            <a:srgbClr val="000000">
              <a:alpha val="34998"/>
            </a:srgbClr>
          </a:outerShdw>
        </a:effec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ES_tradnl" sz="1400" b="1" i="0" u="none" strike="noStrike" baseline="0">
              <a:solidFill>
                <a:srgbClr val="90713A"/>
              </a:solidFill>
              <a:latin typeface="Calibri"/>
              <a:ea typeface="Calibri"/>
              <a:cs typeface="Calibri"/>
            </a:rPr>
            <a:t>ENTRADA DE DATOS</a:t>
          </a:r>
        </a:p>
      </xdr:txBody>
    </xdr:sp>
    <xdr:clientData/>
  </xdr:twoCellAnchor>
  <xdr:twoCellAnchor>
    <xdr:from>
      <xdr:col>5</xdr:col>
      <xdr:colOff>0</xdr:colOff>
      <xdr:row>7</xdr:row>
      <xdr:rowOff>102870</xdr:rowOff>
    </xdr:from>
    <xdr:to>
      <xdr:col>5</xdr:col>
      <xdr:colOff>1912620</xdr:colOff>
      <xdr:row>9</xdr:row>
      <xdr:rowOff>38040</xdr:rowOff>
    </xdr:to>
    <xdr:sp macro="" textlink="">
      <xdr:nvSpPr>
        <xdr:cNvPr id="22095" name="3 Rectángulo redondeado">
          <a:extLst>
            <a:ext uri="{FF2B5EF4-FFF2-40B4-BE49-F238E27FC236}">
              <a16:creationId xmlns:a16="http://schemas.microsoft.com/office/drawing/2014/main" id="{9120A6E5-5372-BCBC-97A3-DB93F0ED419D}"/>
            </a:ext>
          </a:extLst>
        </xdr:cNvPr>
        <xdr:cNvSpPr>
          <a:spLocks noChangeArrowheads="1"/>
        </xdr:cNvSpPr>
      </xdr:nvSpPr>
      <xdr:spPr bwMode="auto">
        <a:xfrm>
          <a:off x="5689600" y="1257300"/>
          <a:ext cx="2120900" cy="279400"/>
        </a:xfrm>
        <a:prstGeom prst="roundRect">
          <a:avLst>
            <a:gd name="adj" fmla="val 16667"/>
          </a:avLst>
        </a:prstGeom>
        <a:solidFill>
          <a:srgbClr val="8E999E"/>
        </a:solidFill>
        <a:ln w="9525">
          <a:solidFill>
            <a:srgbClr val="4A7EBB"/>
          </a:solidFill>
          <a:round/>
          <a:headEnd/>
          <a:tailEnd/>
        </a:ln>
        <a:effectLst>
          <a:outerShdw blurRad="63500" dist="23000" dir="5400000" rotWithShape="0">
            <a:srgbClr val="000000">
              <a:alpha val="34998"/>
            </a:srgbClr>
          </a:outerShdw>
        </a:effec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ES_tradnl" sz="1400" b="1" i="0" u="none" strike="noStrike" baseline="0">
              <a:solidFill>
                <a:srgbClr val="90713A"/>
              </a:solidFill>
              <a:latin typeface="Calibri"/>
              <a:ea typeface="Calibri"/>
              <a:cs typeface="Calibri"/>
            </a:rPr>
            <a:t>RESULTADOS</a:t>
          </a:r>
        </a:p>
      </xdr:txBody>
    </xdr:sp>
    <xdr:clientData/>
  </xdr:twoCellAnchor>
  <xdr:twoCellAnchor>
    <xdr:from>
      <xdr:col>7</xdr:col>
      <xdr:colOff>0</xdr:colOff>
      <xdr:row>7</xdr:row>
      <xdr:rowOff>115570</xdr:rowOff>
    </xdr:from>
    <xdr:to>
      <xdr:col>7</xdr:col>
      <xdr:colOff>1809828</xdr:colOff>
      <xdr:row>9</xdr:row>
      <xdr:rowOff>37964</xdr:rowOff>
    </xdr:to>
    <xdr:sp macro="" textlink="">
      <xdr:nvSpPr>
        <xdr:cNvPr id="22096" name="4 Rectángulo redondeado">
          <a:extLst>
            <a:ext uri="{FF2B5EF4-FFF2-40B4-BE49-F238E27FC236}">
              <a16:creationId xmlns:a16="http://schemas.microsoft.com/office/drawing/2014/main" id="{9E6D0EF2-8AAB-7DBF-D9E6-E55EC6B96DED}"/>
            </a:ext>
          </a:extLst>
        </xdr:cNvPr>
        <xdr:cNvSpPr>
          <a:spLocks noChangeArrowheads="1"/>
        </xdr:cNvSpPr>
      </xdr:nvSpPr>
      <xdr:spPr bwMode="auto">
        <a:xfrm>
          <a:off x="8750300" y="1270000"/>
          <a:ext cx="2019300" cy="266700"/>
        </a:xfrm>
        <a:prstGeom prst="roundRect">
          <a:avLst>
            <a:gd name="adj" fmla="val 16667"/>
          </a:avLst>
        </a:prstGeom>
        <a:solidFill>
          <a:srgbClr val="D99694"/>
        </a:solidFill>
        <a:ln w="9525">
          <a:solidFill>
            <a:srgbClr val="4A7EBB"/>
          </a:solidFill>
          <a:round/>
          <a:headEnd/>
          <a:tailEnd/>
        </a:ln>
        <a:effectLst>
          <a:outerShdw blurRad="63500" dist="23000" dir="5400000" rotWithShape="0">
            <a:srgbClr val="000000">
              <a:alpha val="34998"/>
            </a:srgbClr>
          </a:outerShdw>
        </a:effec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ES_tradnl" sz="1400" b="1" i="0" u="none" strike="noStrike" baseline="0">
              <a:solidFill>
                <a:srgbClr val="90713A"/>
              </a:solidFill>
              <a:latin typeface="Calibri"/>
              <a:ea typeface="Calibri"/>
              <a:cs typeface="Calibri"/>
            </a:rPr>
            <a:t>AUXILIARES</a:t>
          </a:r>
        </a:p>
      </xdr:txBody>
    </xdr:sp>
    <xdr:clientData/>
  </xdr:twoCellAnchor>
  <xdr:twoCellAnchor>
    <xdr:from>
      <xdr:col>2</xdr:col>
      <xdr:colOff>543560</xdr:colOff>
      <xdr:row>24</xdr:row>
      <xdr:rowOff>0</xdr:rowOff>
    </xdr:from>
    <xdr:to>
      <xdr:col>8</xdr:col>
      <xdr:colOff>38125</xdr:colOff>
      <xdr:row>26</xdr:row>
      <xdr:rowOff>83769</xdr:rowOff>
    </xdr:to>
    <xdr:sp macro="" textlink="">
      <xdr:nvSpPr>
        <xdr:cNvPr id="22097" name="5 Rectángulo redondeado">
          <a:extLst>
            <a:ext uri="{FF2B5EF4-FFF2-40B4-BE49-F238E27FC236}">
              <a16:creationId xmlns:a16="http://schemas.microsoft.com/office/drawing/2014/main" id="{4594BAA4-90D5-2C94-3F56-B7C9B5AC2BDD}"/>
            </a:ext>
          </a:extLst>
        </xdr:cNvPr>
        <xdr:cNvSpPr>
          <a:spLocks noChangeArrowheads="1"/>
        </xdr:cNvSpPr>
      </xdr:nvSpPr>
      <xdr:spPr bwMode="auto">
        <a:xfrm>
          <a:off x="2362200" y="4127500"/>
          <a:ext cx="8610600" cy="4064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BFBFBF">
                <a:alpha val="12000"/>
              </a:srgbClr>
            </a:gs>
            <a:gs pos="100000">
              <a:srgbClr val="BFBFBF"/>
            </a:gs>
          </a:gsLst>
          <a:lin ang="2700000" scaled="1"/>
        </a:gradFill>
        <a:ln w="9525">
          <a:solidFill>
            <a:srgbClr val="4A7EBB"/>
          </a:solidFill>
          <a:round/>
          <a:headEnd/>
          <a:tailEnd/>
        </a:ln>
        <a:effectLst>
          <a:outerShdw blurRad="63500" dist="23000" dir="5400000" rotWithShape="0">
            <a:srgbClr val="000000">
              <a:alpha val="34998"/>
            </a:srgbClr>
          </a:outerShdw>
        </a:effec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ES_tradnl" sz="1600" b="0" i="0" u="none" strike="noStrike" baseline="0">
              <a:solidFill>
                <a:srgbClr val="90713A"/>
              </a:solidFill>
              <a:latin typeface="Calibri"/>
              <a:ea typeface="Calibri"/>
              <a:cs typeface="Calibri"/>
            </a:rPr>
            <a:t>Propiedad de SENA - Fondo Emprender</a:t>
          </a:r>
        </a:p>
      </xdr:txBody>
    </xdr:sp>
    <xdr:clientData/>
  </xdr:twoCellAnchor>
  <xdr:twoCellAnchor editAs="oneCell">
    <xdr:from>
      <xdr:col>8</xdr:col>
      <xdr:colOff>320040</xdr:colOff>
      <xdr:row>20</xdr:row>
      <xdr:rowOff>38100</xdr:rowOff>
    </xdr:from>
    <xdr:to>
      <xdr:col>11</xdr:col>
      <xdr:colOff>746760</xdr:colOff>
      <xdr:row>26</xdr:row>
      <xdr:rowOff>83820</xdr:rowOff>
    </xdr:to>
    <xdr:pic>
      <xdr:nvPicPr>
        <xdr:cNvPr id="22595" name="Imagen 1">
          <a:extLst>
            <a:ext uri="{FF2B5EF4-FFF2-40B4-BE49-F238E27FC236}">
              <a16:creationId xmlns:a16="http://schemas.microsoft.com/office/drawing/2014/main" id="{50547FB7-11C9-3A30-03FF-7D5F78E63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42220" y="3474720"/>
          <a:ext cx="278130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3</xdr:row>
      <xdr:rowOff>83820</xdr:rowOff>
    </xdr:from>
    <xdr:to>
      <xdr:col>12</xdr:col>
      <xdr:colOff>160020</xdr:colOff>
      <xdr:row>18</xdr:row>
      <xdr:rowOff>152400</xdr:rowOff>
    </xdr:to>
    <xdr:pic>
      <xdr:nvPicPr>
        <xdr:cNvPr id="22596" name="Imagen 8">
          <a:extLst>
            <a:ext uri="{FF2B5EF4-FFF2-40B4-BE49-F238E27FC236}">
              <a16:creationId xmlns:a16="http://schemas.microsoft.com/office/drawing/2014/main" id="{A19DD8DC-5E0A-810C-48E0-13EDE6992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6480" y="586740"/>
          <a:ext cx="3185160" cy="2651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anciscobarnierg\Downloads\MFIN%20Industrial%20modelo%20con%20errores%20en%20construcci&#243;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Manual de instrucciones"/>
      <sheetName val="Bases"/>
      <sheetName val="Precios Ventas"/>
      <sheetName val="Costos  Unitarios de MP"/>
      <sheetName val="Costo MO Directa"/>
      <sheetName val="Gastos Fabricación"/>
      <sheetName val="Gastos Admon y Ventas"/>
      <sheetName val=" Inversiones Fijas y Diferidas"/>
      <sheetName val="Capital de Trabajo"/>
      <sheetName val="Estructura de Capital"/>
      <sheetName val="Plan de Inversión y Financ"/>
      <sheetName val="Márgenes por Productos"/>
      <sheetName val="P&amp;G"/>
      <sheetName val="Balance"/>
      <sheetName val="Flujo de Caja"/>
      <sheetName val="Producción"/>
      <sheetName val="Salidas"/>
      <sheetName val="Deuda $"/>
      <sheetName val="Terrenos"/>
      <sheetName val="Construcciones"/>
      <sheetName val="Adecuaciones y Mejoras"/>
      <sheetName val="Maquinaria"/>
      <sheetName val="Muebles"/>
      <sheetName val="Transporte"/>
      <sheetName val="Oficina"/>
      <sheetName val="Semovientes"/>
      <sheetName val="Permanentes"/>
      <sheetName val="Diferidos"/>
    </sheetNames>
    <sheetDataSet>
      <sheetData sheetId="0"/>
      <sheetData sheetId="1"/>
      <sheetData sheetId="2">
        <row r="7">
          <cell r="F7">
            <v>0.03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D9:H23"/>
  <sheetViews>
    <sheetView showGridLines="0" showRowColHeaders="0" topLeftCell="D18" zoomScale="110" zoomScaleNormal="110" workbookViewId="0">
      <selection activeCell="D11" sqref="D11"/>
    </sheetView>
  </sheetViews>
  <sheetFormatPr baseColWidth="10" defaultColWidth="11.44140625" defaultRowHeight="13.2" x14ac:dyDescent="0.25"/>
  <cols>
    <col min="1" max="3" width="11.44140625" style="328"/>
    <col min="4" max="4" width="28.6640625" style="328" customWidth="1"/>
    <col min="5" max="5" width="11.44140625" style="328"/>
    <col min="6" max="6" width="28.6640625" style="328" customWidth="1"/>
    <col min="7" max="7" width="11.44140625" style="328"/>
    <col min="8" max="8" width="28.6640625" style="328" customWidth="1"/>
    <col min="9" max="16384" width="11.44140625" style="328"/>
  </cols>
  <sheetData>
    <row r="9" spans="4:8" s="326" customFormat="1" ht="13.8" x14ac:dyDescent="0.25">
      <c r="D9" s="324" t="s">
        <v>357</v>
      </c>
      <c r="E9" s="325"/>
      <c r="F9" s="324" t="s">
        <v>358</v>
      </c>
      <c r="G9" s="325"/>
      <c r="H9" s="324" t="s">
        <v>359</v>
      </c>
    </row>
    <row r="11" spans="4:8" ht="13.8" x14ac:dyDescent="0.25">
      <c r="D11" s="327" t="s">
        <v>351</v>
      </c>
      <c r="F11" s="327" t="s">
        <v>360</v>
      </c>
      <c r="H11" s="327" t="s">
        <v>361</v>
      </c>
    </row>
    <row r="12" spans="4:8" ht="13.8" x14ac:dyDescent="0.25">
      <c r="D12" s="327" t="s">
        <v>362</v>
      </c>
      <c r="F12" s="327" t="s">
        <v>363</v>
      </c>
      <c r="H12" s="327" t="s">
        <v>115</v>
      </c>
    </row>
    <row r="13" spans="4:8" ht="13.8" x14ac:dyDescent="0.25">
      <c r="D13" s="327" t="s">
        <v>468</v>
      </c>
      <c r="F13" s="327" t="s">
        <v>364</v>
      </c>
      <c r="H13" s="327" t="s">
        <v>148</v>
      </c>
    </row>
    <row r="14" spans="4:8" ht="13.8" x14ac:dyDescent="0.25">
      <c r="D14" s="327" t="s">
        <v>470</v>
      </c>
      <c r="F14" s="327" t="s">
        <v>365</v>
      </c>
      <c r="H14" s="327" t="s">
        <v>291</v>
      </c>
    </row>
    <row r="15" spans="4:8" ht="13.8" x14ac:dyDescent="0.25">
      <c r="D15" s="327" t="s">
        <v>552</v>
      </c>
      <c r="F15" s="327" t="s">
        <v>366</v>
      </c>
      <c r="H15" s="327" t="s">
        <v>367</v>
      </c>
    </row>
    <row r="16" spans="4:8" ht="13.8" x14ac:dyDescent="0.25">
      <c r="D16" s="327" t="s">
        <v>353</v>
      </c>
      <c r="F16" s="327" t="s">
        <v>368</v>
      </c>
      <c r="H16" s="327" t="s">
        <v>155</v>
      </c>
    </row>
    <row r="17" spans="4:8" ht="13.8" x14ac:dyDescent="0.25">
      <c r="D17" s="327" t="s">
        <v>369</v>
      </c>
      <c r="F17" s="327"/>
      <c r="H17" s="327" t="s">
        <v>154</v>
      </c>
    </row>
    <row r="18" spans="4:8" ht="13.8" x14ac:dyDescent="0.25">
      <c r="D18" s="327" t="s">
        <v>370</v>
      </c>
      <c r="F18" s="327"/>
      <c r="H18" s="327" t="s">
        <v>156</v>
      </c>
    </row>
    <row r="19" spans="4:8" ht="13.8" x14ac:dyDescent="0.25">
      <c r="D19" s="327" t="s">
        <v>372</v>
      </c>
      <c r="F19" s="327"/>
      <c r="H19" s="327" t="s">
        <v>371</v>
      </c>
    </row>
    <row r="20" spans="4:8" ht="13.8" x14ac:dyDescent="0.25">
      <c r="F20" s="327"/>
      <c r="H20" s="327"/>
    </row>
    <row r="21" spans="4:8" ht="13.8" x14ac:dyDescent="0.25">
      <c r="D21" s="327"/>
      <c r="H21" s="327"/>
    </row>
    <row r="23" spans="4:8" ht="13.8" x14ac:dyDescent="0.25">
      <c r="F23" s="327" t="s">
        <v>373</v>
      </c>
    </row>
  </sheetData>
  <sheetProtection password="CA1B" sheet="1" objects="1" scenarios="1"/>
  <hyperlinks>
    <hyperlink ref="D11" location="Bases!A1" tooltip="Bases" display="Bases" xr:uid="{00000000-0004-0000-0000-000000000000}"/>
    <hyperlink ref="D12" location="'Precios Ventas'!A1" tooltip="Precios Ventas" display="Precios Ventas" xr:uid="{00000000-0004-0000-0000-000001000000}"/>
    <hyperlink ref="D17" location="'Capital de Trabajo'!A1" tooltip="Capital de trabajo" display="Capital de trabajo" xr:uid="{00000000-0004-0000-0000-000002000000}"/>
    <hyperlink ref="D18" location="'Estructura de Capital'!A1" tooltip="Estuctura de Capital" display="Estuctura de Capital" xr:uid="{00000000-0004-0000-0000-000003000000}"/>
    <hyperlink ref="F11" location="'Márgenes por Productos'!A1" tooltip="Márgenes por productos" display="Márgenes por productos" xr:uid="{00000000-0004-0000-0000-000004000000}"/>
    <hyperlink ref="F12" location="'P&amp;G'!A1" tooltip="P&amp;G" display="P&amp;G" xr:uid="{00000000-0004-0000-0000-000005000000}"/>
    <hyperlink ref="F13" location="Balance!A1" tooltip="Balance" display="Balance" xr:uid="{00000000-0004-0000-0000-000006000000}"/>
    <hyperlink ref="F14" location="'Flujo de Caja'!A1" tooltip="Flujo de caja" display="Flujo de caja" xr:uid="{00000000-0004-0000-0000-000007000000}"/>
    <hyperlink ref="F15" location="Producción!A1" tooltip="Producción" display="Producción" xr:uid="{00000000-0004-0000-0000-000008000000}"/>
    <hyperlink ref="F16" location="Salidas!A1" tooltip="Salidas" display="Salidas" xr:uid="{00000000-0004-0000-0000-000009000000}"/>
    <hyperlink ref="H11" location="'Deuda $'!A1" tooltip="Deuda $" display="Deuda $" xr:uid="{00000000-0004-0000-0000-00000A000000}"/>
    <hyperlink ref="H12" location="Terrenos!A1" tooltip="Terrenos" display="Terrenos" xr:uid="{00000000-0004-0000-0000-00000B000000}"/>
    <hyperlink ref="H13" location="Construcciones!A1" tooltip="Construcciones" display="Construcciones" xr:uid="{00000000-0004-0000-0000-00000C000000}"/>
    <hyperlink ref="H14" location="'Adecuaciones y Mejoras'!A1" tooltip="Adecuaciones y Mejoras" display="Adecuaciones y Mejoras" xr:uid="{00000000-0004-0000-0000-00000D000000}"/>
    <hyperlink ref="H15" location="Maquinaria!A1" tooltip="Maquinaria" display="Maquinaria" xr:uid="{00000000-0004-0000-0000-00000E000000}"/>
    <hyperlink ref="H16" location="Muebles!A1" tooltip="Muebles" display="Muebles" xr:uid="{00000000-0004-0000-0000-00000F000000}"/>
    <hyperlink ref="H17" location="Transporte!A1" tooltip="Transporte" display="Transporte" xr:uid="{00000000-0004-0000-0000-000010000000}"/>
    <hyperlink ref="H18" location="Oficina!A1" tooltip="Oficina" display="Oficina" xr:uid="{00000000-0004-0000-0000-000011000000}"/>
    <hyperlink ref="H19" location="Diferidos!A1" tooltip="Diferidos" display="Diferidos" xr:uid="{00000000-0004-0000-0000-000012000000}"/>
    <hyperlink ref="F23" location="'Manual de Instrucciones'!A1" tooltip="Manual de instrucciones" display="Manual de instrucciones" xr:uid="{00000000-0004-0000-0000-000013000000}"/>
    <hyperlink ref="D13" location="'Costo de Mercancías'!A1" tooltip="Costo de Mercancías" display="Costo de Mercancías" xr:uid="{00000000-0004-0000-0000-000014000000}"/>
    <hyperlink ref="D14" location="'Proceso Comercial'!A1" tooltip="Proceso Comercial" display="Proceso Comercial" xr:uid="{00000000-0004-0000-0000-000015000000}"/>
    <hyperlink ref="D19" location="'Plan Inversión y Financiación'!D20" tooltip="Plan de inversión y Financiación" display="Plan de inversión y Financiación" xr:uid="{00000000-0004-0000-0000-000016000000}"/>
    <hyperlink ref="D16" location="' Inversiones Fijas y Diferidas'!A1" tooltip="Inversiones Fijas y Diferidas" display="Inversiones Fijas y Diferidas" xr:uid="{00000000-0004-0000-0000-000017000000}"/>
    <hyperlink ref="D15" location="'Gastos Generales Admon y Ventas'!A1" display="Gastos Generales Admon y Ventas" xr:uid="{00000000-0004-0000-0000-000018000000}"/>
  </hyperlinks>
  <pageMargins left="0.75" right="0.75" top="1" bottom="1" header="0.3" footer="0.3"/>
  <pageSetup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8"/>
  <dimension ref="A1:IV147"/>
  <sheetViews>
    <sheetView topLeftCell="A2" zoomScale="140" zoomScaleNormal="140" workbookViewId="0">
      <pane ySplit="1" topLeftCell="A3" activePane="bottomLeft" state="frozen"/>
      <selection activeCell="A2" sqref="A2"/>
      <selection pane="bottomLeft" activeCell="A3" sqref="A3"/>
    </sheetView>
  </sheetViews>
  <sheetFormatPr baseColWidth="10" defaultColWidth="0" defaultRowHeight="13.2" zeroHeight="1" x14ac:dyDescent="0.25"/>
  <cols>
    <col min="1" max="1" width="152.44140625" customWidth="1"/>
    <col min="2" max="2" width="7.77734375" customWidth="1"/>
    <col min="3" max="3" width="0.21875" hidden="1" customWidth="1"/>
    <col min="4" max="5" width="10.77734375" hidden="1" customWidth="1"/>
  </cols>
  <sheetData>
    <row r="1" spans="1:5" hidden="1" x14ac:dyDescent="0.25">
      <c r="A1" s="259"/>
    </row>
    <row r="2" spans="1:5" ht="18" thickBot="1" x14ac:dyDescent="0.3">
      <c r="A2" s="225" t="s">
        <v>405</v>
      </c>
      <c r="B2" s="329" t="s">
        <v>350</v>
      </c>
      <c r="C2" s="226"/>
      <c r="D2" s="226"/>
      <c r="E2" s="226"/>
    </row>
    <row r="3" spans="1:5" ht="13.8" x14ac:dyDescent="0.25">
      <c r="A3" s="338" t="s">
        <v>373</v>
      </c>
    </row>
    <row r="4" spans="1:5" x14ac:dyDescent="0.25">
      <c r="A4" s="323" t="s">
        <v>475</v>
      </c>
    </row>
    <row r="5" spans="1:5" x14ac:dyDescent="0.25">
      <c r="A5" s="289" t="s">
        <v>350</v>
      </c>
    </row>
    <row r="6" spans="1:5" x14ac:dyDescent="0.25">
      <c r="A6" s="322" t="s">
        <v>374</v>
      </c>
    </row>
    <row r="7" spans="1:5" x14ac:dyDescent="0.25">
      <c r="A7" s="322" t="s">
        <v>375</v>
      </c>
    </row>
    <row r="8" spans="1:5" x14ac:dyDescent="0.25">
      <c r="A8" s="322" t="s">
        <v>355</v>
      </c>
    </row>
    <row r="9" spans="1:5" x14ac:dyDescent="0.25">
      <c r="A9" s="322" t="s">
        <v>476</v>
      </c>
    </row>
    <row r="10" spans="1:5" x14ac:dyDescent="0.25">
      <c r="A10" s="322" t="s">
        <v>465</v>
      </c>
    </row>
    <row r="11" spans="1:5" x14ac:dyDescent="0.25">
      <c r="A11" s="322" t="s">
        <v>466</v>
      </c>
    </row>
    <row r="12" spans="1:5" x14ac:dyDescent="0.25">
      <c r="A12" s="322" t="s">
        <v>390</v>
      </c>
    </row>
    <row r="13" spans="1:5" x14ac:dyDescent="0.25">
      <c r="A13" s="322" t="s">
        <v>389</v>
      </c>
    </row>
    <row r="14" spans="1:5" x14ac:dyDescent="0.25">
      <c r="A14" s="322" t="s">
        <v>449</v>
      </c>
    </row>
    <row r="15" spans="1:5" x14ac:dyDescent="0.25">
      <c r="A15" s="322" t="s">
        <v>388</v>
      </c>
    </row>
    <row r="16" spans="1:5" ht="13.8" thickBot="1" x14ac:dyDescent="0.3">
      <c r="A16" s="290"/>
    </row>
    <row r="17" spans="1:1" ht="13.8" thickBot="1" x14ac:dyDescent="0.3">
      <c r="A17" s="291"/>
    </row>
    <row r="18" spans="1:1" x14ac:dyDescent="0.25">
      <c r="A18" s="201" t="s">
        <v>351</v>
      </c>
    </row>
    <row r="19" spans="1:1" x14ac:dyDescent="0.25">
      <c r="A19" s="322" t="s">
        <v>376</v>
      </c>
    </row>
    <row r="20" spans="1:1" x14ac:dyDescent="0.25">
      <c r="A20" s="322" t="s">
        <v>356</v>
      </c>
    </row>
    <row r="21" spans="1:1" x14ac:dyDescent="0.25">
      <c r="A21" s="322" t="s">
        <v>450</v>
      </c>
    </row>
    <row r="22" spans="1:1" x14ac:dyDescent="0.25">
      <c r="A22" s="322" t="s">
        <v>451</v>
      </c>
    </row>
    <row r="23" spans="1:1" x14ac:dyDescent="0.25">
      <c r="A23" s="322" t="s">
        <v>502</v>
      </c>
    </row>
    <row r="24" spans="1:1" x14ac:dyDescent="0.25">
      <c r="A24" s="322"/>
    </row>
    <row r="25" spans="1:1" x14ac:dyDescent="0.25">
      <c r="A25" s="212"/>
    </row>
    <row r="26" spans="1:1" x14ac:dyDescent="0.25">
      <c r="A26" s="201" t="s">
        <v>352</v>
      </c>
    </row>
    <row r="27" spans="1:1" x14ac:dyDescent="0.25">
      <c r="A27" s="322" t="s">
        <v>452</v>
      </c>
    </row>
    <row r="28" spans="1:1" x14ac:dyDescent="0.25">
      <c r="A28" s="322" t="s">
        <v>377</v>
      </c>
    </row>
    <row r="29" spans="1:1" x14ac:dyDescent="0.25">
      <c r="A29" s="322" t="s">
        <v>500</v>
      </c>
    </row>
    <row r="30" spans="1:1" x14ac:dyDescent="0.25">
      <c r="A30" s="322" t="s">
        <v>501</v>
      </c>
    </row>
    <row r="31" spans="1:1" x14ac:dyDescent="0.25">
      <c r="A31" s="322" t="s">
        <v>467</v>
      </c>
    </row>
    <row r="32" spans="1:1" x14ac:dyDescent="0.25">
      <c r="A32" s="322" t="s">
        <v>484</v>
      </c>
    </row>
    <row r="33" spans="1:256" x14ac:dyDescent="0.25">
      <c r="A33" s="322" t="s">
        <v>503</v>
      </c>
    </row>
    <row r="34" spans="1:256" x14ac:dyDescent="0.25">
      <c r="A34" s="513"/>
    </row>
    <row r="35" spans="1:256" x14ac:dyDescent="0.25">
      <c r="A35" s="212"/>
    </row>
    <row r="36" spans="1:256" x14ac:dyDescent="0.25">
      <c r="A36" s="201" t="s">
        <v>468</v>
      </c>
    </row>
    <row r="37" spans="1:256" x14ac:dyDescent="0.25">
      <c r="A37" s="202" t="s">
        <v>469</v>
      </c>
    </row>
    <row r="38" spans="1:256" x14ac:dyDescent="0.25">
      <c r="A38" s="202" t="s">
        <v>504</v>
      </c>
    </row>
    <row r="39" spans="1:256" x14ac:dyDescent="0.25">
      <c r="A39" s="202" t="s">
        <v>506</v>
      </c>
    </row>
    <row r="40" spans="1:256" x14ac:dyDescent="0.25">
      <c r="A40" s="202" t="s">
        <v>505</v>
      </c>
    </row>
    <row r="41" spans="1:256" x14ac:dyDescent="0.25">
      <c r="A41" s="202"/>
    </row>
    <row r="42" spans="1:256" x14ac:dyDescent="0.25">
      <c r="A42" s="212"/>
    </row>
    <row r="43" spans="1:256" x14ac:dyDescent="0.25">
      <c r="A43" s="201" t="s">
        <v>470</v>
      </c>
    </row>
    <row r="44" spans="1:256" x14ac:dyDescent="0.25">
      <c r="A44" s="202" t="s">
        <v>454</v>
      </c>
    </row>
    <row r="45" spans="1:256" x14ac:dyDescent="0.25">
      <c r="A45" s="202"/>
    </row>
    <row r="46" spans="1:256" x14ac:dyDescent="0.25">
      <c r="A46" s="212"/>
      <c r="B46" s="334"/>
      <c r="C46" s="212"/>
      <c r="D46" s="212"/>
      <c r="E46" s="212"/>
      <c r="F46" s="212"/>
      <c r="G46" s="212"/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2"/>
      <c r="AE46" s="212"/>
      <c r="AF46" s="212"/>
      <c r="AG46" s="212"/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  <c r="BI46" s="212"/>
      <c r="BJ46" s="212"/>
      <c r="BK46" s="212"/>
      <c r="BL46" s="212"/>
      <c r="BM46" s="212"/>
      <c r="BN46" s="212"/>
      <c r="BO46" s="212"/>
      <c r="BP46" s="212"/>
      <c r="BQ46" s="212"/>
      <c r="BR46" s="212"/>
      <c r="BS46" s="212"/>
      <c r="BT46" s="212"/>
      <c r="BU46" s="212"/>
      <c r="BV46" s="212"/>
      <c r="BW46" s="212"/>
      <c r="BX46" s="212"/>
      <c r="BY46" s="212"/>
      <c r="BZ46" s="212"/>
      <c r="CA46" s="212"/>
      <c r="CB46" s="212"/>
      <c r="CC46" s="212"/>
      <c r="CD46" s="212"/>
      <c r="CE46" s="212"/>
      <c r="CF46" s="212"/>
      <c r="CG46" s="212"/>
      <c r="CH46" s="212"/>
      <c r="CI46" s="212"/>
      <c r="CJ46" s="212"/>
      <c r="CK46" s="212"/>
      <c r="CL46" s="212"/>
      <c r="CM46" s="212"/>
      <c r="CN46" s="212"/>
      <c r="CO46" s="212"/>
      <c r="CP46" s="212"/>
      <c r="CQ46" s="212"/>
      <c r="CR46" s="212"/>
      <c r="CS46" s="212"/>
      <c r="CT46" s="212"/>
      <c r="CU46" s="212"/>
      <c r="CV46" s="212"/>
      <c r="CW46" s="212"/>
      <c r="CX46" s="212"/>
      <c r="CY46" s="212"/>
      <c r="CZ46" s="212"/>
      <c r="DA46" s="212"/>
      <c r="DB46" s="212"/>
      <c r="DC46" s="212"/>
      <c r="DD46" s="212"/>
      <c r="DE46" s="212"/>
      <c r="DF46" s="212"/>
      <c r="DG46" s="212"/>
      <c r="DH46" s="212"/>
      <c r="DI46" s="212"/>
      <c r="DJ46" s="212"/>
      <c r="DK46" s="212"/>
      <c r="DL46" s="212"/>
      <c r="DM46" s="212"/>
      <c r="DN46" s="212"/>
      <c r="DO46" s="212"/>
      <c r="DP46" s="212"/>
      <c r="DQ46" s="212"/>
      <c r="DR46" s="212"/>
      <c r="DS46" s="212"/>
      <c r="DT46" s="212"/>
      <c r="DU46" s="212"/>
      <c r="DV46" s="212"/>
      <c r="DW46" s="212"/>
      <c r="DX46" s="212"/>
      <c r="DY46" s="212"/>
      <c r="DZ46" s="212"/>
      <c r="EA46" s="212"/>
      <c r="EB46" s="212"/>
      <c r="EC46" s="212"/>
      <c r="ED46" s="212"/>
      <c r="EE46" s="212"/>
      <c r="EF46" s="212"/>
      <c r="EG46" s="212"/>
      <c r="EH46" s="212"/>
      <c r="EI46" s="212"/>
      <c r="EJ46" s="212"/>
      <c r="EK46" s="212"/>
      <c r="EL46" s="212"/>
      <c r="EM46" s="212"/>
      <c r="EN46" s="212"/>
      <c r="EO46" s="212"/>
      <c r="EP46" s="212"/>
      <c r="EQ46" s="212"/>
      <c r="ER46" s="212"/>
      <c r="ES46" s="212"/>
      <c r="ET46" s="212"/>
      <c r="EU46" s="212"/>
      <c r="EV46" s="212"/>
      <c r="EW46" s="212"/>
      <c r="EX46" s="212"/>
      <c r="EY46" s="212"/>
      <c r="EZ46" s="212"/>
      <c r="FA46" s="212"/>
      <c r="FB46" s="212"/>
      <c r="FC46" s="212"/>
      <c r="FD46" s="212"/>
      <c r="FE46" s="212"/>
      <c r="FF46" s="212"/>
      <c r="FG46" s="212"/>
      <c r="FH46" s="212"/>
      <c r="FI46" s="212"/>
      <c r="FJ46" s="212"/>
      <c r="FK46" s="212"/>
      <c r="FL46" s="212"/>
      <c r="FM46" s="212"/>
      <c r="FN46" s="212"/>
      <c r="FO46" s="212"/>
      <c r="FP46" s="212"/>
      <c r="FQ46" s="212"/>
      <c r="FR46" s="212"/>
      <c r="FS46" s="212"/>
      <c r="FT46" s="212"/>
      <c r="FU46" s="212"/>
      <c r="FV46" s="212"/>
      <c r="FW46" s="212"/>
      <c r="FX46" s="212"/>
      <c r="FY46" s="212"/>
      <c r="FZ46" s="212"/>
      <c r="GA46" s="212"/>
      <c r="GB46" s="212"/>
      <c r="GC46" s="212"/>
      <c r="GD46" s="212"/>
      <c r="GE46" s="212"/>
      <c r="GF46" s="212"/>
      <c r="GG46" s="212"/>
      <c r="GH46" s="212"/>
      <c r="GI46" s="212"/>
      <c r="GJ46" s="212"/>
      <c r="GK46" s="212"/>
      <c r="GL46" s="212"/>
      <c r="GM46" s="212"/>
      <c r="GN46" s="212"/>
      <c r="GO46" s="212"/>
      <c r="GP46" s="212"/>
      <c r="GQ46" s="212"/>
      <c r="GR46" s="212"/>
      <c r="GS46" s="212"/>
      <c r="GT46" s="212"/>
      <c r="GU46" s="212"/>
      <c r="GV46" s="212"/>
      <c r="GW46" s="212"/>
      <c r="GX46" s="212"/>
      <c r="GY46" s="212"/>
      <c r="GZ46" s="212"/>
      <c r="HA46" s="212"/>
      <c r="HB46" s="212"/>
      <c r="HC46" s="212"/>
      <c r="HD46" s="212"/>
      <c r="HE46" s="212"/>
      <c r="HF46" s="212"/>
      <c r="HG46" s="212"/>
      <c r="HH46" s="212"/>
      <c r="HI46" s="212"/>
      <c r="HJ46" s="212"/>
      <c r="HK46" s="212"/>
      <c r="HL46" s="212"/>
      <c r="HM46" s="212"/>
      <c r="HN46" s="212"/>
      <c r="HO46" s="212"/>
      <c r="HP46" s="212"/>
      <c r="HQ46" s="212"/>
      <c r="HR46" s="212"/>
      <c r="HS46" s="212"/>
      <c r="HT46" s="212"/>
      <c r="HU46" s="212"/>
      <c r="HV46" s="212"/>
      <c r="HW46" s="212"/>
      <c r="HX46" s="212"/>
      <c r="HY46" s="212"/>
      <c r="HZ46" s="212"/>
      <c r="IA46" s="212"/>
      <c r="IB46" s="212"/>
      <c r="IC46" s="212"/>
      <c r="ID46" s="212"/>
      <c r="IE46" s="212"/>
      <c r="IF46" s="212"/>
      <c r="IG46" s="212"/>
      <c r="IH46" s="212"/>
      <c r="II46" s="212"/>
      <c r="IJ46" s="212"/>
      <c r="IK46" s="212"/>
      <c r="IL46" s="212"/>
      <c r="IM46" s="212"/>
      <c r="IN46" s="212"/>
      <c r="IO46" s="212"/>
      <c r="IP46" s="212"/>
      <c r="IQ46" s="212"/>
      <c r="IR46" s="212"/>
      <c r="IS46" s="212"/>
      <c r="IT46" s="212"/>
      <c r="IU46" s="212"/>
      <c r="IV46" s="212"/>
    </row>
    <row r="47" spans="1:256" x14ac:dyDescent="0.25">
      <c r="A47" s="201" t="s">
        <v>514</v>
      </c>
      <c r="B47" s="532" t="s">
        <v>453</v>
      </c>
      <c r="C47" s="201" t="s">
        <v>453</v>
      </c>
      <c r="D47" s="201" t="s">
        <v>453</v>
      </c>
      <c r="E47" s="201" t="s">
        <v>453</v>
      </c>
      <c r="F47" s="201" t="s">
        <v>453</v>
      </c>
      <c r="G47" s="201" t="s">
        <v>453</v>
      </c>
      <c r="H47" s="201" t="s">
        <v>453</v>
      </c>
      <c r="I47" s="201" t="s">
        <v>453</v>
      </c>
      <c r="J47" s="201" t="s">
        <v>453</v>
      </c>
      <c r="K47" s="201" t="s">
        <v>453</v>
      </c>
      <c r="L47" s="201" t="s">
        <v>453</v>
      </c>
      <c r="M47" s="201" t="s">
        <v>453</v>
      </c>
      <c r="N47" s="201" t="s">
        <v>453</v>
      </c>
      <c r="O47" s="201" t="s">
        <v>453</v>
      </c>
      <c r="P47" s="201" t="s">
        <v>453</v>
      </c>
      <c r="Q47" s="201" t="s">
        <v>453</v>
      </c>
      <c r="R47" s="201" t="s">
        <v>453</v>
      </c>
      <c r="S47" s="201" t="s">
        <v>453</v>
      </c>
      <c r="T47" s="201" t="s">
        <v>453</v>
      </c>
      <c r="U47" s="201" t="s">
        <v>453</v>
      </c>
      <c r="V47" s="201" t="s">
        <v>453</v>
      </c>
      <c r="W47" s="201" t="s">
        <v>453</v>
      </c>
      <c r="X47" s="201" t="s">
        <v>453</v>
      </c>
      <c r="Y47" s="201" t="s">
        <v>453</v>
      </c>
      <c r="Z47" s="201" t="s">
        <v>453</v>
      </c>
      <c r="AA47" s="201" t="s">
        <v>453</v>
      </c>
      <c r="AB47" s="201" t="s">
        <v>453</v>
      </c>
      <c r="AC47" s="201" t="s">
        <v>453</v>
      </c>
      <c r="AD47" s="201" t="s">
        <v>453</v>
      </c>
      <c r="AE47" s="201" t="s">
        <v>453</v>
      </c>
      <c r="AF47" s="201" t="s">
        <v>453</v>
      </c>
      <c r="AG47" s="201" t="s">
        <v>453</v>
      </c>
      <c r="AH47" s="201" t="s">
        <v>453</v>
      </c>
      <c r="AI47" s="201" t="s">
        <v>453</v>
      </c>
      <c r="AJ47" s="201" t="s">
        <v>453</v>
      </c>
      <c r="AK47" s="201" t="s">
        <v>453</v>
      </c>
      <c r="AL47" s="201" t="s">
        <v>453</v>
      </c>
      <c r="AM47" s="201" t="s">
        <v>453</v>
      </c>
      <c r="AN47" s="201" t="s">
        <v>453</v>
      </c>
      <c r="AO47" s="201" t="s">
        <v>453</v>
      </c>
      <c r="AP47" s="201" t="s">
        <v>453</v>
      </c>
      <c r="AQ47" s="201" t="s">
        <v>453</v>
      </c>
      <c r="AR47" s="201" t="s">
        <v>453</v>
      </c>
      <c r="AS47" s="201" t="s">
        <v>453</v>
      </c>
      <c r="AT47" s="201" t="s">
        <v>453</v>
      </c>
      <c r="AU47" s="201" t="s">
        <v>453</v>
      </c>
      <c r="AV47" s="201" t="s">
        <v>453</v>
      </c>
      <c r="AW47" s="201" t="s">
        <v>453</v>
      </c>
      <c r="AX47" s="201" t="s">
        <v>453</v>
      </c>
      <c r="AY47" s="201" t="s">
        <v>453</v>
      </c>
      <c r="AZ47" s="201" t="s">
        <v>453</v>
      </c>
      <c r="BA47" s="201" t="s">
        <v>453</v>
      </c>
      <c r="BB47" s="201" t="s">
        <v>453</v>
      </c>
      <c r="BC47" s="201" t="s">
        <v>453</v>
      </c>
      <c r="BD47" s="201" t="s">
        <v>453</v>
      </c>
      <c r="BE47" s="201" t="s">
        <v>453</v>
      </c>
      <c r="BF47" s="201" t="s">
        <v>453</v>
      </c>
      <c r="BG47" s="201" t="s">
        <v>453</v>
      </c>
      <c r="BH47" s="201" t="s">
        <v>453</v>
      </c>
      <c r="BI47" s="201" t="s">
        <v>453</v>
      </c>
      <c r="BJ47" s="201" t="s">
        <v>453</v>
      </c>
      <c r="BK47" s="201" t="s">
        <v>453</v>
      </c>
      <c r="BL47" s="201" t="s">
        <v>453</v>
      </c>
      <c r="BM47" s="201" t="s">
        <v>453</v>
      </c>
      <c r="BN47" s="201" t="s">
        <v>453</v>
      </c>
      <c r="BO47" s="201" t="s">
        <v>453</v>
      </c>
      <c r="BP47" s="201" t="s">
        <v>453</v>
      </c>
      <c r="BQ47" s="201" t="s">
        <v>453</v>
      </c>
      <c r="BR47" s="201" t="s">
        <v>453</v>
      </c>
      <c r="BS47" s="201" t="s">
        <v>453</v>
      </c>
      <c r="BT47" s="201" t="s">
        <v>453</v>
      </c>
      <c r="BU47" s="201" t="s">
        <v>453</v>
      </c>
      <c r="BV47" s="201" t="s">
        <v>453</v>
      </c>
      <c r="BW47" s="201" t="s">
        <v>453</v>
      </c>
      <c r="BX47" s="201" t="s">
        <v>453</v>
      </c>
      <c r="BY47" s="201" t="s">
        <v>453</v>
      </c>
      <c r="BZ47" s="201" t="s">
        <v>453</v>
      </c>
      <c r="CA47" s="201" t="s">
        <v>453</v>
      </c>
      <c r="CB47" s="201" t="s">
        <v>453</v>
      </c>
      <c r="CC47" s="201" t="s">
        <v>453</v>
      </c>
      <c r="CD47" s="201" t="s">
        <v>453</v>
      </c>
      <c r="CE47" s="201" t="s">
        <v>453</v>
      </c>
      <c r="CF47" s="201" t="s">
        <v>453</v>
      </c>
      <c r="CG47" s="201" t="s">
        <v>453</v>
      </c>
      <c r="CH47" s="201" t="s">
        <v>453</v>
      </c>
      <c r="CI47" s="201" t="s">
        <v>453</v>
      </c>
      <c r="CJ47" s="201" t="s">
        <v>453</v>
      </c>
      <c r="CK47" s="201" t="s">
        <v>453</v>
      </c>
      <c r="CL47" s="201" t="s">
        <v>453</v>
      </c>
      <c r="CM47" s="201" t="s">
        <v>453</v>
      </c>
      <c r="CN47" s="201" t="s">
        <v>453</v>
      </c>
      <c r="CO47" s="201" t="s">
        <v>453</v>
      </c>
      <c r="CP47" s="201" t="s">
        <v>453</v>
      </c>
      <c r="CQ47" s="201" t="s">
        <v>453</v>
      </c>
      <c r="CR47" s="201" t="s">
        <v>453</v>
      </c>
      <c r="CS47" s="201" t="s">
        <v>453</v>
      </c>
      <c r="CT47" s="201" t="s">
        <v>453</v>
      </c>
      <c r="CU47" s="201" t="s">
        <v>453</v>
      </c>
      <c r="CV47" s="201" t="s">
        <v>453</v>
      </c>
      <c r="CW47" s="201" t="s">
        <v>453</v>
      </c>
      <c r="CX47" s="201" t="s">
        <v>453</v>
      </c>
      <c r="CY47" s="201" t="s">
        <v>453</v>
      </c>
      <c r="CZ47" s="201" t="s">
        <v>453</v>
      </c>
      <c r="DA47" s="201" t="s">
        <v>453</v>
      </c>
      <c r="DB47" s="201" t="s">
        <v>453</v>
      </c>
      <c r="DC47" s="201" t="s">
        <v>453</v>
      </c>
      <c r="DD47" s="201" t="s">
        <v>453</v>
      </c>
      <c r="DE47" s="201" t="s">
        <v>453</v>
      </c>
      <c r="DF47" s="201" t="s">
        <v>453</v>
      </c>
      <c r="DG47" s="201" t="s">
        <v>453</v>
      </c>
      <c r="DH47" s="201" t="s">
        <v>453</v>
      </c>
      <c r="DI47" s="201" t="s">
        <v>453</v>
      </c>
      <c r="DJ47" s="201" t="s">
        <v>453</v>
      </c>
      <c r="DK47" s="201" t="s">
        <v>453</v>
      </c>
      <c r="DL47" s="201" t="s">
        <v>453</v>
      </c>
      <c r="DM47" s="201" t="s">
        <v>453</v>
      </c>
      <c r="DN47" s="201" t="s">
        <v>453</v>
      </c>
      <c r="DO47" s="201" t="s">
        <v>453</v>
      </c>
      <c r="DP47" s="201" t="s">
        <v>453</v>
      </c>
      <c r="DQ47" s="201" t="s">
        <v>453</v>
      </c>
      <c r="DR47" s="201" t="s">
        <v>453</v>
      </c>
      <c r="DS47" s="201" t="s">
        <v>453</v>
      </c>
      <c r="DT47" s="201" t="s">
        <v>453</v>
      </c>
      <c r="DU47" s="201" t="s">
        <v>453</v>
      </c>
      <c r="DV47" s="201" t="s">
        <v>453</v>
      </c>
      <c r="DW47" s="201" t="s">
        <v>453</v>
      </c>
      <c r="DX47" s="201" t="s">
        <v>453</v>
      </c>
      <c r="DY47" s="201" t="s">
        <v>453</v>
      </c>
      <c r="DZ47" s="201" t="s">
        <v>453</v>
      </c>
      <c r="EA47" s="201" t="s">
        <v>453</v>
      </c>
      <c r="EB47" s="201" t="s">
        <v>453</v>
      </c>
      <c r="EC47" s="201" t="s">
        <v>453</v>
      </c>
      <c r="ED47" s="201" t="s">
        <v>453</v>
      </c>
      <c r="EE47" s="201" t="s">
        <v>453</v>
      </c>
      <c r="EF47" s="201" t="s">
        <v>453</v>
      </c>
      <c r="EG47" s="201" t="s">
        <v>453</v>
      </c>
      <c r="EH47" s="201" t="s">
        <v>453</v>
      </c>
      <c r="EI47" s="201" t="s">
        <v>453</v>
      </c>
      <c r="EJ47" s="201" t="s">
        <v>453</v>
      </c>
      <c r="EK47" s="201" t="s">
        <v>453</v>
      </c>
      <c r="EL47" s="201" t="s">
        <v>453</v>
      </c>
      <c r="EM47" s="201" t="s">
        <v>453</v>
      </c>
      <c r="EN47" s="201" t="s">
        <v>453</v>
      </c>
      <c r="EO47" s="201" t="s">
        <v>453</v>
      </c>
      <c r="EP47" s="201" t="s">
        <v>453</v>
      </c>
      <c r="EQ47" s="201" t="s">
        <v>453</v>
      </c>
      <c r="ER47" s="201" t="s">
        <v>453</v>
      </c>
      <c r="ES47" s="201" t="s">
        <v>453</v>
      </c>
      <c r="ET47" s="201" t="s">
        <v>453</v>
      </c>
      <c r="EU47" s="201" t="s">
        <v>453</v>
      </c>
      <c r="EV47" s="201" t="s">
        <v>453</v>
      </c>
      <c r="EW47" s="201" t="s">
        <v>453</v>
      </c>
      <c r="EX47" s="201" t="s">
        <v>453</v>
      </c>
      <c r="EY47" s="201" t="s">
        <v>453</v>
      </c>
      <c r="EZ47" s="201" t="s">
        <v>453</v>
      </c>
      <c r="FA47" s="201" t="s">
        <v>453</v>
      </c>
      <c r="FB47" s="201" t="s">
        <v>453</v>
      </c>
      <c r="FC47" s="201" t="s">
        <v>453</v>
      </c>
      <c r="FD47" s="201" t="s">
        <v>453</v>
      </c>
      <c r="FE47" s="201" t="s">
        <v>453</v>
      </c>
      <c r="FF47" s="201" t="s">
        <v>453</v>
      </c>
      <c r="FG47" s="201" t="s">
        <v>453</v>
      </c>
      <c r="FH47" s="201" t="s">
        <v>453</v>
      </c>
      <c r="FI47" s="201" t="s">
        <v>453</v>
      </c>
      <c r="FJ47" s="201" t="s">
        <v>453</v>
      </c>
      <c r="FK47" s="201" t="s">
        <v>453</v>
      </c>
      <c r="FL47" s="201" t="s">
        <v>453</v>
      </c>
      <c r="FM47" s="201" t="s">
        <v>453</v>
      </c>
      <c r="FN47" s="201" t="s">
        <v>453</v>
      </c>
      <c r="FO47" s="201" t="s">
        <v>453</v>
      </c>
      <c r="FP47" s="201" t="s">
        <v>453</v>
      </c>
      <c r="FQ47" s="201" t="s">
        <v>453</v>
      </c>
      <c r="FR47" s="201" t="s">
        <v>453</v>
      </c>
      <c r="FS47" s="201" t="s">
        <v>453</v>
      </c>
      <c r="FT47" s="201" t="s">
        <v>453</v>
      </c>
      <c r="FU47" s="201" t="s">
        <v>453</v>
      </c>
      <c r="FV47" s="201" t="s">
        <v>453</v>
      </c>
      <c r="FW47" s="201" t="s">
        <v>453</v>
      </c>
      <c r="FX47" s="201" t="s">
        <v>453</v>
      </c>
      <c r="FY47" s="201" t="s">
        <v>453</v>
      </c>
      <c r="FZ47" s="201" t="s">
        <v>453</v>
      </c>
      <c r="GA47" s="201" t="s">
        <v>453</v>
      </c>
      <c r="GB47" s="201" t="s">
        <v>453</v>
      </c>
      <c r="GC47" s="201" t="s">
        <v>453</v>
      </c>
      <c r="GD47" s="201" t="s">
        <v>453</v>
      </c>
      <c r="GE47" s="201" t="s">
        <v>453</v>
      </c>
      <c r="GF47" s="201" t="s">
        <v>453</v>
      </c>
      <c r="GG47" s="201" t="s">
        <v>453</v>
      </c>
      <c r="GH47" s="201" t="s">
        <v>453</v>
      </c>
      <c r="GI47" s="201" t="s">
        <v>453</v>
      </c>
      <c r="GJ47" s="201" t="s">
        <v>453</v>
      </c>
      <c r="GK47" s="201" t="s">
        <v>453</v>
      </c>
      <c r="GL47" s="201" t="s">
        <v>453</v>
      </c>
      <c r="GM47" s="201" t="s">
        <v>453</v>
      </c>
      <c r="GN47" s="201" t="s">
        <v>453</v>
      </c>
      <c r="GO47" s="201" t="s">
        <v>453</v>
      </c>
      <c r="GP47" s="201" t="s">
        <v>453</v>
      </c>
      <c r="GQ47" s="201" t="s">
        <v>453</v>
      </c>
      <c r="GR47" s="201" t="s">
        <v>453</v>
      </c>
      <c r="GS47" s="201" t="s">
        <v>453</v>
      </c>
      <c r="GT47" s="201" t="s">
        <v>453</v>
      </c>
      <c r="GU47" s="201" t="s">
        <v>453</v>
      </c>
      <c r="GV47" s="201" t="s">
        <v>453</v>
      </c>
      <c r="GW47" s="201" t="s">
        <v>453</v>
      </c>
      <c r="GX47" s="201" t="s">
        <v>453</v>
      </c>
      <c r="GY47" s="201" t="s">
        <v>453</v>
      </c>
      <c r="GZ47" s="201" t="s">
        <v>453</v>
      </c>
      <c r="HA47" s="201" t="s">
        <v>453</v>
      </c>
      <c r="HB47" s="201" t="s">
        <v>453</v>
      </c>
      <c r="HC47" s="201" t="s">
        <v>453</v>
      </c>
      <c r="HD47" s="201" t="s">
        <v>453</v>
      </c>
      <c r="HE47" s="201" t="s">
        <v>453</v>
      </c>
      <c r="HF47" s="201" t="s">
        <v>453</v>
      </c>
      <c r="HG47" s="201" t="s">
        <v>453</v>
      </c>
      <c r="HH47" s="201" t="s">
        <v>453</v>
      </c>
      <c r="HI47" s="201" t="s">
        <v>453</v>
      </c>
      <c r="HJ47" s="201" t="s">
        <v>453</v>
      </c>
      <c r="HK47" s="201" t="s">
        <v>453</v>
      </c>
      <c r="HL47" s="201" t="s">
        <v>453</v>
      </c>
      <c r="HM47" s="201" t="s">
        <v>453</v>
      </c>
      <c r="HN47" s="201" t="s">
        <v>453</v>
      </c>
      <c r="HO47" s="201" t="s">
        <v>453</v>
      </c>
      <c r="HP47" s="201" t="s">
        <v>453</v>
      </c>
      <c r="HQ47" s="201" t="s">
        <v>453</v>
      </c>
      <c r="HR47" s="201" t="s">
        <v>453</v>
      </c>
      <c r="HS47" s="201" t="s">
        <v>453</v>
      </c>
      <c r="HT47" s="201" t="s">
        <v>453</v>
      </c>
      <c r="HU47" s="201" t="s">
        <v>453</v>
      </c>
      <c r="HV47" s="201" t="s">
        <v>453</v>
      </c>
      <c r="HW47" s="201" t="s">
        <v>453</v>
      </c>
      <c r="HX47" s="201" t="s">
        <v>453</v>
      </c>
      <c r="HY47" s="201" t="s">
        <v>453</v>
      </c>
      <c r="HZ47" s="201" t="s">
        <v>453</v>
      </c>
      <c r="IA47" s="201" t="s">
        <v>453</v>
      </c>
      <c r="IB47" s="201" t="s">
        <v>453</v>
      </c>
      <c r="IC47" s="201" t="s">
        <v>453</v>
      </c>
      <c r="ID47" s="201" t="s">
        <v>453</v>
      </c>
      <c r="IE47" s="201" t="s">
        <v>453</v>
      </c>
      <c r="IF47" s="201" t="s">
        <v>453</v>
      </c>
      <c r="IG47" s="201" t="s">
        <v>453</v>
      </c>
      <c r="IH47" s="201" t="s">
        <v>453</v>
      </c>
      <c r="II47" s="201" t="s">
        <v>453</v>
      </c>
      <c r="IJ47" s="201" t="s">
        <v>453</v>
      </c>
      <c r="IK47" s="201" t="s">
        <v>453</v>
      </c>
      <c r="IL47" s="201" t="s">
        <v>453</v>
      </c>
      <c r="IM47" s="201" t="s">
        <v>453</v>
      </c>
      <c r="IN47" s="201" t="s">
        <v>453</v>
      </c>
      <c r="IO47" s="201" t="s">
        <v>453</v>
      </c>
      <c r="IP47" s="201" t="s">
        <v>453</v>
      </c>
      <c r="IQ47" s="201" t="s">
        <v>453</v>
      </c>
      <c r="IR47" s="201" t="s">
        <v>453</v>
      </c>
      <c r="IS47" s="201" t="s">
        <v>453</v>
      </c>
      <c r="IT47" s="201" t="s">
        <v>453</v>
      </c>
      <c r="IU47" s="201" t="s">
        <v>453</v>
      </c>
      <c r="IV47" s="201" t="s">
        <v>453</v>
      </c>
    </row>
    <row r="48" spans="1:256" x14ac:dyDescent="0.25">
      <c r="A48" s="202" t="s">
        <v>515</v>
      </c>
    </row>
    <row r="49" spans="1:1" x14ac:dyDescent="0.25">
      <c r="A49" s="202" t="s">
        <v>516</v>
      </c>
    </row>
    <row r="50" spans="1:1" x14ac:dyDescent="0.25">
      <c r="A50" s="202" t="s">
        <v>553</v>
      </c>
    </row>
    <row r="51" spans="1:1" x14ac:dyDescent="0.25">
      <c r="A51" s="202" t="s">
        <v>554</v>
      </c>
    </row>
    <row r="52" spans="1:1" x14ac:dyDescent="0.25">
      <c r="A52" s="202" t="s">
        <v>521</v>
      </c>
    </row>
    <row r="53" spans="1:1" x14ac:dyDescent="0.25">
      <c r="A53" s="202" t="s">
        <v>524</v>
      </c>
    </row>
    <row r="54" spans="1:1" x14ac:dyDescent="0.25">
      <c r="A54" s="202" t="s">
        <v>488</v>
      </c>
    </row>
    <row r="55" spans="1:1" x14ac:dyDescent="0.25">
      <c r="A55" s="202" t="s">
        <v>489</v>
      </c>
    </row>
    <row r="56" spans="1:1" x14ac:dyDescent="0.25">
      <c r="A56" s="202" t="s">
        <v>517</v>
      </c>
    </row>
    <row r="57" spans="1:1" x14ac:dyDescent="0.25">
      <c r="A57" s="202" t="s">
        <v>522</v>
      </c>
    </row>
    <row r="58" spans="1:1" x14ac:dyDescent="0.25">
      <c r="A58" s="331" t="s">
        <v>490</v>
      </c>
    </row>
    <row r="59" spans="1:1" x14ac:dyDescent="0.25">
      <c r="A59" s="331" t="s">
        <v>491</v>
      </c>
    </row>
    <row r="60" spans="1:1" x14ac:dyDescent="0.25">
      <c r="A60" s="202"/>
    </row>
    <row r="61" spans="1:1" x14ac:dyDescent="0.25">
      <c r="A61" s="212"/>
    </row>
    <row r="62" spans="1:1" x14ac:dyDescent="0.25">
      <c r="A62" s="201" t="s">
        <v>353</v>
      </c>
    </row>
    <row r="63" spans="1:1" x14ac:dyDescent="0.25">
      <c r="A63" s="202" t="s">
        <v>391</v>
      </c>
    </row>
    <row r="64" spans="1:1" x14ac:dyDescent="0.25">
      <c r="A64" s="202" t="s">
        <v>392</v>
      </c>
    </row>
    <row r="65" spans="1:1" x14ac:dyDescent="0.25">
      <c r="A65" s="202" t="s">
        <v>381</v>
      </c>
    </row>
    <row r="66" spans="1:1" x14ac:dyDescent="0.25">
      <c r="A66" s="202" t="s">
        <v>429</v>
      </c>
    </row>
    <row r="67" spans="1:1" x14ac:dyDescent="0.25">
      <c r="A67" s="202" t="s">
        <v>394</v>
      </c>
    </row>
    <row r="68" spans="1:1" x14ac:dyDescent="0.25">
      <c r="A68" s="202" t="s">
        <v>393</v>
      </c>
    </row>
    <row r="69" spans="1:1" x14ac:dyDescent="0.25">
      <c r="A69" s="202" t="s">
        <v>382</v>
      </c>
    </row>
    <row r="70" spans="1:1" x14ac:dyDescent="0.25">
      <c r="A70" s="202" t="s">
        <v>380</v>
      </c>
    </row>
    <row r="71" spans="1:1" x14ac:dyDescent="0.25">
      <c r="A71" s="202" t="s">
        <v>396</v>
      </c>
    </row>
    <row r="72" spans="1:1" x14ac:dyDescent="0.25">
      <c r="A72" s="331" t="s">
        <v>395</v>
      </c>
    </row>
    <row r="73" spans="1:1" x14ac:dyDescent="0.25">
      <c r="A73" s="202" t="s">
        <v>561</v>
      </c>
    </row>
    <row r="74" spans="1:1" x14ac:dyDescent="0.25">
      <c r="A74" s="202" t="s">
        <v>562</v>
      </c>
    </row>
    <row r="75" spans="1:1" x14ac:dyDescent="0.25">
      <c r="A75" s="202" t="s">
        <v>558</v>
      </c>
    </row>
    <row r="76" spans="1:1" x14ac:dyDescent="0.25">
      <c r="A76" s="202" t="s">
        <v>559</v>
      </c>
    </row>
    <row r="77" spans="1:1" x14ac:dyDescent="0.25">
      <c r="A77" s="202" t="s">
        <v>560</v>
      </c>
    </row>
    <row r="78" spans="1:1" x14ac:dyDescent="0.25">
      <c r="A78" s="176"/>
    </row>
    <row r="79" spans="1:1" x14ac:dyDescent="0.25">
      <c r="A79" s="212"/>
    </row>
    <row r="80" spans="1:1" x14ac:dyDescent="0.25">
      <c r="A80" s="201" t="s">
        <v>142</v>
      </c>
    </row>
    <row r="81" spans="1:1" x14ac:dyDescent="0.25">
      <c r="A81" s="202" t="s">
        <v>384</v>
      </c>
    </row>
    <row r="82" spans="1:1" x14ac:dyDescent="0.25">
      <c r="A82" s="202" t="s">
        <v>507</v>
      </c>
    </row>
    <row r="83" spans="1:1" x14ac:dyDescent="0.25">
      <c r="A83" s="202" t="s">
        <v>472</v>
      </c>
    </row>
    <row r="84" spans="1:1" x14ac:dyDescent="0.25">
      <c r="A84" s="202" t="s">
        <v>473</v>
      </c>
    </row>
    <row r="85" spans="1:1" x14ac:dyDescent="0.25">
      <c r="A85" s="202" t="s">
        <v>385</v>
      </c>
    </row>
    <row r="86" spans="1:1" x14ac:dyDescent="0.25">
      <c r="A86" s="202" t="s">
        <v>474</v>
      </c>
    </row>
    <row r="87" spans="1:1" x14ac:dyDescent="0.25">
      <c r="A87" s="202" t="s">
        <v>508</v>
      </c>
    </row>
    <row r="88" spans="1:1" x14ac:dyDescent="0.25">
      <c r="A88" s="176"/>
    </row>
    <row r="89" spans="1:1" x14ac:dyDescent="0.25">
      <c r="A89" s="201" t="s">
        <v>180</v>
      </c>
    </row>
    <row r="90" spans="1:1" x14ac:dyDescent="0.25">
      <c r="A90" s="515" t="s">
        <v>499</v>
      </c>
    </row>
    <row r="91" spans="1:1" x14ac:dyDescent="0.25">
      <c r="A91" s="516" t="s">
        <v>492</v>
      </c>
    </row>
    <row r="92" spans="1:1" x14ac:dyDescent="0.25">
      <c r="A92" s="516" t="s">
        <v>493</v>
      </c>
    </row>
    <row r="93" spans="1:1" x14ac:dyDescent="0.25">
      <c r="A93" s="516" t="s">
        <v>494</v>
      </c>
    </row>
    <row r="94" spans="1:1" x14ac:dyDescent="0.25">
      <c r="A94" s="516" t="s">
        <v>495</v>
      </c>
    </row>
    <row r="95" spans="1:1" x14ac:dyDescent="0.25">
      <c r="A95" s="516" t="s">
        <v>496</v>
      </c>
    </row>
    <row r="96" spans="1:1" x14ac:dyDescent="0.25">
      <c r="A96" s="516" t="s">
        <v>497</v>
      </c>
    </row>
    <row r="97" spans="1:6" x14ac:dyDescent="0.25">
      <c r="A97" s="516" t="s">
        <v>498</v>
      </c>
    </row>
    <row r="98" spans="1:6" x14ac:dyDescent="0.25">
      <c r="A98" s="202"/>
    </row>
    <row r="99" spans="1:6" x14ac:dyDescent="0.25">
      <c r="A99" s="212"/>
    </row>
    <row r="100" spans="1:6" x14ac:dyDescent="0.25">
      <c r="A100" s="201" t="s">
        <v>354</v>
      </c>
    </row>
    <row r="101" spans="1:6" x14ac:dyDescent="0.25">
      <c r="A101" s="202" t="s">
        <v>397</v>
      </c>
    </row>
    <row r="102" spans="1:6" x14ac:dyDescent="0.25">
      <c r="A102" s="202" t="s">
        <v>398</v>
      </c>
    </row>
    <row r="103" spans="1:6" x14ac:dyDescent="0.25">
      <c r="A103" s="202" t="s">
        <v>387</v>
      </c>
    </row>
    <row r="104" spans="1:6" x14ac:dyDescent="0.25">
      <c r="A104" s="202" t="s">
        <v>399</v>
      </c>
    </row>
    <row r="105" spans="1:6" x14ac:dyDescent="0.25">
      <c r="A105" s="202" t="s">
        <v>403</v>
      </c>
    </row>
    <row r="106" spans="1:6" x14ac:dyDescent="0.25">
      <c r="A106" s="202" t="s">
        <v>404</v>
      </c>
    </row>
    <row r="107" spans="1:6" x14ac:dyDescent="0.25">
      <c r="A107" s="559" t="s">
        <v>564</v>
      </c>
    </row>
    <row r="108" spans="1:6" x14ac:dyDescent="0.25">
      <c r="A108" s="202" t="s">
        <v>401</v>
      </c>
      <c r="B108" s="333"/>
    </row>
    <row r="109" spans="1:6" x14ac:dyDescent="0.25">
      <c r="A109" s="336" t="s">
        <v>400</v>
      </c>
    </row>
    <row r="110" spans="1:6" x14ac:dyDescent="0.25">
      <c r="A110" s="202" t="s">
        <v>402</v>
      </c>
    </row>
    <row r="111" spans="1:6" x14ac:dyDescent="0.25">
      <c r="A111" s="202" t="s">
        <v>437</v>
      </c>
    </row>
    <row r="112" spans="1:6" x14ac:dyDescent="0.25">
      <c r="A112" s="202"/>
      <c r="B112" s="333"/>
      <c r="C112" s="333"/>
      <c r="D112" s="334"/>
      <c r="E112" s="334"/>
      <c r="F112" s="334"/>
    </row>
    <row r="113" spans="1:6" x14ac:dyDescent="0.25">
      <c r="A113" s="212"/>
      <c r="B113" s="335"/>
      <c r="C113" s="335"/>
      <c r="D113" s="335"/>
      <c r="E113" s="335"/>
      <c r="F113" s="335"/>
    </row>
    <row r="114" spans="1:6" x14ac:dyDescent="0.25">
      <c r="A114" s="129"/>
      <c r="B114" s="333"/>
      <c r="C114" s="333"/>
      <c r="D114" s="333"/>
      <c r="E114" s="333"/>
      <c r="F114" s="333"/>
    </row>
    <row r="115" spans="1:6" x14ac:dyDescent="0.25"/>
    <row r="116" spans="1:6" x14ac:dyDescent="0.25"/>
    <row r="117" spans="1:6" x14ac:dyDescent="0.25"/>
    <row r="118" spans="1:6" x14ac:dyDescent="0.25"/>
    <row r="119" spans="1:6" x14ac:dyDescent="0.25"/>
    <row r="120" spans="1:6" x14ac:dyDescent="0.25"/>
    <row r="121" spans="1:6" x14ac:dyDescent="0.25"/>
    <row r="122" spans="1:6" x14ac:dyDescent="0.25"/>
    <row r="123" spans="1:6" x14ac:dyDescent="0.25"/>
    <row r="124" spans="1:6" x14ac:dyDescent="0.25"/>
    <row r="125" spans="1:6" x14ac:dyDescent="0.25"/>
    <row r="126" spans="1:6" x14ac:dyDescent="0.25"/>
    <row r="127" spans="1:6" x14ac:dyDescent="0.25"/>
    <row r="128" spans="1:6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</sheetData>
  <sheetProtection password="CA1B" sheet="1" objects="1" scenarios="1"/>
  <hyperlinks>
    <hyperlink ref="B2" location="Inicio!A1" display="Inicio" xr:uid="{00000000-0004-0000-0100-000000000000}"/>
  </hyperlinks>
  <pageMargins left="0.23622047244094491" right="0.11811023622047245" top="0.98425196850393704" bottom="0.98425196850393704" header="0.31496062992125984" footer="0.31496062992125984"/>
  <pageSetup scale="95" orientation="landscape" horizontalDpi="0" verticalDpi="0"/>
  <headerFooter alignWithMargins="0">
    <oddHeader xml:space="preserve">&amp;C&amp;"Arial,Negrita"&amp;14MODELO FINANCIERO PARA EMPRENDIMIENTOS INDUSTRIALES&amp;"Arial,Normal"&amp;10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rgb="FFFFFF00"/>
    <pageSetUpPr fitToPage="1"/>
  </sheetPr>
  <dimension ref="A1:O53"/>
  <sheetViews>
    <sheetView showGridLines="0" showOutlineSymbols="0" zoomScale="118" zoomScaleNormal="130" workbookViewId="0">
      <pane ySplit="2" topLeftCell="A52" activePane="bottomLeft" state="frozen"/>
      <selection pane="bottomLeft" activeCell="F7" sqref="F7:J12"/>
    </sheetView>
  </sheetViews>
  <sheetFormatPr baseColWidth="10" defaultColWidth="0" defaultRowHeight="13.2" zeroHeight="1" outlineLevelRow="1" x14ac:dyDescent="0.25"/>
  <cols>
    <col min="1" max="1" width="2.77734375" style="1" customWidth="1"/>
    <col min="2" max="2" width="2" style="1" customWidth="1"/>
    <col min="3" max="3" width="64.21875" style="7" customWidth="1"/>
    <col min="4" max="4" width="9" style="1" customWidth="1"/>
    <col min="5" max="5" width="22" style="1" customWidth="1"/>
    <col min="6" max="6" width="7.33203125" style="1" customWidth="1"/>
    <col min="7" max="7" width="7.77734375" style="1" customWidth="1"/>
    <col min="8" max="10" width="8" style="1" customWidth="1"/>
    <col min="11" max="11" width="2.21875" style="1" customWidth="1"/>
    <col min="12" max="12" width="2.77734375" style="1" customWidth="1"/>
    <col min="13" max="16384" width="0" style="1" hidden="1"/>
  </cols>
  <sheetData>
    <row r="1" spans="1:15" ht="33" customHeight="1" thickBot="1" x14ac:dyDescent="0.3">
      <c r="C1" s="225" t="s">
        <v>406</v>
      </c>
      <c r="D1" s="226"/>
      <c r="E1" s="226"/>
      <c r="F1" s="227"/>
      <c r="G1" s="228"/>
      <c r="H1" s="228"/>
      <c r="I1" s="228"/>
      <c r="J1" s="329" t="s">
        <v>350</v>
      </c>
    </row>
    <row r="2" spans="1:15" s="6" customFormat="1" ht="30.75" customHeight="1" x14ac:dyDescent="0.25">
      <c r="A2" s="82"/>
      <c r="B2" s="84"/>
      <c r="C2" s="96" t="s">
        <v>35</v>
      </c>
      <c r="D2" s="96" t="s">
        <v>36</v>
      </c>
      <c r="E2" s="96" t="s">
        <v>37</v>
      </c>
      <c r="F2" s="210"/>
      <c r="G2" s="210"/>
      <c r="H2" s="210"/>
      <c r="I2" s="210"/>
      <c r="J2" s="254"/>
      <c r="K2" s="85"/>
      <c r="L2" s="82"/>
    </row>
    <row r="3" spans="1:15" ht="21" customHeight="1" thickBot="1" x14ac:dyDescent="0.3">
      <c r="A3" s="80"/>
      <c r="B3" s="86"/>
      <c r="K3" s="255"/>
      <c r="L3" s="80"/>
    </row>
    <row r="4" spans="1:15" ht="15.75" customHeight="1" outlineLevel="1" x14ac:dyDescent="0.25">
      <c r="A4" s="83"/>
      <c r="B4" s="88"/>
      <c r="C4" s="39" t="s">
        <v>249</v>
      </c>
      <c r="D4" s="2"/>
      <c r="E4" s="2"/>
      <c r="F4" s="134">
        <f>Bases!D5+1</f>
        <v>1</v>
      </c>
      <c r="G4" s="134">
        <f>+F4+1</f>
        <v>2</v>
      </c>
      <c r="H4" s="134">
        <f>+G4+1</f>
        <v>3</v>
      </c>
      <c r="I4" s="134">
        <f>+H4+1</f>
        <v>4</v>
      </c>
      <c r="J4" s="134">
        <f>+I4+1</f>
        <v>5</v>
      </c>
      <c r="K4" s="89"/>
      <c r="L4" s="83"/>
      <c r="M4" s="2"/>
      <c r="N4" s="2"/>
      <c r="O4" s="2"/>
    </row>
    <row r="5" spans="1:15" s="279" customFormat="1" ht="13.95" hidden="1" customHeight="1" outlineLevel="1" x14ac:dyDescent="0.25">
      <c r="A5" s="276"/>
      <c r="B5" s="277"/>
      <c r="C5" s="278" t="s">
        <v>250</v>
      </c>
      <c r="D5" s="281">
        <v>0</v>
      </c>
      <c r="E5" s="282"/>
      <c r="K5" s="280"/>
      <c r="L5" s="276"/>
    </row>
    <row r="6" spans="1:15" outlineLevel="1" x14ac:dyDescent="0.25">
      <c r="A6" s="80"/>
      <c r="B6" s="86"/>
      <c r="C6" s="69" t="s">
        <v>306</v>
      </c>
      <c r="D6" s="35"/>
      <c r="E6" s="36"/>
      <c r="F6" s="36"/>
      <c r="G6" s="36"/>
      <c r="H6" s="36"/>
      <c r="I6" s="36"/>
      <c r="J6" s="169"/>
      <c r="K6" s="87"/>
      <c r="L6" s="80"/>
    </row>
    <row r="7" spans="1:15" outlineLevel="1" x14ac:dyDescent="0.25">
      <c r="A7" s="80"/>
      <c r="B7" s="86"/>
      <c r="C7" s="172" t="s">
        <v>239</v>
      </c>
      <c r="D7" s="173" t="s">
        <v>0</v>
      </c>
      <c r="E7" s="36"/>
      <c r="F7" s="345">
        <v>3.9E-2</v>
      </c>
      <c r="G7" s="345">
        <v>3.1E-2</v>
      </c>
      <c r="H7" s="345">
        <v>0.03</v>
      </c>
      <c r="I7" s="345">
        <v>0.03</v>
      </c>
      <c r="J7" s="345">
        <v>0.03</v>
      </c>
      <c r="K7" s="87"/>
      <c r="L7" s="80"/>
    </row>
    <row r="8" spans="1:15" outlineLevel="1" x14ac:dyDescent="0.25">
      <c r="A8" s="80"/>
      <c r="B8" s="86"/>
      <c r="C8" s="172" t="s">
        <v>234</v>
      </c>
      <c r="D8" s="173" t="s">
        <v>0</v>
      </c>
      <c r="E8" s="36"/>
      <c r="F8" s="345">
        <v>-5.8900000000000001E-2</v>
      </c>
      <c r="G8" s="345">
        <v>-5.8900000000000001E-2</v>
      </c>
      <c r="H8" s="345">
        <v>-5.8900000000000001E-2</v>
      </c>
      <c r="I8" s="345">
        <v>-5.8900000000000001E-2</v>
      </c>
      <c r="J8" s="345">
        <v>-5.8900000000000001E-2</v>
      </c>
      <c r="K8" s="87"/>
      <c r="L8" s="80"/>
    </row>
    <row r="9" spans="1:15" hidden="1" outlineLevel="1" x14ac:dyDescent="0.25">
      <c r="A9" s="80"/>
      <c r="B9" s="86"/>
      <c r="C9" s="172" t="s">
        <v>120</v>
      </c>
      <c r="D9" s="173" t="s">
        <v>0</v>
      </c>
      <c r="E9" s="36"/>
      <c r="F9" s="346"/>
      <c r="G9" s="346"/>
      <c r="H9" s="346"/>
      <c r="I9" s="346"/>
      <c r="J9" s="346"/>
      <c r="K9" s="87"/>
      <c r="L9" s="80"/>
    </row>
    <row r="10" spans="1:15" outlineLevel="1" x14ac:dyDescent="0.25">
      <c r="A10" s="80"/>
      <c r="B10" s="86"/>
      <c r="C10" s="172" t="s">
        <v>1</v>
      </c>
      <c r="D10" s="173" t="s">
        <v>0</v>
      </c>
      <c r="E10" s="36"/>
      <c r="F10" s="345">
        <v>5.7599999999999998E-2</v>
      </c>
      <c r="G10" s="345">
        <v>5.7599999999999998E-2</v>
      </c>
      <c r="H10" s="345">
        <v>5.7599999999999998E-2</v>
      </c>
      <c r="I10" s="345">
        <v>5.7599999999999998E-2</v>
      </c>
      <c r="J10" s="345">
        <v>5.7599999999999998E-2</v>
      </c>
      <c r="K10" s="87"/>
      <c r="L10" s="80"/>
    </row>
    <row r="11" spans="1:15" ht="15.75" customHeight="1" outlineLevel="1" x14ac:dyDescent="0.25">
      <c r="A11" s="80"/>
      <c r="B11" s="86"/>
      <c r="C11" s="176" t="s">
        <v>2</v>
      </c>
      <c r="D11" s="173" t="s">
        <v>0</v>
      </c>
      <c r="E11" s="36"/>
      <c r="F11" s="345">
        <v>2.5000000000000001E-2</v>
      </c>
      <c r="G11" s="345">
        <v>3.2000000000000001E-2</v>
      </c>
      <c r="H11" s="345">
        <v>3.2000000000000001E-2</v>
      </c>
      <c r="I11" s="345">
        <v>3.2000000000000001E-2</v>
      </c>
      <c r="J11" s="345">
        <v>3.2000000000000001E-2</v>
      </c>
      <c r="K11" s="87"/>
      <c r="L11" s="80"/>
    </row>
    <row r="12" spans="1:15" collapsed="1" x14ac:dyDescent="0.25">
      <c r="A12" s="83"/>
      <c r="B12" s="88"/>
      <c r="C12" s="176" t="s">
        <v>4</v>
      </c>
      <c r="D12" s="173" t="s">
        <v>0</v>
      </c>
      <c r="E12" s="36"/>
      <c r="F12" s="347">
        <v>6.6799999999999998E-2</v>
      </c>
      <c r="G12" s="347">
        <v>6.0999999999999999E-2</v>
      </c>
      <c r="H12" s="347">
        <v>6.1800000000000001E-2</v>
      </c>
      <c r="I12" s="347">
        <v>6.2199999999999998E-2</v>
      </c>
      <c r="J12" s="347">
        <v>6.2199999999999998E-2</v>
      </c>
      <c r="K12" s="89"/>
      <c r="L12" s="83"/>
      <c r="M12" s="2"/>
      <c r="N12" s="2"/>
      <c r="O12" s="2"/>
    </row>
    <row r="13" spans="1:15" x14ac:dyDescent="0.25">
      <c r="A13" s="83"/>
      <c r="B13" s="88"/>
      <c r="C13" s="69" t="s">
        <v>298</v>
      </c>
      <c r="D13" s="198"/>
      <c r="E13" s="36"/>
      <c r="F13" s="2"/>
      <c r="G13" s="2"/>
      <c r="H13" s="2"/>
      <c r="I13" s="2"/>
      <c r="J13" s="2"/>
      <c r="K13" s="89"/>
      <c r="L13" s="83"/>
      <c r="M13" s="2"/>
      <c r="N13" s="2"/>
      <c r="O13" s="2"/>
    </row>
    <row r="14" spans="1:15" x14ac:dyDescent="0.25">
      <c r="A14" s="80"/>
      <c r="B14" s="86"/>
      <c r="C14" s="162" t="s">
        <v>578</v>
      </c>
      <c r="D14" s="2"/>
      <c r="E14" s="2"/>
      <c r="F14" s="2"/>
      <c r="G14" s="2"/>
      <c r="H14" s="2"/>
      <c r="I14" s="2"/>
      <c r="J14" s="2"/>
      <c r="K14" s="87"/>
      <c r="L14" s="80"/>
    </row>
    <row r="15" spans="1:15" x14ac:dyDescent="0.25">
      <c r="A15" s="80"/>
      <c r="B15" s="86"/>
      <c r="C15" s="162" t="s">
        <v>579</v>
      </c>
      <c r="D15" s="2"/>
      <c r="E15" s="2"/>
      <c r="F15" s="318" t="s">
        <v>340</v>
      </c>
      <c r="G15" s="2"/>
      <c r="H15" s="2"/>
      <c r="I15" s="2"/>
      <c r="J15" s="2"/>
      <c r="K15" s="87"/>
      <c r="L15" s="80"/>
    </row>
    <row r="16" spans="1:15" x14ac:dyDescent="0.25">
      <c r="A16" s="80"/>
      <c r="B16" s="86"/>
      <c r="C16" s="162" t="s">
        <v>580</v>
      </c>
      <c r="D16" s="2"/>
      <c r="E16" s="2"/>
      <c r="F16" s="2"/>
      <c r="G16" s="2"/>
      <c r="H16" s="2"/>
      <c r="I16" s="2"/>
      <c r="J16" s="2"/>
      <c r="K16" s="87"/>
      <c r="L16" s="80"/>
    </row>
    <row r="17" spans="1:15" x14ac:dyDescent="0.25">
      <c r="A17" s="80"/>
      <c r="B17" s="86"/>
      <c r="C17" s="162"/>
      <c r="D17" s="2"/>
      <c r="E17" s="2"/>
      <c r="F17" s="318" t="s">
        <v>341</v>
      </c>
      <c r="G17" s="2"/>
      <c r="H17" s="2"/>
      <c r="I17" s="2"/>
      <c r="J17" s="2"/>
      <c r="K17" s="87"/>
      <c r="L17" s="80"/>
    </row>
    <row r="18" spans="1:15" x14ac:dyDescent="0.25">
      <c r="A18" s="80"/>
      <c r="B18" s="86"/>
      <c r="C18" s="162"/>
      <c r="D18" s="2"/>
      <c r="E18" s="2"/>
      <c r="F18" s="2"/>
      <c r="G18" s="2"/>
      <c r="H18" s="2"/>
      <c r="I18" s="2"/>
      <c r="J18" s="2"/>
      <c r="K18" s="87"/>
      <c r="L18" s="80"/>
    </row>
    <row r="19" spans="1:15" x14ac:dyDescent="0.25">
      <c r="A19" s="80"/>
      <c r="B19" s="86"/>
      <c r="C19" s="162"/>
      <c r="D19" s="2"/>
      <c r="E19" s="2"/>
      <c r="F19" s="2"/>
      <c r="G19" s="2"/>
      <c r="H19" s="2"/>
      <c r="I19" s="2"/>
      <c r="J19" s="2"/>
      <c r="K19" s="87"/>
      <c r="L19" s="80"/>
    </row>
    <row r="20" spans="1:15" x14ac:dyDescent="0.25">
      <c r="A20" s="80"/>
      <c r="B20" s="86"/>
      <c r="C20" s="162"/>
      <c r="D20" s="2"/>
      <c r="E20" s="2"/>
      <c r="F20" s="2"/>
      <c r="G20" s="2"/>
      <c r="H20" s="2"/>
      <c r="I20" s="2"/>
      <c r="J20" s="2"/>
      <c r="K20" s="87"/>
      <c r="L20" s="80"/>
    </row>
    <row r="21" spans="1:15" x14ac:dyDescent="0.25">
      <c r="A21" s="80"/>
      <c r="B21" s="86"/>
      <c r="C21" s="162"/>
      <c r="D21" s="2"/>
      <c r="E21" s="2"/>
      <c r="F21" s="2"/>
      <c r="G21" s="2"/>
      <c r="H21" s="2"/>
      <c r="I21" s="2"/>
      <c r="J21" s="2"/>
      <c r="K21" s="87"/>
      <c r="L21" s="80"/>
    </row>
    <row r="22" spans="1:15" x14ac:dyDescent="0.25">
      <c r="A22" s="80"/>
      <c r="B22" s="86"/>
      <c r="C22" s="162"/>
      <c r="D22" s="2"/>
      <c r="E22" s="2"/>
      <c r="F22" s="2"/>
      <c r="G22" s="2"/>
      <c r="H22" s="2"/>
      <c r="I22" s="2"/>
      <c r="J22" s="2"/>
      <c r="K22" s="87"/>
      <c r="L22" s="80"/>
    </row>
    <row r="23" spans="1:15" x14ac:dyDescent="0.25">
      <c r="A23" s="80"/>
      <c r="B23" s="86"/>
      <c r="C23" s="162"/>
      <c r="D23" s="2"/>
      <c r="E23" s="2"/>
      <c r="F23" s="2"/>
      <c r="G23" s="2"/>
      <c r="H23" s="2"/>
      <c r="I23" s="2"/>
      <c r="J23" s="2"/>
      <c r="K23" s="87"/>
      <c r="L23" s="80"/>
    </row>
    <row r="24" spans="1:15" x14ac:dyDescent="0.25">
      <c r="A24" s="83"/>
      <c r="B24" s="88"/>
      <c r="C24" s="39" t="s">
        <v>278</v>
      </c>
      <c r="D24" s="2"/>
      <c r="E24" s="2"/>
      <c r="F24" s="2"/>
      <c r="G24" s="2"/>
      <c r="H24" s="2"/>
      <c r="I24" s="2"/>
      <c r="J24" s="2"/>
      <c r="K24" s="89"/>
      <c r="L24" s="83"/>
      <c r="M24" s="2"/>
      <c r="N24" s="2"/>
      <c r="O24" s="2"/>
    </row>
    <row r="25" spans="1:15" x14ac:dyDescent="0.25">
      <c r="A25" s="80"/>
      <c r="B25" s="86"/>
      <c r="C25" s="163" t="s">
        <v>297</v>
      </c>
      <c r="D25" s="43">
        <v>1E-3</v>
      </c>
      <c r="E25" s="49" t="s">
        <v>258</v>
      </c>
      <c r="K25" s="87"/>
      <c r="L25" s="80"/>
    </row>
    <row r="26" spans="1:15" s="34" customFormat="1" x14ac:dyDescent="0.25">
      <c r="A26" s="129"/>
      <c r="B26" s="138"/>
      <c r="C26" s="163" t="s">
        <v>230</v>
      </c>
      <c r="D26" s="73">
        <v>4</v>
      </c>
      <c r="E26" s="2"/>
      <c r="F26" s="2"/>
      <c r="G26" s="2"/>
      <c r="H26" s="2"/>
      <c r="I26" s="2"/>
      <c r="J26" s="2"/>
      <c r="K26" s="139"/>
      <c r="L26" s="129"/>
    </row>
    <row r="27" spans="1:15" x14ac:dyDescent="0.25">
      <c r="A27" s="80"/>
      <c r="B27" s="86"/>
      <c r="C27" s="163" t="s">
        <v>232</v>
      </c>
      <c r="D27" s="73">
        <v>12</v>
      </c>
      <c r="E27" s="2"/>
      <c r="F27" s="2"/>
      <c r="G27" s="2"/>
      <c r="H27" s="2"/>
      <c r="I27" s="2"/>
      <c r="J27" s="2"/>
      <c r="K27" s="87"/>
      <c r="L27" s="80"/>
    </row>
    <row r="28" spans="1:15" x14ac:dyDescent="0.25">
      <c r="A28" s="80"/>
      <c r="B28" s="86"/>
      <c r="C28" s="163" t="s">
        <v>233</v>
      </c>
      <c r="D28" s="73">
        <v>36</v>
      </c>
      <c r="E28" s="2"/>
      <c r="F28" s="2"/>
      <c r="G28" s="2"/>
      <c r="H28" s="2"/>
      <c r="I28" s="2"/>
      <c r="J28" s="2"/>
      <c r="K28" s="87"/>
      <c r="L28" s="80"/>
    </row>
    <row r="29" spans="1:15" x14ac:dyDescent="0.25">
      <c r="A29" s="83"/>
      <c r="B29" s="88"/>
      <c r="C29" s="39" t="s">
        <v>251</v>
      </c>
      <c r="D29" s="2"/>
      <c r="E29" s="2"/>
      <c r="F29" s="2"/>
      <c r="G29" s="2"/>
      <c r="H29" s="2"/>
      <c r="I29" s="2"/>
      <c r="J29" s="2"/>
      <c r="K29" s="89"/>
      <c r="L29" s="83"/>
      <c r="M29" s="2"/>
      <c r="N29" s="2"/>
      <c r="O29" s="2"/>
    </row>
    <row r="30" spans="1:15" x14ac:dyDescent="0.25">
      <c r="A30" s="80"/>
      <c r="B30" s="86"/>
      <c r="C30" s="46" t="s">
        <v>38</v>
      </c>
      <c r="D30" s="48">
        <v>1</v>
      </c>
      <c r="E30" s="49" t="s">
        <v>237</v>
      </c>
      <c r="K30" s="87"/>
      <c r="L30" s="80"/>
    </row>
    <row r="31" spans="1:15" x14ac:dyDescent="0.25">
      <c r="A31" s="80"/>
      <c r="B31" s="86"/>
      <c r="C31" s="46" t="s">
        <v>39</v>
      </c>
      <c r="D31" s="48">
        <v>2</v>
      </c>
      <c r="E31" s="49" t="s">
        <v>238</v>
      </c>
      <c r="K31" s="87"/>
      <c r="L31" s="80"/>
    </row>
    <row r="32" spans="1:15" x14ac:dyDescent="0.25">
      <c r="A32" s="80"/>
      <c r="B32" s="86"/>
      <c r="C32" s="46" t="s">
        <v>40</v>
      </c>
      <c r="D32" s="43">
        <v>0.19589999999999999</v>
      </c>
      <c r="E32" s="49" t="s">
        <v>41</v>
      </c>
      <c r="K32" s="87"/>
      <c r="L32" s="80"/>
    </row>
    <row r="33" spans="1:15" x14ac:dyDescent="0.25">
      <c r="A33" s="83"/>
      <c r="B33" s="88"/>
      <c r="C33" s="39" t="s">
        <v>252</v>
      </c>
      <c r="D33" s="2"/>
      <c r="E33" s="2"/>
      <c r="F33" s="2"/>
      <c r="G33" s="2"/>
      <c r="H33" s="2"/>
      <c r="I33" s="2"/>
      <c r="J33" s="2"/>
      <c r="K33" s="89"/>
      <c r="L33" s="83"/>
      <c r="M33" s="2"/>
      <c r="N33" s="2"/>
      <c r="O33" s="2"/>
    </row>
    <row r="34" spans="1:15" hidden="1" outlineLevel="1" x14ac:dyDescent="0.25">
      <c r="A34" s="80"/>
      <c r="B34" s="86"/>
      <c r="C34" s="46" t="s">
        <v>246</v>
      </c>
      <c r="D34" s="40">
        <v>1</v>
      </c>
      <c r="E34" s="49" t="s">
        <v>247</v>
      </c>
      <c r="K34" s="87"/>
      <c r="L34" s="80"/>
    </row>
    <row r="35" spans="1:15" collapsed="1" x14ac:dyDescent="0.25">
      <c r="A35" s="80"/>
      <c r="B35" s="86"/>
      <c r="C35" s="46" t="s">
        <v>121</v>
      </c>
      <c r="D35" s="40">
        <v>20</v>
      </c>
      <c r="E35" s="49" t="s">
        <v>123</v>
      </c>
      <c r="K35" s="87"/>
      <c r="L35" s="80"/>
    </row>
    <row r="36" spans="1:15" x14ac:dyDescent="0.25">
      <c r="A36" s="80"/>
      <c r="B36" s="86"/>
      <c r="C36" s="256" t="s">
        <v>291</v>
      </c>
      <c r="D36" s="40">
        <v>5</v>
      </c>
      <c r="E36" s="49" t="s">
        <v>123</v>
      </c>
      <c r="K36" s="87"/>
      <c r="L36" s="80"/>
    </row>
    <row r="37" spans="1:15" x14ac:dyDescent="0.25">
      <c r="A37" s="80"/>
      <c r="B37" s="86"/>
      <c r="C37" s="47" t="s">
        <v>118</v>
      </c>
      <c r="D37" s="45">
        <v>10</v>
      </c>
      <c r="E37" s="49" t="s">
        <v>123</v>
      </c>
      <c r="K37" s="87"/>
      <c r="L37" s="80"/>
    </row>
    <row r="38" spans="1:15" x14ac:dyDescent="0.25">
      <c r="A38" s="80"/>
      <c r="B38" s="86"/>
      <c r="C38" s="47" t="s">
        <v>122</v>
      </c>
      <c r="D38" s="45">
        <v>10</v>
      </c>
      <c r="E38" s="49" t="s">
        <v>123</v>
      </c>
      <c r="K38" s="87"/>
      <c r="L38" s="80"/>
    </row>
    <row r="39" spans="1:15" x14ac:dyDescent="0.25">
      <c r="A39" s="80"/>
      <c r="B39" s="86"/>
      <c r="C39" s="47" t="s">
        <v>119</v>
      </c>
      <c r="D39" s="45">
        <v>5</v>
      </c>
      <c r="E39" s="49" t="s">
        <v>123</v>
      </c>
      <c r="K39" s="87"/>
      <c r="L39" s="80"/>
    </row>
    <row r="40" spans="1:15" x14ac:dyDescent="0.25">
      <c r="A40" s="80"/>
      <c r="B40" s="86"/>
      <c r="C40" s="47" t="s">
        <v>124</v>
      </c>
      <c r="D40" s="45">
        <v>5</v>
      </c>
      <c r="E40" s="49" t="s">
        <v>123</v>
      </c>
      <c r="K40" s="87"/>
      <c r="L40" s="80"/>
    </row>
    <row r="41" spans="1:15" hidden="1" x14ac:dyDescent="0.25">
      <c r="A41" s="80"/>
      <c r="B41" s="86"/>
      <c r="C41" s="46" t="s">
        <v>158</v>
      </c>
      <c r="D41" s="40">
        <v>10</v>
      </c>
      <c r="E41" s="49" t="s">
        <v>192</v>
      </c>
      <c r="K41" s="87"/>
      <c r="L41" s="80"/>
    </row>
    <row r="42" spans="1:15" hidden="1" x14ac:dyDescent="0.25">
      <c r="A42" s="80"/>
      <c r="B42" s="86"/>
      <c r="C42" s="47" t="s">
        <v>132</v>
      </c>
      <c r="D42" s="40">
        <v>10</v>
      </c>
      <c r="E42" s="49" t="s">
        <v>192</v>
      </c>
      <c r="K42" s="87"/>
      <c r="L42" s="80"/>
    </row>
    <row r="43" spans="1:15" x14ac:dyDescent="0.25">
      <c r="A43" s="83"/>
      <c r="B43" s="88"/>
      <c r="C43" s="39" t="s">
        <v>157</v>
      </c>
      <c r="D43" s="2"/>
      <c r="E43" s="2"/>
      <c r="F43" s="2"/>
      <c r="G43" s="2"/>
      <c r="H43" s="2"/>
      <c r="I43" s="2"/>
      <c r="J43" s="2"/>
      <c r="K43" s="89"/>
      <c r="L43" s="83"/>
      <c r="M43" s="2"/>
      <c r="N43" s="2"/>
      <c r="O43" s="2"/>
    </row>
    <row r="44" spans="1:15" x14ac:dyDescent="0.25">
      <c r="A44" s="80"/>
      <c r="B44" s="86"/>
      <c r="C44" s="256" t="s">
        <v>479</v>
      </c>
      <c r="D44" s="40">
        <v>1</v>
      </c>
      <c r="E44" s="49" t="s">
        <v>191</v>
      </c>
      <c r="K44" s="87"/>
      <c r="L44" s="80"/>
    </row>
    <row r="45" spans="1:15" hidden="1" x14ac:dyDescent="0.25">
      <c r="A45" s="80"/>
      <c r="B45" s="86"/>
      <c r="C45" s="39" t="s">
        <v>20</v>
      </c>
      <c r="K45" s="87"/>
      <c r="L45" s="80"/>
    </row>
    <row r="46" spans="1:15" hidden="1" x14ac:dyDescent="0.25">
      <c r="A46" s="80"/>
      <c r="B46" s="86"/>
      <c r="C46" s="47" t="s">
        <v>262</v>
      </c>
      <c r="D46" s="164" t="s">
        <v>264</v>
      </c>
      <c r="E46" s="49" t="s">
        <v>265</v>
      </c>
      <c r="K46" s="87"/>
      <c r="L46" s="80"/>
    </row>
    <row r="47" spans="1:15" x14ac:dyDescent="0.25">
      <c r="A47" s="80"/>
      <c r="B47" s="86"/>
      <c r="C47" s="201" t="s">
        <v>284</v>
      </c>
      <c r="D47" s="198"/>
      <c r="E47" s="36"/>
      <c r="F47" s="234"/>
      <c r="G47" s="234"/>
      <c r="H47" s="234"/>
      <c r="I47" s="234"/>
      <c r="J47" s="234"/>
      <c r="K47" s="87"/>
      <c r="L47" s="80"/>
    </row>
    <row r="48" spans="1:15" hidden="1" x14ac:dyDescent="0.25">
      <c r="A48" s="80"/>
      <c r="B48" s="86"/>
      <c r="C48" s="199"/>
      <c r="D48" s="173" t="s">
        <v>5</v>
      </c>
      <c r="E48" s="36"/>
      <c r="F48" s="497">
        <v>0</v>
      </c>
      <c r="G48" s="497">
        <v>0</v>
      </c>
      <c r="H48" s="497">
        <v>0</v>
      </c>
      <c r="I48" s="497">
        <v>0</v>
      </c>
      <c r="J48" s="497">
        <v>0</v>
      </c>
      <c r="K48" s="87"/>
      <c r="L48" s="80"/>
    </row>
    <row r="49" spans="1:12" x14ac:dyDescent="0.25">
      <c r="A49" s="80"/>
      <c r="B49" s="86"/>
      <c r="C49" s="199" t="s">
        <v>285</v>
      </c>
      <c r="D49" s="173" t="s">
        <v>5</v>
      </c>
      <c r="E49" s="36"/>
      <c r="F49" s="497">
        <v>1</v>
      </c>
      <c r="G49" s="497">
        <v>1</v>
      </c>
      <c r="H49" s="497">
        <v>1</v>
      </c>
      <c r="I49" s="497">
        <v>1</v>
      </c>
      <c r="J49" s="497">
        <v>1</v>
      </c>
      <c r="K49" s="87"/>
      <c r="L49" s="80"/>
    </row>
    <row r="50" spans="1:12" x14ac:dyDescent="0.25">
      <c r="A50" s="80"/>
      <c r="B50" s="86"/>
      <c r="C50" s="199" t="s">
        <v>286</v>
      </c>
      <c r="D50" s="173" t="s">
        <v>5</v>
      </c>
      <c r="E50" s="36"/>
      <c r="F50" s="497">
        <v>1</v>
      </c>
      <c r="G50" s="497">
        <v>1</v>
      </c>
      <c r="H50" s="497">
        <v>1</v>
      </c>
      <c r="I50" s="497">
        <v>1</v>
      </c>
      <c r="J50" s="497">
        <v>1</v>
      </c>
      <c r="K50" s="87"/>
      <c r="L50" s="80"/>
    </row>
    <row r="51" spans="1:12" x14ac:dyDescent="0.25">
      <c r="A51" s="80"/>
      <c r="B51" s="86"/>
      <c r="C51" s="199" t="s">
        <v>287</v>
      </c>
      <c r="D51" s="173" t="s">
        <v>5</v>
      </c>
      <c r="E51" s="36"/>
      <c r="F51" s="525">
        <f>SUM(F48:F50)</f>
        <v>2</v>
      </c>
      <c r="G51" s="525">
        <f>SUM(G48:G50)</f>
        <v>2</v>
      </c>
      <c r="H51" s="525">
        <f>SUM(H48:H50)</f>
        <v>2</v>
      </c>
      <c r="I51" s="525">
        <f>SUM(I48:I50)</f>
        <v>2</v>
      </c>
      <c r="J51" s="525">
        <f>SUM(J48:J50)</f>
        <v>2</v>
      </c>
      <c r="K51" s="87"/>
      <c r="L51" s="80"/>
    </row>
    <row r="52" spans="1:12" ht="13.8" thickBot="1" x14ac:dyDescent="0.3">
      <c r="A52" s="80"/>
      <c r="B52" s="90"/>
      <c r="C52" s="91"/>
      <c r="D52" s="92"/>
      <c r="E52" s="92"/>
      <c r="F52" s="92"/>
      <c r="G52" s="92"/>
      <c r="H52" s="92"/>
      <c r="I52" s="92"/>
      <c r="J52" s="92"/>
      <c r="K52" s="93"/>
      <c r="L52" s="80"/>
    </row>
    <row r="53" spans="1:12" x14ac:dyDescent="0.25">
      <c r="A53" s="80"/>
      <c r="B53" s="80"/>
      <c r="C53" s="81"/>
      <c r="D53" s="80"/>
      <c r="E53" s="80"/>
      <c r="F53" s="80"/>
      <c r="G53" s="80"/>
      <c r="H53" s="80"/>
      <c r="I53" s="80"/>
      <c r="J53" s="80"/>
      <c r="K53" s="80"/>
      <c r="L53" s="80"/>
    </row>
  </sheetData>
  <sheetProtection password="CA1B" sheet="1" objects="1" scenarios="1" formatColumns="0" formatRows="0"/>
  <scenarios current="2" show="0">
    <scenario name="Optimista" locked="1" count="5" user="WILLIAM MARTINEZ" comment="Creado por WILLIAM MARTINEZ el 29/10/1998">
      <inputCells r="D30" val="1"/>
      <inputCells r="D31" val="3"/>
      <inputCells r="D32" val="0.1" numFmtId="9"/>
      <inputCells r="D37" val="20"/>
      <inputCells r="D35" val="5"/>
    </scenario>
    <scenario name="Pesimista" locked="1" count="5" user="WILLIAM MARTINEZ" comment="Creado por WILLIAM MARTINEZ el 29/10/1998">
      <inputCells r="D30" val="1"/>
      <inputCells r="D31" val="3"/>
      <inputCells r="D32" val="0.1" numFmtId="9"/>
      <inputCells r="D37" val="20"/>
      <inputCells r="D35" val="5"/>
    </scenario>
    <scenario name="Normal" locked="1" count="5" user="WILLIAM MARTINEZ" comment="Creado por WILLIAM MARTINEZ el 29/10/1998">
      <inputCells r="D30" val="1"/>
      <inputCells r="D31" val="3"/>
      <inputCells r="D32" val="0.1" numFmtId="9"/>
      <inputCells r="D37" val="20"/>
      <inputCells r="D35" val="5"/>
    </scenario>
  </scenarios>
  <phoneticPr fontId="0" type="noConversion"/>
  <dataValidations xWindow="554" yWindow="605" count="15">
    <dataValidation type="whole" allowBlank="1" showInputMessage="1" showErrorMessage="1" promptTitle="Período de Graciia" prompt="Años de gracia en las obligaciones financieras" sqref="D30" xr:uid="{00000000-0002-0000-0200-000000000000}">
      <formula1>0</formula1>
      <formula2>D31-1</formula2>
    </dataValidation>
    <dataValidation type="whole" allowBlank="1" showInputMessage="1" showErrorMessage="1" error="Debe ser un número entero entre 0 y 10 años" promptTitle="Amort. Gastos Anticipados" prompt="Años de amortización de los gastos anticipados" sqref="D44:D45" xr:uid="{00000000-0002-0000-0200-000001000000}">
      <formula1>0</formula1>
      <formula2>10</formula2>
    </dataValidation>
    <dataValidation type="whole" allowBlank="1" showInputMessage="1" showErrorMessage="1" error="Debe ser un número entero entre 0 y 50" promptTitle="Vida Util" prompt="Vida util proyectada del tipo de activo" sqref="D35:D42" xr:uid="{00000000-0002-0000-0200-000002000000}">
      <formula1>0</formula1>
      <formula2>20</formula2>
    </dataValidation>
    <dataValidation type="list" allowBlank="1" showInputMessage="1" showErrorMessage="1" promptTitle="Ajustes por Inflación" prompt="0: Tener en cuenta_x000a_1: No Tener en cuenta" sqref="D34" xr:uid="{00000000-0002-0000-0200-000003000000}">
      <formula1>"0,1"</formula1>
    </dataValidation>
    <dataValidation type="whole" allowBlank="1" showInputMessage="1" showErrorMessage="1" promptTitle="Plazo Obligaciones Financieras" prompt="Plazo total de las Obligaciones financieras (en años)" sqref="D31" xr:uid="{00000000-0002-0000-0200-000004000000}">
      <formula1>0</formula1>
      <formula2>10</formula2>
    </dataValidation>
    <dataValidation allowBlank="1" showInputMessage="1" showErrorMessage="1" promptTitle="Tasa sobre la DTF" prompt="Puntos por encima de la DTF de las Obligaciones Financieras" sqref="D32" xr:uid="{00000000-0002-0000-0200-000005000000}"/>
    <dataValidation type="decimal" operator="greaterThan" allowBlank="1" showInputMessage="1" showErrorMessage="1" promptTitle="Período de Graciia" prompt="Años de gracia en las obligaciones financieras" sqref="D25" xr:uid="{00000000-0002-0000-0200-000006000000}">
      <formula1>0</formula1>
    </dataValidation>
    <dataValidation type="whole" operator="greaterThan" allowBlank="1" showInputMessage="1" showErrorMessage="1" promptTitle="Período de Graciia" prompt="Años de gracia en las obligaciones financieras" sqref="D26:D28" xr:uid="{00000000-0002-0000-0200-000007000000}">
      <formula1>0</formula1>
    </dataValidation>
    <dataValidation type="list" allowBlank="1" showInputMessage="1" showErrorMessage="1" sqref="D46" xr:uid="{00000000-0002-0000-0200-000008000000}">
      <formula1>"Si,No"</formula1>
    </dataValidation>
    <dataValidation allowBlank="1" showInputMessage="1" showErrorMessage="1" promptTitle="Tasa DTF " prompt="Tasa Anual Trimestre Anticipado" sqref="F12:J12" xr:uid="{00000000-0002-0000-0200-000009000000}"/>
    <dataValidation allowBlank="1" showInputMessage="1" showErrorMessage="1" promptTitle="% Variación Prod Interno Bruto" prompt="% Variación Anual" sqref="F11:J11" xr:uid="{00000000-0002-0000-0200-00000A000000}"/>
    <dataValidation allowBlank="1" showInputMessage="1" showErrorMessage="1" promptTitle="% Variación Precios Productos" prompt="% Variación Anual" sqref="F10:J10" xr:uid="{00000000-0002-0000-0200-00000B000000}"/>
    <dataValidation allowBlank="1" showInputMessage="1" showErrorMessage="1" promptTitle="% Devaluación" prompt="% Variación Anual" sqref="F8:J8" xr:uid="{00000000-0002-0000-0200-00000C000000}"/>
    <dataValidation allowBlank="1" showInputMessage="1" showErrorMessage="1" promptTitle="% inflación" prompt="Variación Anual IPC" sqref="F7:J7" xr:uid="{00000000-0002-0000-0200-00000D000000}"/>
    <dataValidation allowBlank="1" showInputMessage="1" showErrorMessage="1" promptTitle="Costo Prom. Mano de Obra" prompt="Valor del Costo Promedio Unitario de Mano de Obra Producto 5" sqref="F47:J47" xr:uid="{00000000-0002-0000-0200-00000E000000}"/>
  </dataValidations>
  <hyperlinks>
    <hyperlink ref="J1" location="Inicio!A1" display="Inicio" xr:uid="{00000000-0004-0000-0200-000000000000}"/>
  </hyperlinks>
  <printOptions horizontalCentered="1" verticalCentered="1" gridLines="1"/>
  <pageMargins left="0.19685039370078741" right="0.19685039370078741" top="1.1023622047244095" bottom="0.39370078740157483" header="0.59055118110236227" footer="0.51181102362204722"/>
  <pageSetup orientation="landscape" horizontalDpi="300" verticalDpi="300"/>
  <headerFooter alignWithMargins="0">
    <oddHeader xml:space="preserve">&amp;C&amp;"Arial,Negrita"&amp;14MODELO FINANCIERO 
&amp;12BASES ANUALES&amp;"Arial,Normal"&amp;10
</oddHeader>
    <oddFooter>&amp;L&amp;"Arial,Negrita"&amp;8&amp;F&amp;C&amp;"Arial,Negrita"&amp;8Página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9">
    <tabColor rgb="FFFFFF00"/>
  </sheetPr>
  <dimension ref="A2:L394"/>
  <sheetViews>
    <sheetView topLeftCell="C31" zoomScale="119" zoomScaleNormal="59" workbookViewId="0">
      <selection activeCell="G37" sqref="G37"/>
    </sheetView>
  </sheetViews>
  <sheetFormatPr baseColWidth="10" defaultColWidth="0" defaultRowHeight="13.2" zeroHeight="1" x14ac:dyDescent="0.25"/>
  <cols>
    <col min="1" max="1" width="3.21875" customWidth="1"/>
    <col min="2" max="2" width="3.6640625" customWidth="1"/>
    <col min="3" max="3" width="115.5546875" bestFit="1" customWidth="1"/>
    <col min="4" max="4" width="11.44140625" customWidth="1"/>
    <col min="5" max="10" width="11.44140625" style="304" customWidth="1"/>
    <col min="11" max="11" width="16.6640625" hidden="1" customWidth="1"/>
    <col min="12" max="12" width="4.77734375" hidden="1" customWidth="1"/>
  </cols>
  <sheetData>
    <row r="2" spans="1:12" ht="18" thickBot="1" x14ac:dyDescent="0.3">
      <c r="A2" s="225"/>
      <c r="B2" s="226"/>
      <c r="C2" s="225" t="s">
        <v>406</v>
      </c>
      <c r="D2" s="227"/>
      <c r="E2" s="349"/>
      <c r="F2" s="349"/>
      <c r="G2" s="349"/>
      <c r="H2" s="349"/>
      <c r="I2" s="349"/>
      <c r="J2" s="350"/>
      <c r="K2" s="34"/>
      <c r="L2" s="34"/>
    </row>
    <row r="3" spans="1:12" x14ac:dyDescent="0.25">
      <c r="A3" s="129"/>
      <c r="B3" s="133"/>
      <c r="C3" s="167"/>
      <c r="D3" s="168"/>
      <c r="E3" s="134">
        <f>Bases!D5</f>
        <v>0</v>
      </c>
      <c r="F3" s="134">
        <f>E3+1</f>
        <v>1</v>
      </c>
      <c r="G3" s="134">
        <f>F3+1</f>
        <v>2</v>
      </c>
      <c r="H3" s="134">
        <f>G3+1</f>
        <v>3</v>
      </c>
      <c r="I3" s="134">
        <f>H3+1</f>
        <v>4</v>
      </c>
      <c r="J3" s="134">
        <f>I3+1</f>
        <v>5</v>
      </c>
      <c r="K3" s="135"/>
      <c r="L3" s="129"/>
    </row>
    <row r="4" spans="1:12" ht="17.399999999999999" x14ac:dyDescent="0.25">
      <c r="A4" s="170"/>
      <c r="B4" s="171"/>
      <c r="C4" s="329" t="s">
        <v>350</v>
      </c>
      <c r="D4" s="175"/>
      <c r="E4" s="351"/>
      <c r="F4" s="351"/>
      <c r="G4" s="351"/>
      <c r="H4" s="351"/>
      <c r="I4" s="351"/>
      <c r="J4" s="351"/>
      <c r="K4" s="174"/>
      <c r="L4" s="170"/>
    </row>
    <row r="5" spans="1:12" x14ac:dyDescent="0.25">
      <c r="A5" s="177"/>
      <c r="B5" s="178"/>
      <c r="C5" s="180"/>
      <c r="D5" s="180"/>
      <c r="E5" s="352"/>
      <c r="F5" s="352"/>
      <c r="G5" s="352"/>
      <c r="H5" s="352"/>
      <c r="I5" s="352"/>
      <c r="J5" s="352"/>
      <c r="K5" s="179"/>
      <c r="L5" s="177"/>
    </row>
    <row r="6" spans="1:12" x14ac:dyDescent="0.25">
      <c r="A6" s="129"/>
      <c r="B6" s="138"/>
      <c r="C6" s="69" t="s">
        <v>308</v>
      </c>
      <c r="D6" s="35"/>
      <c r="E6" s="353"/>
      <c r="F6" s="353"/>
      <c r="G6" s="353"/>
      <c r="H6" s="353"/>
      <c r="I6" s="353"/>
      <c r="J6" s="353"/>
      <c r="K6" s="139"/>
      <c r="L6" s="129"/>
    </row>
    <row r="7" spans="1:12" x14ac:dyDescent="0.25">
      <c r="A7" s="129"/>
      <c r="B7" s="138"/>
      <c r="C7" s="201" t="s">
        <v>307</v>
      </c>
      <c r="D7" s="34"/>
      <c r="E7" s="353"/>
      <c r="F7" s="353"/>
      <c r="G7" s="353"/>
      <c r="H7" s="353"/>
      <c r="I7" s="353"/>
      <c r="J7" s="353"/>
      <c r="K7" s="139"/>
      <c r="L7" s="129"/>
    </row>
    <row r="8" spans="1:12" x14ac:dyDescent="0.25">
      <c r="A8" s="129"/>
      <c r="B8" s="182"/>
      <c r="C8" s="176" t="str">
        <f>CONCATENATE("Precio ",Bases!C14)</f>
        <v>Precio PROTEÍNA DE TORTA DE MORINGA EN PRESENTACIÓN 30 GR</v>
      </c>
      <c r="D8" s="173" t="s">
        <v>236</v>
      </c>
      <c r="E8" s="353"/>
      <c r="F8" s="348">
        <v>8000</v>
      </c>
      <c r="G8" s="348">
        <f>(F8*Inflacion1)+F8</f>
        <v>8312</v>
      </c>
      <c r="H8" s="348">
        <f>(G8*Inflacion2)+G8</f>
        <v>8569.6720000000005</v>
      </c>
      <c r="I8" s="348">
        <f>(H8*Inflacion3)+H8</f>
        <v>8826.7621600000002</v>
      </c>
      <c r="J8" s="348">
        <f>(I8*Inflacion4)+I8</f>
        <v>9091.5650248000002</v>
      </c>
      <c r="K8" s="139"/>
      <c r="L8" s="184"/>
    </row>
    <row r="9" spans="1:12" x14ac:dyDescent="0.25">
      <c r="A9" s="129"/>
      <c r="B9" s="182"/>
      <c r="C9" s="176" t="str">
        <f>CONCATENATE("Precio ",Bases!C15)</f>
        <v>Precio PROTEÍNA DE TORTA DE MORINGA EN PRESENTACIÓN 560 GR</v>
      </c>
      <c r="D9" s="173" t="s">
        <v>236</v>
      </c>
      <c r="E9" s="353"/>
      <c r="F9" s="348">
        <v>125000</v>
      </c>
      <c r="G9" s="348">
        <f>(F9*Inflacion1)+F9</f>
        <v>129875</v>
      </c>
      <c r="H9" s="348">
        <f>(G9*Inflacion2)+G9</f>
        <v>133901.125</v>
      </c>
      <c r="I9" s="348">
        <f>(H9*Inflacion3)+H9</f>
        <v>137918.15875</v>
      </c>
      <c r="J9" s="348">
        <f>(I9*Inflacion4)+I9</f>
        <v>142055.70351250001</v>
      </c>
      <c r="K9" s="139"/>
      <c r="L9" s="184"/>
    </row>
    <row r="10" spans="1:12" x14ac:dyDescent="0.25">
      <c r="A10" s="129"/>
      <c r="B10" s="182"/>
      <c r="C10" s="176" t="str">
        <f>CONCATENATE("Precio ",Bases!C16)</f>
        <v>Precio PROTEÍNA DE TORTA DE MORINGA EN PRESENTACIÓN 900 GR</v>
      </c>
      <c r="D10" s="173" t="s">
        <v>236</v>
      </c>
      <c r="E10" s="353"/>
      <c r="F10" s="348">
        <v>180000</v>
      </c>
      <c r="G10" s="348">
        <f>(F10*Inflacion1)+F10</f>
        <v>187020</v>
      </c>
      <c r="H10" s="348">
        <f>(G10*Inflacion2)+G10</f>
        <v>192817.62</v>
      </c>
      <c r="I10" s="348">
        <f>(H10*Inflacion3)+H10</f>
        <v>198602.14859999999</v>
      </c>
      <c r="J10" s="348">
        <f>(I10*Inflacion4)+I10</f>
        <v>204560.21305799999</v>
      </c>
      <c r="K10" s="139"/>
      <c r="L10" s="184"/>
    </row>
    <row r="11" spans="1:12" x14ac:dyDescent="0.25">
      <c r="A11" s="129"/>
      <c r="B11" s="182"/>
      <c r="C11" s="176" t="str">
        <f>CONCATENATE("Precio ",Bases!C17)</f>
        <v xml:space="preserve">Precio </v>
      </c>
      <c r="D11" s="173" t="s">
        <v>236</v>
      </c>
      <c r="E11" s="353"/>
      <c r="F11" s="348"/>
      <c r="G11" s="348"/>
      <c r="H11" s="348"/>
      <c r="I11" s="348"/>
      <c r="J11" s="348"/>
      <c r="K11" s="139"/>
      <c r="L11" s="184"/>
    </row>
    <row r="12" spans="1:12" x14ac:dyDescent="0.25">
      <c r="A12" s="129"/>
      <c r="B12" s="182"/>
      <c r="C12" s="176" t="str">
        <f>CONCATENATE("Precio ",Bases!C18)</f>
        <v xml:space="preserve">Precio </v>
      </c>
      <c r="D12" s="173" t="s">
        <v>236</v>
      </c>
      <c r="E12" s="353"/>
      <c r="F12" s="348"/>
      <c r="G12" s="348"/>
      <c r="H12" s="348"/>
      <c r="I12" s="348"/>
      <c r="J12" s="348"/>
      <c r="K12" s="139"/>
      <c r="L12" s="184"/>
    </row>
    <row r="13" spans="1:12" x14ac:dyDescent="0.25">
      <c r="A13" s="129"/>
      <c r="B13" s="182"/>
      <c r="C13" s="176" t="str">
        <f>CONCATENATE("Precio ",Bases!C19)</f>
        <v xml:space="preserve">Precio </v>
      </c>
      <c r="D13" s="173" t="s">
        <v>236</v>
      </c>
      <c r="E13" s="353"/>
      <c r="F13" s="348"/>
      <c r="G13" s="348"/>
      <c r="H13" s="348"/>
      <c r="I13" s="348"/>
      <c r="J13" s="348"/>
      <c r="K13" s="139"/>
      <c r="L13" s="184"/>
    </row>
    <row r="14" spans="1:12" x14ac:dyDescent="0.25">
      <c r="A14" s="129"/>
      <c r="B14" s="182"/>
      <c r="C14" s="176" t="str">
        <f>CONCATENATE("Precio ",Bases!C20)</f>
        <v xml:space="preserve">Precio </v>
      </c>
      <c r="D14" s="173" t="s">
        <v>236</v>
      </c>
      <c r="E14" s="353"/>
      <c r="F14" s="348"/>
      <c r="G14" s="348"/>
      <c r="H14" s="348"/>
      <c r="I14" s="348"/>
      <c r="J14" s="348"/>
      <c r="K14" s="139"/>
      <c r="L14" s="184"/>
    </row>
    <row r="15" spans="1:12" x14ac:dyDescent="0.25">
      <c r="A15" s="129"/>
      <c r="B15" s="182"/>
      <c r="C15" s="176" t="str">
        <f>CONCATENATE("Precio ",Bases!C21)</f>
        <v xml:space="preserve">Precio </v>
      </c>
      <c r="D15" s="173" t="s">
        <v>236</v>
      </c>
      <c r="E15" s="353"/>
      <c r="F15" s="348"/>
      <c r="G15" s="348"/>
      <c r="H15" s="348"/>
      <c r="I15" s="348"/>
      <c r="J15" s="348"/>
      <c r="K15" s="139"/>
      <c r="L15" s="184"/>
    </row>
    <row r="16" spans="1:12" x14ac:dyDescent="0.25">
      <c r="A16" s="129"/>
      <c r="B16" s="182"/>
      <c r="C16" s="176" t="str">
        <f>CONCATENATE("Precio ",Bases!C22)</f>
        <v xml:space="preserve">Precio </v>
      </c>
      <c r="D16" s="173" t="s">
        <v>236</v>
      </c>
      <c r="E16" s="353"/>
      <c r="F16" s="348"/>
      <c r="G16" s="348"/>
      <c r="H16" s="348"/>
      <c r="I16" s="348"/>
      <c r="J16" s="348"/>
      <c r="K16" s="139"/>
      <c r="L16" s="184"/>
    </row>
    <row r="17" spans="1:12" x14ac:dyDescent="0.25">
      <c r="A17" s="129"/>
      <c r="B17" s="182"/>
      <c r="C17" s="176" t="str">
        <f>CONCATENATE("Precio ",Bases!C23)</f>
        <v xml:space="preserve">Precio </v>
      </c>
      <c r="D17" s="173" t="s">
        <v>236</v>
      </c>
      <c r="E17" s="353"/>
      <c r="F17" s="348"/>
      <c r="G17" s="348"/>
      <c r="H17" s="348"/>
      <c r="I17" s="348"/>
      <c r="J17" s="348"/>
      <c r="K17" s="139"/>
      <c r="L17" s="184"/>
    </row>
    <row r="18" spans="1:12" x14ac:dyDescent="0.25">
      <c r="A18" s="129"/>
      <c r="B18" s="138"/>
      <c r="C18" s="181" t="s">
        <v>240</v>
      </c>
      <c r="D18" s="34"/>
      <c r="E18" s="353"/>
      <c r="F18" s="353"/>
      <c r="G18" s="353"/>
      <c r="H18" s="353"/>
      <c r="I18" s="353"/>
      <c r="J18" s="353"/>
      <c r="K18" s="139"/>
      <c r="L18" s="129"/>
    </row>
    <row r="19" spans="1:12" x14ac:dyDescent="0.25">
      <c r="A19" s="177"/>
      <c r="B19" s="178"/>
      <c r="C19" s="176" t="str">
        <f>CONCATENATE("Unidades ",Bases!$C14)</f>
        <v>Unidades PROTEÍNA DE TORTA DE MORINGA EN PRESENTACIÓN 30 GR</v>
      </c>
      <c r="D19" s="173" t="s">
        <v>5</v>
      </c>
      <c r="E19" s="353"/>
      <c r="F19" s="348">
        <f>(1524000*5%)/30</f>
        <v>2540</v>
      </c>
      <c r="G19" s="348">
        <f>((1524000*5%)/30)*2</f>
        <v>5080</v>
      </c>
      <c r="H19" s="348">
        <f>+G19</f>
        <v>5080</v>
      </c>
      <c r="I19" s="348">
        <f>((1524000*5%)/30)*3</f>
        <v>7620</v>
      </c>
      <c r="J19" s="348">
        <f>+I19</f>
        <v>7620</v>
      </c>
      <c r="K19" s="179"/>
      <c r="L19" s="177"/>
    </row>
    <row r="20" spans="1:12" x14ac:dyDescent="0.25">
      <c r="A20" s="177"/>
      <c r="B20" s="178"/>
      <c r="C20" s="176" t="str">
        <f>CONCATENATE("Unidades ",Bases!$C15)</f>
        <v>Unidades PROTEÍNA DE TORTA DE MORINGA EN PRESENTACIÓN 560 GR</v>
      </c>
      <c r="D20" s="173" t="s">
        <v>5</v>
      </c>
      <c r="E20" s="353"/>
      <c r="F20" s="348">
        <f>(1524000*47.5%)/560</f>
        <v>1292.6785714285713</v>
      </c>
      <c r="G20" s="348">
        <f>((1524000*47.5%)/560)*2</f>
        <v>2585.3571428571427</v>
      </c>
      <c r="H20" s="348">
        <f>+G20</f>
        <v>2585.3571428571427</v>
      </c>
      <c r="I20" s="348">
        <f>((1524000*47.5%)/560)*3</f>
        <v>3878.0357142857138</v>
      </c>
      <c r="J20" s="348">
        <f>+I20</f>
        <v>3878.0357142857138</v>
      </c>
      <c r="K20" s="179"/>
      <c r="L20" s="177"/>
    </row>
    <row r="21" spans="1:12" x14ac:dyDescent="0.25">
      <c r="A21" s="177"/>
      <c r="B21" s="178"/>
      <c r="C21" s="176" t="str">
        <f>CONCATENATE("Unidades ",Bases!$C16)</f>
        <v>Unidades PROTEÍNA DE TORTA DE MORINGA EN PRESENTACIÓN 900 GR</v>
      </c>
      <c r="D21" s="173" t="s">
        <v>5</v>
      </c>
      <c r="E21" s="353"/>
      <c r="F21" s="348">
        <f>(1524000*47.5%)/900</f>
        <v>804.33333333333337</v>
      </c>
      <c r="G21" s="348">
        <f>((1524000*47.5%)/900)*2</f>
        <v>1608.6666666666667</v>
      </c>
      <c r="H21" s="348">
        <f>+G21</f>
        <v>1608.6666666666667</v>
      </c>
      <c r="I21" s="348">
        <f>((1524000*47.5%)/900)*3</f>
        <v>2413</v>
      </c>
      <c r="J21" s="348">
        <f>+I21</f>
        <v>2413</v>
      </c>
      <c r="K21" s="179"/>
      <c r="L21" s="177"/>
    </row>
    <row r="22" spans="1:12" x14ac:dyDescent="0.25">
      <c r="A22" s="177"/>
      <c r="B22" s="178"/>
      <c r="C22" s="176" t="str">
        <f>CONCATENATE("Unidades ",Bases!$C17)</f>
        <v xml:space="preserve">Unidades </v>
      </c>
      <c r="D22" s="173" t="s">
        <v>5</v>
      </c>
      <c r="E22" s="353"/>
      <c r="F22" s="348"/>
      <c r="G22" s="348"/>
      <c r="H22" s="348"/>
      <c r="I22" s="348"/>
      <c r="J22" s="348"/>
      <c r="K22" s="179"/>
      <c r="L22" s="177"/>
    </row>
    <row r="23" spans="1:12" x14ac:dyDescent="0.25">
      <c r="A23" s="177"/>
      <c r="B23" s="178"/>
      <c r="C23" s="176" t="str">
        <f>CONCATENATE("Unidades ",Bases!$C18)</f>
        <v xml:space="preserve">Unidades </v>
      </c>
      <c r="D23" s="173" t="s">
        <v>5</v>
      </c>
      <c r="E23" s="353"/>
      <c r="F23" s="348"/>
      <c r="G23" s="348"/>
      <c r="H23" s="348"/>
      <c r="I23" s="348"/>
      <c r="J23" s="348"/>
      <c r="K23" s="179"/>
      <c r="L23" s="177"/>
    </row>
    <row r="24" spans="1:12" x14ac:dyDescent="0.25">
      <c r="A24" s="177"/>
      <c r="B24" s="178"/>
      <c r="C24" s="176" t="str">
        <f>CONCATENATE("Unidades ",Bases!$C19)</f>
        <v xml:space="preserve">Unidades </v>
      </c>
      <c r="D24" s="173" t="s">
        <v>5</v>
      </c>
      <c r="E24" s="353"/>
      <c r="F24" s="348"/>
      <c r="G24" s="348"/>
      <c r="H24" s="348"/>
      <c r="I24" s="348"/>
      <c r="J24" s="348"/>
      <c r="K24" s="179"/>
      <c r="L24" s="177"/>
    </row>
    <row r="25" spans="1:12" x14ac:dyDescent="0.25">
      <c r="A25" s="177"/>
      <c r="B25" s="178"/>
      <c r="C25" s="176" t="str">
        <f>CONCATENATE("Unidades ",Bases!$C20)</f>
        <v xml:space="preserve">Unidades </v>
      </c>
      <c r="D25" s="173" t="s">
        <v>5</v>
      </c>
      <c r="E25" s="353"/>
      <c r="F25" s="348"/>
      <c r="G25" s="348"/>
      <c r="H25" s="348"/>
      <c r="I25" s="348"/>
      <c r="J25" s="348"/>
      <c r="K25" s="179"/>
      <c r="L25" s="177"/>
    </row>
    <row r="26" spans="1:12" x14ac:dyDescent="0.25">
      <c r="A26" s="177"/>
      <c r="B26" s="178"/>
      <c r="C26" s="176" t="str">
        <f>CONCATENATE("Unidades ",Bases!$C21)</f>
        <v xml:space="preserve">Unidades </v>
      </c>
      <c r="D26" s="173" t="s">
        <v>5</v>
      </c>
      <c r="E26" s="353"/>
      <c r="F26" s="348"/>
      <c r="G26" s="348"/>
      <c r="H26" s="348"/>
      <c r="I26" s="348"/>
      <c r="J26" s="348"/>
      <c r="K26" s="179"/>
      <c r="L26" s="177"/>
    </row>
    <row r="27" spans="1:12" x14ac:dyDescent="0.25">
      <c r="A27" s="177"/>
      <c r="B27" s="178"/>
      <c r="C27" s="176" t="str">
        <f>CONCATENATE("Unidades ",Bases!$C22)</f>
        <v xml:space="preserve">Unidades </v>
      </c>
      <c r="D27" s="173" t="s">
        <v>5</v>
      </c>
      <c r="E27" s="353"/>
      <c r="F27" s="348"/>
      <c r="G27" s="348"/>
      <c r="H27" s="348"/>
      <c r="I27" s="348"/>
      <c r="J27" s="348"/>
      <c r="K27" s="179"/>
      <c r="L27" s="177"/>
    </row>
    <row r="28" spans="1:12" x14ac:dyDescent="0.25">
      <c r="A28" s="177"/>
      <c r="B28" s="178"/>
      <c r="C28" s="176" t="str">
        <f>CONCATENATE("Unidades ",Bases!$C23)</f>
        <v xml:space="preserve">Unidades </v>
      </c>
      <c r="D28" s="173" t="s">
        <v>5</v>
      </c>
      <c r="E28" s="353"/>
      <c r="F28" s="348"/>
      <c r="G28" s="348"/>
      <c r="H28" s="348"/>
      <c r="I28" s="348"/>
      <c r="J28" s="348"/>
      <c r="K28" s="179"/>
      <c r="L28" s="177"/>
    </row>
    <row r="29" spans="1:12" ht="12.75" customHeight="1" x14ac:dyDescent="0.25">
      <c r="A29" s="177"/>
      <c r="B29" s="178"/>
      <c r="C29" s="201" t="s">
        <v>485</v>
      </c>
      <c r="D29" s="198"/>
      <c r="E29" s="353"/>
      <c r="F29" s="353"/>
      <c r="G29" s="353"/>
      <c r="H29" s="353"/>
      <c r="I29" s="353"/>
      <c r="J29" s="353"/>
      <c r="K29" s="179"/>
      <c r="L29" s="177"/>
    </row>
    <row r="30" spans="1:12" ht="12.75" customHeight="1" x14ac:dyDescent="0.25">
      <c r="A30" s="177"/>
      <c r="B30" s="178"/>
      <c r="C30" s="202" t="s">
        <v>480</v>
      </c>
      <c r="D30" s="232" t="s">
        <v>5</v>
      </c>
      <c r="E30" s="353"/>
      <c r="F30" s="348">
        <v>6400</v>
      </c>
      <c r="G30" s="348">
        <v>6400</v>
      </c>
      <c r="H30" s="348">
        <v>6400</v>
      </c>
      <c r="I30" s="348">
        <v>6400</v>
      </c>
      <c r="J30" s="348">
        <v>6400</v>
      </c>
      <c r="K30" s="179"/>
      <c r="L30" s="177"/>
    </row>
    <row r="31" spans="1:12" ht="12.75" customHeight="1" x14ac:dyDescent="0.25">
      <c r="A31" s="177"/>
      <c r="B31" s="178"/>
      <c r="C31" s="202" t="s">
        <v>481</v>
      </c>
      <c r="D31" s="232" t="s">
        <v>5</v>
      </c>
      <c r="E31" s="353"/>
      <c r="F31" s="348">
        <v>1700</v>
      </c>
      <c r="G31" s="348">
        <v>3400</v>
      </c>
      <c r="H31" s="348">
        <f>+G31</f>
        <v>3400</v>
      </c>
      <c r="I31" s="348">
        <v>5100</v>
      </c>
      <c r="J31" s="348">
        <f>+I31</f>
        <v>5100</v>
      </c>
      <c r="K31" s="179"/>
      <c r="L31" s="177"/>
    </row>
    <row r="32" spans="1:12" ht="12.75" customHeight="1" x14ac:dyDescent="0.25">
      <c r="A32" s="177"/>
      <c r="B32" s="178"/>
      <c r="C32" s="202" t="s">
        <v>482</v>
      </c>
      <c r="D32" s="232" t="s">
        <v>0</v>
      </c>
      <c r="E32" s="353"/>
      <c r="F32" s="354">
        <f>IF(F30=0,0,(+F31/F30))</f>
        <v>0.265625</v>
      </c>
      <c r="G32" s="354">
        <f>IF(G30=0,0,(+G31/G30))</f>
        <v>0.53125</v>
      </c>
      <c r="H32" s="354">
        <f>IF(H30=0,0,(+H31/H30))</f>
        <v>0.53125</v>
      </c>
      <c r="I32" s="354">
        <f>IF(I30=0,0,(+I31/I30))</f>
        <v>0.796875</v>
      </c>
      <c r="J32" s="354">
        <f>IF(J30=0,0,(+J31/J30))</f>
        <v>0.796875</v>
      </c>
      <c r="K32" s="179"/>
      <c r="L32" s="177"/>
    </row>
    <row r="33" spans="1:12" ht="12.75" customHeight="1" x14ac:dyDescent="0.25">
      <c r="A33" s="177"/>
      <c r="B33" s="178"/>
      <c r="C33" s="202" t="s">
        <v>486</v>
      </c>
      <c r="D33" s="233"/>
      <c r="E33" s="353"/>
      <c r="F33" s="353"/>
      <c r="G33" s="353"/>
      <c r="H33" s="353"/>
      <c r="I33" s="353"/>
      <c r="J33" s="353"/>
      <c r="K33" s="179"/>
      <c r="L33" s="177"/>
    </row>
    <row r="34" spans="1:12" x14ac:dyDescent="0.25">
      <c r="A34" s="129"/>
      <c r="B34" s="138"/>
      <c r="C34" s="181" t="s">
        <v>241</v>
      </c>
      <c r="D34" s="34"/>
      <c r="E34" s="353"/>
      <c r="F34" s="353"/>
      <c r="G34" s="353"/>
      <c r="H34" s="353"/>
      <c r="I34" s="353"/>
      <c r="J34" s="353"/>
      <c r="K34" s="139"/>
      <c r="L34" s="129"/>
    </row>
    <row r="35" spans="1:12" x14ac:dyDescent="0.25">
      <c r="A35" s="129"/>
      <c r="B35" s="182"/>
      <c r="C35" s="176" t="s">
        <v>139</v>
      </c>
      <c r="D35" s="173" t="s">
        <v>3</v>
      </c>
      <c r="E35" s="353"/>
      <c r="F35" s="355">
        <f>IF(SUM(F19:F28)=0,0,SUMPRODUCT(F8:F17,F19:F28)/SUM(F19:F28))</f>
        <v>70451.581349853281</v>
      </c>
      <c r="G35" s="355">
        <f>IF(SUM(G19:G28)=0,0,SUMPRODUCT(G8:G17,G19:G28)/SUM(G19:G28))</f>
        <v>73199.193022497566</v>
      </c>
      <c r="H35" s="355">
        <f>IF(SUM(H19:H28)=0,0,SUMPRODUCT(H8:H17,H19:H28)/SUM(H19:H28))</f>
        <v>75468.368006194985</v>
      </c>
      <c r="I35" s="355">
        <f>IF(SUM(I19:I28)=0,0,SUMPRODUCT(I8:I17,I19:I28)/SUM(I19:I28))</f>
        <v>77732.419046380834</v>
      </c>
      <c r="J35" s="355">
        <f>IF(SUM(J19:J28)=0,0,SUMPRODUCT(J8:J17,J19:J28)/SUM(J19:J28))</f>
        <v>80064.391617772257</v>
      </c>
      <c r="K35" s="139"/>
      <c r="L35" s="184"/>
    </row>
    <row r="36" spans="1:12" x14ac:dyDescent="0.25">
      <c r="A36" s="177"/>
      <c r="B36" s="178"/>
      <c r="C36" s="176" t="s">
        <v>54</v>
      </c>
      <c r="D36" s="173" t="s">
        <v>5</v>
      </c>
      <c r="E36" s="353"/>
      <c r="F36" s="356">
        <f>SUM(F19:F28)</f>
        <v>4637.0119047619046</v>
      </c>
      <c r="G36" s="356">
        <f>SUM(G19:G28)</f>
        <v>9274.0238095238092</v>
      </c>
      <c r="H36" s="356">
        <f>SUM(H19:H28)</f>
        <v>9274.0238095238092</v>
      </c>
      <c r="I36" s="356">
        <f>SUM(I19:I28)</f>
        <v>13911.035714285714</v>
      </c>
      <c r="J36" s="356">
        <f>SUM(J19:J28)</f>
        <v>13911.035714285714</v>
      </c>
      <c r="K36" s="179"/>
      <c r="L36" s="177"/>
    </row>
    <row r="37" spans="1:12" x14ac:dyDescent="0.25">
      <c r="A37" s="129"/>
      <c r="B37" s="138"/>
      <c r="C37" s="176" t="s">
        <v>54</v>
      </c>
      <c r="D37" s="173" t="s">
        <v>3</v>
      </c>
      <c r="E37" s="353"/>
      <c r="F37" s="357">
        <f>(F8*F19)+(F9*F20)+(F10*F21)+(F11*F22)+(F12*F23)+(F13*F24)+(F14*F25)+(F15*F26)+(F16*F27)+(F17*F28)</f>
        <v>326684821.4285714</v>
      </c>
      <c r="G37" s="357">
        <f>(G8*G19)+(G9*G20)+(G10*G21)+(G11*G22)+(G12*G23)+(G13*G24)+(G14*G25)+(G15*G26)+(G16*G27)+(G17*G28)</f>
        <v>678851058.92857146</v>
      </c>
      <c r="H37" s="357">
        <f>(H8*H19)+(H9*H20)+(H10*H21)+(H11*H22)+(H12*H23)+(H13*H24)+(H14*H25)+(H15*H26)+(H16*H27)+(H17*H28)</f>
        <v>699895441.75535715</v>
      </c>
      <c r="I37" s="357">
        <f>(I8*I19)+(I9*I20)+(I10*I21)+(I11*I22)+(I12*I23)+(I13*I24)+(I14*I25)+(I15*I26)+(I16*I27)+(I17*I28)</f>
        <v>1081338457.5120268</v>
      </c>
      <c r="J37" s="357">
        <f>(J8*J19)+(J9*J20)+(J10*J21)+(J11*J22)+(J12*J23)+(J13*J24)+(J14*J25)+(J15*J26)+(J16*J27)+(J17*J28)</f>
        <v>1113778611.2373877</v>
      </c>
      <c r="K37" s="139"/>
      <c r="L37" s="129"/>
    </row>
    <row r="38" spans="1:12" x14ac:dyDescent="0.25">
      <c r="A38" s="129"/>
      <c r="B38" s="138"/>
      <c r="C38" s="181" t="s">
        <v>140</v>
      </c>
      <c r="D38" s="35"/>
      <c r="E38" s="353"/>
      <c r="F38" s="353"/>
      <c r="G38" s="353"/>
      <c r="H38" s="353"/>
      <c r="I38" s="353"/>
      <c r="J38" s="353"/>
      <c r="K38" s="139"/>
      <c r="L38" s="129"/>
    </row>
    <row r="39" spans="1:12" x14ac:dyDescent="0.25">
      <c r="A39" s="129"/>
      <c r="B39" s="138"/>
      <c r="C39" s="176" t="s">
        <v>8</v>
      </c>
      <c r="D39" s="173" t="s">
        <v>9</v>
      </c>
      <c r="E39" s="353"/>
      <c r="F39" s="358">
        <v>0.1</v>
      </c>
      <c r="G39" s="358">
        <v>0.1</v>
      </c>
      <c r="H39" s="358">
        <v>0.05</v>
      </c>
      <c r="I39" s="358">
        <v>0.05</v>
      </c>
      <c r="J39" s="358">
        <v>0.02</v>
      </c>
      <c r="K39" s="139"/>
      <c r="L39" s="129"/>
    </row>
    <row r="40" spans="1:12" x14ac:dyDescent="0.25">
      <c r="A40" s="129"/>
      <c r="B40" s="178"/>
      <c r="C40" s="176" t="s">
        <v>10</v>
      </c>
      <c r="D40" s="173" t="s">
        <v>3</v>
      </c>
      <c r="E40" s="353"/>
      <c r="F40" s="357">
        <f>F37*F39</f>
        <v>32668482.142857142</v>
      </c>
      <c r="G40" s="357">
        <f>G37*G39</f>
        <v>67885105.892857149</v>
      </c>
      <c r="H40" s="357">
        <f>H37*H39</f>
        <v>34994772.087767862</v>
      </c>
      <c r="I40" s="357">
        <f>I37*I39</f>
        <v>54066922.875601344</v>
      </c>
      <c r="J40" s="357">
        <f>J37*J39</f>
        <v>22275572.224747755</v>
      </c>
      <c r="K40" s="139"/>
      <c r="L40" s="177"/>
    </row>
    <row r="41" spans="1:12" x14ac:dyDescent="0.25">
      <c r="A41" s="129"/>
      <c r="B41" s="180"/>
      <c r="C41" s="69" t="s">
        <v>304</v>
      </c>
      <c r="D41" s="233"/>
      <c r="E41" s="353"/>
      <c r="F41" s="359"/>
      <c r="G41" s="359"/>
      <c r="H41" s="359"/>
      <c r="I41" s="359"/>
      <c r="J41" s="359"/>
      <c r="K41" s="34"/>
      <c r="L41" s="177"/>
    </row>
    <row r="42" spans="1:12" x14ac:dyDescent="0.25">
      <c r="A42" s="129"/>
      <c r="B42" s="180"/>
      <c r="C42" s="202" t="s">
        <v>342</v>
      </c>
      <c r="D42" s="232" t="s">
        <v>3</v>
      </c>
      <c r="E42" s="353"/>
      <c r="F42" s="348"/>
      <c r="G42" s="348"/>
      <c r="H42" s="348"/>
      <c r="I42" s="348"/>
      <c r="J42" s="348"/>
      <c r="K42" s="34"/>
      <c r="L42" s="177"/>
    </row>
    <row r="43" spans="1:12" ht="4.95" customHeight="1" thickBot="1" x14ac:dyDescent="0.3">
      <c r="A43" s="129"/>
      <c r="B43" s="180"/>
      <c r="C43" s="510"/>
      <c r="D43" s="233"/>
      <c r="E43" s="353"/>
      <c r="F43" s="353"/>
      <c r="G43" s="233"/>
      <c r="H43" s="353"/>
      <c r="I43" s="353"/>
      <c r="J43" s="353"/>
      <c r="K43" s="34"/>
      <c r="L43" s="177"/>
    </row>
    <row r="44" spans="1:12" ht="60" customHeight="1" thickBot="1" x14ac:dyDescent="0.3">
      <c r="A44" s="129"/>
      <c r="B44" s="180"/>
      <c r="C44" s="511" t="s">
        <v>483</v>
      </c>
      <c r="D44" s="567"/>
      <c r="E44" s="568"/>
      <c r="F44" s="568"/>
      <c r="G44" s="568"/>
      <c r="H44" s="568"/>
      <c r="I44" s="568"/>
      <c r="J44" s="568"/>
      <c r="K44" s="569"/>
      <c r="L44" s="177"/>
    </row>
    <row r="45" spans="1:12" x14ac:dyDescent="0.25">
      <c r="A45" s="129"/>
      <c r="B45" s="129"/>
      <c r="C45" s="205"/>
      <c r="D45" s="206"/>
      <c r="E45" s="360"/>
      <c r="F45" s="360"/>
      <c r="G45" s="360"/>
      <c r="H45" s="360"/>
      <c r="I45" s="360"/>
      <c r="J45" s="360"/>
      <c r="K45" s="129"/>
      <c r="L45" s="129"/>
    </row>
    <row r="46" spans="1:12" hidden="1" x14ac:dyDescent="0.25">
      <c r="A46" s="129"/>
      <c r="L46" s="184"/>
    </row>
    <row r="47" spans="1:12" hidden="1" x14ac:dyDescent="0.25">
      <c r="A47" s="129"/>
      <c r="L47" s="184"/>
    </row>
    <row r="48" spans="1:12" hidden="1" x14ac:dyDescent="0.25">
      <c r="A48" s="129"/>
      <c r="L48" s="184"/>
    </row>
    <row r="49" spans="1:12" hidden="1" x14ac:dyDescent="0.25">
      <c r="A49" s="129"/>
      <c r="L49" s="184"/>
    </row>
    <row r="50" spans="1:12" hidden="1" x14ac:dyDescent="0.25">
      <c r="A50" s="129"/>
      <c r="L50" s="184"/>
    </row>
    <row r="51" spans="1:12" hidden="1" x14ac:dyDescent="0.25">
      <c r="A51" s="129"/>
      <c r="L51" s="184"/>
    </row>
    <row r="52" spans="1:12" hidden="1" x14ac:dyDescent="0.25">
      <c r="A52" s="129"/>
      <c r="L52" s="184"/>
    </row>
    <row r="53" spans="1:12" hidden="1" x14ac:dyDescent="0.25">
      <c r="A53" s="129"/>
      <c r="B53" s="34"/>
      <c r="C53" s="207"/>
      <c r="D53" s="208"/>
      <c r="E53" s="353"/>
      <c r="F53" s="353"/>
      <c r="G53" s="353"/>
      <c r="H53" s="353"/>
      <c r="I53" s="353"/>
      <c r="J53" s="353"/>
      <c r="K53" s="34"/>
      <c r="L53" s="184"/>
    </row>
    <row r="54" spans="1:12" hidden="1" x14ac:dyDescent="0.25">
      <c r="A54" s="129"/>
      <c r="B54" s="34"/>
      <c r="C54" s="207"/>
      <c r="D54" s="208"/>
      <c r="E54" s="353"/>
      <c r="F54" s="353"/>
      <c r="G54" s="353"/>
      <c r="H54" s="353"/>
      <c r="I54" s="353"/>
      <c r="J54" s="353"/>
      <c r="K54" s="34"/>
      <c r="L54" s="184"/>
    </row>
    <row r="55" spans="1:12" hidden="1" x14ac:dyDescent="0.25">
      <c r="A55" s="129"/>
      <c r="B55" s="34"/>
      <c r="C55" s="207"/>
      <c r="D55" s="208"/>
      <c r="E55" s="353"/>
      <c r="F55" s="353"/>
      <c r="G55" s="353"/>
      <c r="H55" s="353"/>
      <c r="I55" s="353"/>
      <c r="J55" s="353"/>
      <c r="K55" s="34"/>
      <c r="L55" s="184"/>
    </row>
    <row r="56" spans="1:12" hidden="1" x14ac:dyDescent="0.25">
      <c r="A56" s="129"/>
      <c r="B56" s="34"/>
      <c r="C56" s="207"/>
      <c r="D56" s="208"/>
      <c r="E56" s="353"/>
      <c r="F56" s="353"/>
      <c r="G56" s="353"/>
      <c r="H56" s="353"/>
      <c r="I56" s="353"/>
      <c r="J56" s="353"/>
      <c r="K56" s="34"/>
      <c r="L56" s="129"/>
    </row>
    <row r="57" spans="1:12" hidden="1" x14ac:dyDescent="0.25">
      <c r="A57" s="129"/>
      <c r="B57" s="34"/>
      <c r="C57" s="207"/>
      <c r="D57" s="208"/>
      <c r="E57" s="353"/>
      <c r="F57" s="353"/>
      <c r="G57" s="353"/>
      <c r="H57" s="353"/>
      <c r="I57" s="353"/>
      <c r="J57" s="353"/>
      <c r="K57" s="34"/>
      <c r="L57" s="129"/>
    </row>
    <row r="58" spans="1:12" hidden="1" x14ac:dyDescent="0.25">
      <c r="A58" s="129"/>
      <c r="B58" s="34"/>
      <c r="C58" s="207"/>
      <c r="D58" s="208"/>
      <c r="E58" s="353"/>
      <c r="F58" s="353"/>
      <c r="G58" s="353"/>
      <c r="H58" s="353"/>
      <c r="I58" s="353"/>
      <c r="J58" s="353"/>
      <c r="K58" s="34"/>
      <c r="L58" s="129"/>
    </row>
    <row r="59" spans="1:12" hidden="1" x14ac:dyDescent="0.25">
      <c r="A59" s="129"/>
      <c r="B59" s="34"/>
      <c r="C59" s="207"/>
      <c r="D59" s="208"/>
      <c r="E59" s="353"/>
      <c r="F59" s="353"/>
      <c r="G59" s="353"/>
      <c r="H59" s="353"/>
      <c r="I59" s="353"/>
      <c r="J59" s="353"/>
      <c r="K59" s="34"/>
      <c r="L59" s="184"/>
    </row>
    <row r="60" spans="1:12" hidden="1" x14ac:dyDescent="0.25">
      <c r="A60" s="129"/>
      <c r="B60" s="34"/>
      <c r="C60" s="34"/>
      <c r="D60" s="34"/>
      <c r="E60" s="353"/>
      <c r="F60" s="353"/>
      <c r="G60" s="353"/>
      <c r="H60" s="353"/>
      <c r="I60" s="353"/>
      <c r="J60" s="353"/>
      <c r="K60" s="34"/>
      <c r="L60" s="184"/>
    </row>
    <row r="61" spans="1:12" hidden="1" x14ac:dyDescent="0.25">
      <c r="A61" s="129"/>
      <c r="B61" s="34"/>
      <c r="C61" s="34"/>
      <c r="D61" s="34"/>
      <c r="E61" s="353"/>
      <c r="F61" s="353"/>
      <c r="G61" s="353"/>
      <c r="H61" s="353"/>
      <c r="I61" s="353"/>
      <c r="J61" s="353"/>
      <c r="K61" s="34"/>
      <c r="L61" s="184"/>
    </row>
    <row r="62" spans="1:12" hidden="1" x14ac:dyDescent="0.25">
      <c r="A62" s="129"/>
      <c r="B62" s="34"/>
      <c r="C62" s="34"/>
      <c r="D62" s="34"/>
      <c r="E62" s="353"/>
      <c r="F62" s="353"/>
      <c r="G62" s="353"/>
      <c r="H62" s="353"/>
      <c r="I62" s="353"/>
      <c r="J62" s="353"/>
      <c r="K62" s="34"/>
      <c r="L62" s="184"/>
    </row>
    <row r="63" spans="1:12" hidden="1" x14ac:dyDescent="0.25">
      <c r="A63" s="129"/>
      <c r="B63" s="34"/>
      <c r="C63" s="34"/>
      <c r="D63" s="34"/>
      <c r="E63" s="353"/>
      <c r="F63" s="353"/>
      <c r="G63" s="353"/>
      <c r="H63" s="353"/>
      <c r="I63" s="353"/>
      <c r="J63" s="353"/>
      <c r="K63" s="34"/>
      <c r="L63" s="184"/>
    </row>
    <row r="64" spans="1:12" hidden="1" x14ac:dyDescent="0.25">
      <c r="A64" s="129"/>
      <c r="B64" s="34"/>
      <c r="C64" s="34"/>
      <c r="D64" s="34"/>
      <c r="E64" s="353"/>
      <c r="F64" s="353"/>
      <c r="G64" s="353"/>
      <c r="H64" s="353"/>
      <c r="I64" s="353"/>
      <c r="J64" s="353"/>
      <c r="K64" s="34"/>
      <c r="L64" s="184"/>
    </row>
    <row r="65" spans="1:12" hidden="1" x14ac:dyDescent="0.25">
      <c r="A65" s="129"/>
      <c r="B65" s="34"/>
      <c r="C65" s="34"/>
      <c r="D65" s="34"/>
      <c r="E65" s="353"/>
      <c r="F65" s="353"/>
      <c r="G65" s="353"/>
      <c r="H65" s="353"/>
      <c r="I65" s="353"/>
      <c r="J65" s="353"/>
      <c r="K65" s="34"/>
      <c r="L65" s="184"/>
    </row>
    <row r="66" spans="1:12" hidden="1" x14ac:dyDescent="0.25">
      <c r="A66" s="129"/>
      <c r="B66" s="34"/>
      <c r="C66" s="34"/>
      <c r="D66" s="34"/>
      <c r="E66" s="353"/>
      <c r="F66" s="353"/>
      <c r="G66" s="353"/>
      <c r="H66" s="353"/>
      <c r="I66" s="353"/>
      <c r="J66" s="353"/>
      <c r="K66" s="34"/>
      <c r="L66" s="184"/>
    </row>
    <row r="67" spans="1:12" hidden="1" x14ac:dyDescent="0.25">
      <c r="A67" s="129"/>
      <c r="B67" s="34"/>
      <c r="C67" s="34"/>
      <c r="D67" s="34"/>
      <c r="E67" s="353"/>
      <c r="F67" s="353"/>
      <c r="G67" s="353"/>
      <c r="H67" s="353"/>
      <c r="I67" s="353"/>
      <c r="J67" s="353"/>
      <c r="K67" s="34"/>
      <c r="L67" s="184"/>
    </row>
    <row r="68" spans="1:12" hidden="1" x14ac:dyDescent="0.25">
      <c r="A68" s="129"/>
      <c r="B68" s="34"/>
      <c r="C68" s="34"/>
      <c r="D68" s="34"/>
      <c r="E68" s="353"/>
      <c r="F68" s="353"/>
      <c r="G68" s="353"/>
      <c r="H68" s="353"/>
      <c r="I68" s="353"/>
      <c r="J68" s="353"/>
      <c r="K68" s="34"/>
      <c r="L68" s="184"/>
    </row>
    <row r="69" spans="1:12" hidden="1" x14ac:dyDescent="0.25">
      <c r="A69" s="129"/>
      <c r="B69" s="34"/>
      <c r="C69" s="34"/>
      <c r="D69" s="34"/>
      <c r="E69" s="353"/>
      <c r="F69" s="353"/>
      <c r="G69" s="353"/>
      <c r="H69" s="353"/>
      <c r="I69" s="353"/>
      <c r="J69" s="353"/>
      <c r="K69" s="34"/>
      <c r="L69" s="184"/>
    </row>
    <row r="70" spans="1:12" hidden="1" x14ac:dyDescent="0.25">
      <c r="A70" s="129"/>
      <c r="B70" s="34"/>
      <c r="C70" s="34"/>
      <c r="D70" s="34"/>
      <c r="E70" s="353"/>
      <c r="F70" s="353"/>
      <c r="G70" s="353"/>
      <c r="H70" s="353"/>
      <c r="I70" s="353"/>
      <c r="J70" s="353"/>
      <c r="K70" s="34"/>
      <c r="L70" s="184"/>
    </row>
    <row r="71" spans="1:12" hidden="1" x14ac:dyDescent="0.25">
      <c r="A71" s="129"/>
      <c r="B71" s="34"/>
      <c r="C71" s="34"/>
      <c r="D71" s="34"/>
      <c r="E71" s="353"/>
      <c r="F71" s="353"/>
      <c r="G71" s="353"/>
      <c r="H71" s="353"/>
      <c r="I71" s="353"/>
      <c r="J71" s="353"/>
      <c r="K71" s="34"/>
      <c r="L71" s="184"/>
    </row>
    <row r="72" spans="1:12" hidden="1" x14ac:dyDescent="0.25">
      <c r="A72" s="129"/>
      <c r="B72" s="34"/>
      <c r="C72" s="34"/>
      <c r="D72" s="34"/>
      <c r="E72" s="353"/>
      <c r="F72" s="353"/>
      <c r="G72" s="353"/>
      <c r="H72" s="353"/>
      <c r="I72" s="353"/>
      <c r="J72" s="353"/>
      <c r="K72" s="34"/>
      <c r="L72" s="184"/>
    </row>
    <row r="73" spans="1:12" hidden="1" x14ac:dyDescent="0.25">
      <c r="A73" s="129"/>
      <c r="B73" s="34"/>
      <c r="C73" s="34"/>
      <c r="D73" s="34"/>
      <c r="E73" s="353"/>
      <c r="F73" s="353"/>
      <c r="G73" s="353"/>
      <c r="H73" s="353"/>
      <c r="I73" s="353"/>
      <c r="J73" s="353"/>
      <c r="K73" s="34"/>
      <c r="L73" s="184"/>
    </row>
    <row r="74" spans="1:12" hidden="1" x14ac:dyDescent="0.25">
      <c r="A74" s="129"/>
      <c r="B74" s="34"/>
      <c r="C74" s="34"/>
      <c r="D74" s="34"/>
      <c r="E74" s="353"/>
      <c r="F74" s="353"/>
      <c r="G74" s="353"/>
      <c r="H74" s="353"/>
      <c r="I74" s="353"/>
      <c r="J74" s="353"/>
      <c r="K74" s="34"/>
      <c r="L74" s="129"/>
    </row>
    <row r="75" spans="1:12" hidden="1" x14ac:dyDescent="0.25">
      <c r="A75" s="129"/>
      <c r="B75" s="34"/>
      <c r="C75" s="34"/>
      <c r="D75" s="34"/>
      <c r="E75" s="353"/>
      <c r="F75" s="353"/>
      <c r="G75" s="353"/>
      <c r="H75" s="353"/>
      <c r="I75" s="353"/>
      <c r="J75" s="353"/>
      <c r="K75" s="34"/>
      <c r="L75" s="187"/>
    </row>
    <row r="76" spans="1:12" hidden="1" x14ac:dyDescent="0.25">
      <c r="A76" s="129"/>
      <c r="B76" s="34"/>
      <c r="C76" s="34"/>
      <c r="D76" s="34"/>
      <c r="E76" s="353"/>
      <c r="F76" s="353"/>
      <c r="G76" s="353"/>
      <c r="H76" s="353"/>
      <c r="I76" s="353"/>
      <c r="J76" s="353"/>
      <c r="K76" s="34"/>
      <c r="L76" s="187"/>
    </row>
    <row r="77" spans="1:12" hidden="1" x14ac:dyDescent="0.25">
      <c r="A77" s="129"/>
      <c r="B77" s="34"/>
      <c r="C77" s="34"/>
      <c r="D77" s="34"/>
      <c r="E77" s="353"/>
      <c r="F77" s="353"/>
      <c r="G77" s="353"/>
      <c r="H77" s="353"/>
      <c r="I77" s="353"/>
      <c r="J77" s="353"/>
      <c r="K77" s="34"/>
      <c r="L77" s="187"/>
    </row>
    <row r="78" spans="1:12" hidden="1" x14ac:dyDescent="0.25">
      <c r="A78" s="129"/>
      <c r="B78" s="34"/>
      <c r="C78" s="34"/>
      <c r="D78" s="34"/>
      <c r="E78" s="353"/>
      <c r="F78" s="353"/>
      <c r="G78" s="353"/>
      <c r="H78" s="353"/>
      <c r="I78" s="353"/>
      <c r="J78" s="353"/>
      <c r="K78" s="34"/>
      <c r="L78" s="129"/>
    </row>
    <row r="79" spans="1:12" hidden="1" x14ac:dyDescent="0.25">
      <c r="A79" s="129"/>
      <c r="B79" s="34"/>
      <c r="C79" s="34"/>
      <c r="D79" s="34"/>
      <c r="E79" s="353"/>
      <c r="F79" s="353"/>
      <c r="G79" s="353"/>
      <c r="H79" s="353"/>
      <c r="I79" s="353"/>
      <c r="J79" s="353"/>
      <c r="K79" s="34"/>
      <c r="L79" s="129"/>
    </row>
    <row r="80" spans="1:12" hidden="1" x14ac:dyDescent="0.25">
      <c r="A80" s="129"/>
      <c r="B80" s="34"/>
      <c r="C80" s="34"/>
      <c r="D80" s="34"/>
      <c r="E80" s="353"/>
      <c r="F80" s="353"/>
      <c r="G80" s="353"/>
      <c r="H80" s="353"/>
      <c r="I80" s="353"/>
      <c r="J80" s="353"/>
      <c r="K80" s="34"/>
      <c r="L80" s="129"/>
    </row>
    <row r="81" spans="1:12" hidden="1" x14ac:dyDescent="0.25">
      <c r="A81" s="129"/>
      <c r="B81" s="34"/>
      <c r="C81" s="34"/>
      <c r="D81" s="34"/>
      <c r="E81" s="353"/>
      <c r="F81" s="353"/>
      <c r="G81" s="353"/>
      <c r="H81" s="353"/>
      <c r="I81" s="353"/>
      <c r="J81" s="353"/>
      <c r="K81" s="34"/>
      <c r="L81" s="129"/>
    </row>
    <row r="82" spans="1:12" hidden="1" x14ac:dyDescent="0.25">
      <c r="A82" s="129"/>
      <c r="B82" s="34"/>
      <c r="C82" s="34"/>
      <c r="D82" s="34"/>
      <c r="E82" s="353"/>
      <c r="F82" s="353"/>
      <c r="G82" s="353"/>
      <c r="H82" s="353"/>
      <c r="I82" s="353"/>
      <c r="J82" s="353"/>
      <c r="K82" s="34"/>
      <c r="L82" s="129"/>
    </row>
    <row r="83" spans="1:12" hidden="1" x14ac:dyDescent="0.25">
      <c r="A83" s="129"/>
      <c r="B83" s="34"/>
      <c r="C83" s="34"/>
      <c r="D83" s="34"/>
      <c r="E83" s="353"/>
      <c r="F83" s="353"/>
      <c r="G83" s="353"/>
      <c r="H83" s="353"/>
      <c r="I83" s="353"/>
      <c r="J83" s="353"/>
      <c r="K83" s="34"/>
      <c r="L83" s="129"/>
    </row>
    <row r="84" spans="1:12" hidden="1" x14ac:dyDescent="0.25">
      <c r="A84" s="129"/>
      <c r="B84" s="34"/>
      <c r="C84" s="34"/>
      <c r="D84" s="34"/>
      <c r="E84" s="353"/>
      <c r="F84" s="353"/>
      <c r="G84" s="353"/>
      <c r="H84" s="353"/>
      <c r="I84" s="353"/>
      <c r="J84" s="353"/>
      <c r="K84" s="34"/>
      <c r="L84" s="129"/>
    </row>
    <row r="85" spans="1:12" hidden="1" x14ac:dyDescent="0.25">
      <c r="A85" s="129"/>
      <c r="B85" s="34"/>
      <c r="C85" s="34"/>
      <c r="D85" s="34"/>
      <c r="E85" s="353"/>
      <c r="F85" s="353"/>
      <c r="G85" s="353"/>
      <c r="H85" s="353"/>
      <c r="I85" s="353"/>
      <c r="J85" s="353"/>
      <c r="K85" s="34"/>
      <c r="L85" s="129"/>
    </row>
    <row r="86" spans="1:12" hidden="1" x14ac:dyDescent="0.25">
      <c r="A86" s="129"/>
      <c r="B86" s="34"/>
      <c r="C86" s="34"/>
      <c r="D86" s="34"/>
      <c r="E86" s="353"/>
      <c r="F86" s="353"/>
      <c r="G86" s="353"/>
      <c r="H86" s="353"/>
      <c r="I86" s="353"/>
      <c r="J86" s="353"/>
      <c r="K86" s="34"/>
      <c r="L86" s="187"/>
    </row>
    <row r="87" spans="1:12" hidden="1" x14ac:dyDescent="0.25">
      <c r="A87" s="129"/>
      <c r="B87" s="34"/>
      <c r="C87" s="34"/>
      <c r="D87" s="34"/>
      <c r="E87" s="353"/>
      <c r="F87" s="353"/>
      <c r="G87" s="353"/>
      <c r="H87" s="353"/>
      <c r="I87" s="353"/>
      <c r="J87" s="353"/>
      <c r="K87" s="34"/>
      <c r="L87" s="187"/>
    </row>
    <row r="88" spans="1:12" hidden="1" x14ac:dyDescent="0.25">
      <c r="A88" s="129"/>
      <c r="B88" s="34"/>
      <c r="C88" s="34"/>
      <c r="D88" s="34"/>
      <c r="E88" s="353"/>
      <c r="F88" s="353"/>
      <c r="G88" s="353"/>
      <c r="H88" s="353"/>
      <c r="I88" s="353"/>
      <c r="J88" s="353"/>
      <c r="K88" s="34"/>
      <c r="L88" s="129"/>
    </row>
    <row r="89" spans="1:12" hidden="1" x14ac:dyDescent="0.25">
      <c r="A89" s="129"/>
      <c r="B89" s="34"/>
      <c r="C89" s="34"/>
      <c r="D89" s="34"/>
      <c r="E89" s="353"/>
      <c r="F89" s="353"/>
      <c r="G89" s="353"/>
      <c r="H89" s="353"/>
      <c r="I89" s="353"/>
      <c r="J89" s="353"/>
      <c r="K89" s="34"/>
      <c r="L89" s="129"/>
    </row>
    <row r="90" spans="1:12" hidden="1" x14ac:dyDescent="0.25">
      <c r="A90" s="129"/>
      <c r="B90" s="34"/>
      <c r="C90" s="34"/>
      <c r="D90" s="34"/>
      <c r="E90" s="353"/>
      <c r="F90" s="353"/>
      <c r="G90" s="353"/>
      <c r="H90" s="353"/>
      <c r="I90" s="353"/>
      <c r="J90" s="353"/>
      <c r="K90" s="34"/>
      <c r="L90" s="129"/>
    </row>
    <row r="91" spans="1:12" hidden="1" x14ac:dyDescent="0.25">
      <c r="A91" s="129"/>
      <c r="B91" s="34"/>
      <c r="C91" s="34"/>
      <c r="D91" s="34"/>
      <c r="E91" s="353"/>
      <c r="F91" s="353"/>
      <c r="G91" s="353"/>
      <c r="H91" s="353"/>
      <c r="I91" s="353"/>
      <c r="J91" s="353"/>
      <c r="K91" s="34"/>
      <c r="L91" s="129"/>
    </row>
    <row r="92" spans="1:12" hidden="1" x14ac:dyDescent="0.25">
      <c r="A92" s="129"/>
      <c r="B92" s="34"/>
      <c r="C92" s="34"/>
      <c r="D92" s="34"/>
      <c r="E92" s="353"/>
      <c r="F92" s="353"/>
      <c r="G92" s="353"/>
      <c r="H92" s="353"/>
      <c r="I92" s="353"/>
      <c r="J92" s="353"/>
      <c r="K92" s="34"/>
      <c r="L92" s="187"/>
    </row>
    <row r="93" spans="1:12" hidden="1" x14ac:dyDescent="0.25">
      <c r="A93" s="129"/>
      <c r="B93" s="34"/>
      <c r="C93" s="34"/>
      <c r="D93" s="34"/>
      <c r="E93" s="353"/>
      <c r="F93" s="353"/>
      <c r="G93" s="353"/>
      <c r="H93" s="353"/>
      <c r="I93" s="353"/>
      <c r="J93" s="353"/>
      <c r="K93" s="34"/>
      <c r="L93" s="187"/>
    </row>
    <row r="94" spans="1:12" hidden="1" x14ac:dyDescent="0.25">
      <c r="A94" s="129"/>
      <c r="B94" s="34"/>
      <c r="C94" s="34"/>
      <c r="D94" s="34"/>
      <c r="E94" s="353"/>
      <c r="F94" s="353"/>
      <c r="G94" s="353"/>
      <c r="H94" s="353"/>
      <c r="I94" s="353"/>
      <c r="J94" s="353"/>
      <c r="K94" s="34"/>
      <c r="L94" s="187"/>
    </row>
    <row r="95" spans="1:12" hidden="1" x14ac:dyDescent="0.25">
      <c r="A95" s="129"/>
      <c r="B95" s="34"/>
      <c r="C95" s="34"/>
      <c r="D95" s="34"/>
      <c r="E95" s="353"/>
      <c r="F95" s="353"/>
      <c r="G95" s="353"/>
      <c r="H95" s="353"/>
      <c r="I95" s="353"/>
      <c r="J95" s="353"/>
      <c r="K95" s="34"/>
      <c r="L95" s="177"/>
    </row>
    <row r="96" spans="1:12" hidden="1" x14ac:dyDescent="0.25">
      <c r="A96" s="129"/>
      <c r="B96" s="34"/>
      <c r="C96" s="34"/>
      <c r="D96" s="34"/>
      <c r="E96" s="353"/>
      <c r="F96" s="353"/>
      <c r="G96" s="353"/>
      <c r="H96" s="353"/>
      <c r="I96" s="353"/>
      <c r="J96" s="353"/>
      <c r="K96" s="34"/>
      <c r="L96" s="177"/>
    </row>
    <row r="97" spans="1:12" hidden="1" x14ac:dyDescent="0.25">
      <c r="A97" s="129"/>
      <c r="B97" s="34"/>
      <c r="C97" s="34"/>
      <c r="D97" s="34"/>
      <c r="E97" s="353"/>
      <c r="F97" s="353"/>
      <c r="G97" s="353"/>
      <c r="H97" s="353"/>
      <c r="I97" s="353"/>
      <c r="J97" s="353"/>
      <c r="K97" s="34"/>
      <c r="L97" s="177"/>
    </row>
    <row r="98" spans="1:12" hidden="1" x14ac:dyDescent="0.25">
      <c r="A98" s="129"/>
      <c r="B98" s="34"/>
      <c r="C98" s="34"/>
      <c r="D98" s="34"/>
      <c r="E98" s="353"/>
      <c r="F98" s="353"/>
      <c r="G98" s="353"/>
      <c r="H98" s="353"/>
      <c r="I98" s="353"/>
      <c r="J98" s="353"/>
      <c r="K98" s="34"/>
      <c r="L98" s="177"/>
    </row>
    <row r="99" spans="1:12" hidden="1" x14ac:dyDescent="0.25">
      <c r="A99" s="129"/>
      <c r="B99" s="34"/>
      <c r="C99" s="34"/>
      <c r="D99" s="34"/>
      <c r="E99" s="353"/>
      <c r="F99" s="353"/>
      <c r="G99" s="353"/>
      <c r="H99" s="353"/>
      <c r="I99" s="353"/>
      <c r="J99" s="353"/>
      <c r="K99" s="34"/>
      <c r="L99" s="187"/>
    </row>
    <row r="100" spans="1:12" hidden="1" x14ac:dyDescent="0.25">
      <c r="A100" s="129"/>
      <c r="B100" s="34"/>
      <c r="C100" s="34"/>
      <c r="D100" s="34"/>
      <c r="E100" s="353"/>
      <c r="F100" s="353"/>
      <c r="G100" s="353"/>
      <c r="H100" s="353"/>
      <c r="I100" s="353"/>
      <c r="J100" s="353"/>
      <c r="K100" s="34"/>
      <c r="L100" s="187"/>
    </row>
    <row r="101" spans="1:12" hidden="1" x14ac:dyDescent="0.25">
      <c r="A101" s="129"/>
      <c r="B101" s="34"/>
      <c r="C101" s="34"/>
      <c r="D101" s="34"/>
      <c r="E101" s="353"/>
      <c r="F101" s="353"/>
      <c r="G101" s="353"/>
      <c r="H101" s="353"/>
      <c r="I101" s="353"/>
      <c r="J101" s="353"/>
      <c r="K101" s="34"/>
      <c r="L101" s="129"/>
    </row>
    <row r="102" spans="1:12" hidden="1" x14ac:dyDescent="0.25">
      <c r="A102" s="129"/>
      <c r="B102" s="34"/>
      <c r="C102" s="34"/>
      <c r="D102" s="34"/>
      <c r="E102" s="353"/>
      <c r="F102" s="353"/>
      <c r="G102" s="353"/>
      <c r="H102" s="353"/>
      <c r="I102" s="353"/>
      <c r="J102" s="353"/>
      <c r="K102" s="34"/>
      <c r="L102" s="129"/>
    </row>
    <row r="103" spans="1:12" hidden="1" x14ac:dyDescent="0.25">
      <c r="A103" s="129"/>
      <c r="B103" s="34"/>
      <c r="C103" s="34"/>
      <c r="D103" s="34"/>
      <c r="E103" s="353"/>
      <c r="F103" s="353"/>
      <c r="G103" s="353"/>
      <c r="H103" s="353"/>
      <c r="I103" s="353"/>
      <c r="J103" s="353"/>
      <c r="K103" s="34"/>
      <c r="L103" s="129"/>
    </row>
    <row r="104" spans="1:12" hidden="1" x14ac:dyDescent="0.25">
      <c r="A104" s="129"/>
      <c r="B104" s="34"/>
      <c r="C104" s="34"/>
      <c r="D104" s="34"/>
      <c r="E104" s="353"/>
      <c r="F104" s="353"/>
      <c r="G104" s="353"/>
      <c r="H104" s="353"/>
      <c r="I104" s="353"/>
      <c r="J104" s="353"/>
      <c r="K104" s="34"/>
      <c r="L104" s="129"/>
    </row>
    <row r="105" spans="1:12" hidden="1" x14ac:dyDescent="0.25">
      <c r="A105" s="129"/>
      <c r="B105" s="34"/>
      <c r="C105" s="34"/>
      <c r="D105" s="34"/>
      <c r="E105" s="353"/>
      <c r="F105" s="353"/>
      <c r="G105" s="353"/>
      <c r="H105" s="353"/>
      <c r="I105" s="353"/>
      <c r="J105" s="353"/>
      <c r="K105" s="34"/>
      <c r="L105" s="129"/>
    </row>
    <row r="106" spans="1:12" hidden="1" x14ac:dyDescent="0.25">
      <c r="A106" s="129"/>
      <c r="B106" s="34"/>
      <c r="C106" s="34"/>
      <c r="D106" s="34"/>
      <c r="E106" s="353"/>
      <c r="F106" s="353"/>
      <c r="G106" s="353"/>
      <c r="H106" s="353"/>
      <c r="I106" s="353"/>
      <c r="J106" s="353"/>
      <c r="K106" s="34"/>
      <c r="L106" s="129"/>
    </row>
    <row r="107" spans="1:12" hidden="1" x14ac:dyDescent="0.25">
      <c r="A107" s="129"/>
      <c r="B107" s="34"/>
      <c r="C107" s="34"/>
      <c r="D107" s="34"/>
      <c r="E107" s="353"/>
      <c r="F107" s="353"/>
      <c r="G107" s="353"/>
      <c r="H107" s="353"/>
      <c r="I107" s="353"/>
      <c r="J107" s="353"/>
      <c r="K107" s="34"/>
      <c r="L107" s="129"/>
    </row>
    <row r="108" spans="1:12" hidden="1" x14ac:dyDescent="0.25">
      <c r="A108" s="129"/>
      <c r="B108" s="34"/>
      <c r="C108" s="34"/>
      <c r="D108" s="34"/>
      <c r="E108" s="353"/>
      <c r="F108" s="353"/>
      <c r="G108" s="353"/>
      <c r="H108" s="353"/>
      <c r="I108" s="353"/>
      <c r="J108" s="353"/>
      <c r="K108" s="34"/>
      <c r="L108" s="129"/>
    </row>
    <row r="109" spans="1:12" hidden="1" x14ac:dyDescent="0.25">
      <c r="A109" s="129"/>
      <c r="B109" s="34"/>
      <c r="C109" s="34"/>
      <c r="D109" s="34"/>
      <c r="E109" s="353"/>
      <c r="F109" s="353"/>
      <c r="G109" s="353"/>
      <c r="H109" s="353"/>
      <c r="I109" s="353"/>
      <c r="J109" s="353"/>
      <c r="K109" s="34"/>
      <c r="L109" s="129"/>
    </row>
    <row r="110" spans="1:12" hidden="1" x14ac:dyDescent="0.25">
      <c r="A110" s="129"/>
      <c r="B110" s="34"/>
      <c r="C110" s="34"/>
      <c r="D110" s="34"/>
      <c r="E110" s="353"/>
      <c r="F110" s="353"/>
      <c r="G110" s="353"/>
      <c r="H110" s="353"/>
      <c r="I110" s="353"/>
      <c r="J110" s="353"/>
      <c r="K110" s="34"/>
      <c r="L110" s="129"/>
    </row>
    <row r="111" spans="1:12" hidden="1" x14ac:dyDescent="0.25">
      <c r="A111" s="129"/>
      <c r="B111" s="34"/>
      <c r="C111" s="34"/>
      <c r="D111" s="34"/>
      <c r="E111" s="353"/>
      <c r="F111" s="353"/>
      <c r="G111" s="353"/>
      <c r="H111" s="353"/>
      <c r="I111" s="353"/>
      <c r="J111" s="353"/>
      <c r="K111" s="34"/>
      <c r="L111" s="129"/>
    </row>
    <row r="112" spans="1:12" hidden="1" x14ac:dyDescent="0.25">
      <c r="A112" s="129"/>
      <c r="B112" s="34"/>
      <c r="C112" s="34"/>
      <c r="D112" s="34"/>
      <c r="E112" s="353"/>
      <c r="F112" s="353"/>
      <c r="G112" s="353"/>
      <c r="H112" s="353"/>
      <c r="I112" s="353"/>
      <c r="J112" s="353"/>
      <c r="K112" s="34"/>
      <c r="L112" s="177"/>
    </row>
    <row r="113" spans="1:12" hidden="1" x14ac:dyDescent="0.25">
      <c r="A113" s="129"/>
      <c r="B113" s="34"/>
      <c r="C113" s="34"/>
      <c r="D113" s="34"/>
      <c r="E113" s="353"/>
      <c r="F113" s="353"/>
      <c r="G113" s="353"/>
      <c r="H113" s="353"/>
      <c r="I113" s="353"/>
      <c r="J113" s="353"/>
      <c r="K113" s="34"/>
      <c r="L113" s="177"/>
    </row>
    <row r="114" spans="1:12" hidden="1" x14ac:dyDescent="0.25">
      <c r="A114" s="129"/>
      <c r="B114" s="34"/>
      <c r="C114" s="34"/>
      <c r="D114" s="34"/>
      <c r="E114" s="353"/>
      <c r="F114" s="353"/>
      <c r="G114" s="353"/>
      <c r="H114" s="353"/>
      <c r="I114" s="353"/>
      <c r="J114" s="353"/>
      <c r="K114" s="34"/>
      <c r="L114" s="177"/>
    </row>
    <row r="115" spans="1:12" hidden="1" x14ac:dyDescent="0.25">
      <c r="A115" s="129"/>
      <c r="B115" s="34"/>
      <c r="C115" s="34"/>
      <c r="D115" s="34"/>
      <c r="E115" s="353"/>
      <c r="F115" s="353"/>
      <c r="G115" s="353"/>
      <c r="H115" s="353"/>
      <c r="I115" s="353"/>
      <c r="J115" s="353"/>
      <c r="K115" s="34"/>
      <c r="L115" s="177"/>
    </row>
    <row r="116" spans="1:12" hidden="1" x14ac:dyDescent="0.25">
      <c r="A116" s="129"/>
      <c r="B116" s="34"/>
      <c r="C116" s="34"/>
      <c r="D116" s="34"/>
      <c r="E116" s="353"/>
      <c r="F116" s="353"/>
      <c r="G116" s="353"/>
      <c r="H116" s="353"/>
      <c r="I116" s="353"/>
      <c r="J116" s="353"/>
      <c r="K116" s="34"/>
      <c r="L116" s="129"/>
    </row>
    <row r="117" spans="1:12" hidden="1" x14ac:dyDescent="0.25">
      <c r="A117" s="129"/>
      <c r="B117" s="34"/>
      <c r="C117" s="34"/>
      <c r="D117" s="34"/>
      <c r="E117" s="353"/>
      <c r="F117" s="353"/>
      <c r="G117" s="353"/>
      <c r="H117" s="353"/>
      <c r="I117" s="353"/>
      <c r="J117" s="353"/>
      <c r="K117" s="34"/>
      <c r="L117" s="129"/>
    </row>
    <row r="118" spans="1:12" hidden="1" x14ac:dyDescent="0.25">
      <c r="A118" s="129"/>
      <c r="B118" s="34"/>
      <c r="C118" s="34"/>
      <c r="D118" s="34"/>
      <c r="E118" s="353"/>
      <c r="F118" s="353"/>
      <c r="G118" s="353"/>
      <c r="H118" s="353"/>
      <c r="I118" s="353"/>
      <c r="J118" s="353"/>
      <c r="K118" s="34"/>
      <c r="L118" s="129"/>
    </row>
    <row r="119" spans="1:12" hidden="1" x14ac:dyDescent="0.25">
      <c r="A119" s="129"/>
      <c r="B119" s="34"/>
      <c r="C119" s="34"/>
      <c r="D119" s="34"/>
      <c r="E119" s="353"/>
      <c r="F119" s="353"/>
      <c r="G119" s="353"/>
      <c r="H119" s="353"/>
      <c r="I119" s="353"/>
      <c r="J119" s="353"/>
      <c r="K119" s="34"/>
      <c r="L119" s="129"/>
    </row>
    <row r="120" spans="1:12" hidden="1" x14ac:dyDescent="0.25">
      <c r="A120" s="129"/>
      <c r="B120" s="34"/>
      <c r="C120" s="34"/>
      <c r="D120" s="34"/>
      <c r="E120" s="353"/>
      <c r="F120" s="353"/>
      <c r="G120" s="353"/>
      <c r="H120" s="353"/>
      <c r="I120" s="353"/>
      <c r="J120" s="353"/>
      <c r="K120" s="34"/>
      <c r="L120" s="129"/>
    </row>
    <row r="121" spans="1:12" hidden="1" x14ac:dyDescent="0.25">
      <c r="A121" s="129"/>
      <c r="B121" s="34"/>
      <c r="C121" s="34"/>
      <c r="D121" s="34"/>
      <c r="E121" s="353"/>
      <c r="F121" s="353"/>
      <c r="G121" s="353"/>
      <c r="H121" s="353"/>
      <c r="I121" s="353"/>
      <c r="J121" s="353"/>
      <c r="K121" s="34"/>
      <c r="L121" s="129"/>
    </row>
    <row r="122" spans="1:12" hidden="1" x14ac:dyDescent="0.25">
      <c r="A122" s="129"/>
      <c r="B122" s="34"/>
      <c r="C122" s="34"/>
      <c r="D122" s="34"/>
      <c r="E122" s="353"/>
      <c r="F122" s="353"/>
      <c r="G122" s="353"/>
      <c r="H122" s="353"/>
      <c r="I122" s="353"/>
      <c r="J122" s="353"/>
      <c r="K122" s="34"/>
      <c r="L122" s="129"/>
    </row>
    <row r="123" spans="1:12" hidden="1" x14ac:dyDescent="0.25">
      <c r="A123" s="129"/>
      <c r="B123" s="34"/>
      <c r="C123" s="34"/>
      <c r="D123" s="34"/>
      <c r="E123" s="353"/>
      <c r="F123" s="353"/>
      <c r="G123" s="353"/>
      <c r="H123" s="353"/>
      <c r="I123" s="353"/>
      <c r="J123" s="353"/>
      <c r="K123" s="34"/>
      <c r="L123" s="129"/>
    </row>
    <row r="124" spans="1:12" hidden="1" x14ac:dyDescent="0.25">
      <c r="A124" s="129"/>
      <c r="B124" s="34"/>
      <c r="C124" s="34"/>
      <c r="D124" s="34"/>
      <c r="E124" s="353"/>
      <c r="F124" s="353"/>
      <c r="G124" s="353"/>
      <c r="H124" s="353"/>
      <c r="I124" s="353"/>
      <c r="J124" s="353"/>
      <c r="K124" s="34"/>
      <c r="L124" s="129"/>
    </row>
    <row r="125" spans="1:12" hidden="1" x14ac:dyDescent="0.25">
      <c r="A125" s="129"/>
      <c r="B125" s="34"/>
      <c r="C125" s="34"/>
      <c r="D125" s="34"/>
      <c r="E125" s="353"/>
      <c r="F125" s="353"/>
      <c r="G125" s="353"/>
      <c r="H125" s="353"/>
      <c r="I125" s="353"/>
      <c r="J125" s="353"/>
      <c r="K125" s="34"/>
      <c r="L125" s="129"/>
    </row>
    <row r="126" spans="1:12" hidden="1" x14ac:dyDescent="0.25">
      <c r="A126" s="177"/>
      <c r="B126" s="34"/>
      <c r="C126" s="34"/>
      <c r="D126" s="34"/>
      <c r="E126" s="353"/>
      <c r="F126" s="353"/>
      <c r="G126" s="353"/>
      <c r="H126" s="353"/>
      <c r="I126" s="353"/>
      <c r="J126" s="353"/>
      <c r="K126" s="34"/>
      <c r="L126" s="177"/>
    </row>
    <row r="127" spans="1:12" hidden="1" x14ac:dyDescent="0.25">
      <c r="A127" s="177"/>
      <c r="B127" s="34"/>
      <c r="C127" s="34"/>
      <c r="D127" s="34"/>
      <c r="E127" s="353"/>
      <c r="F127" s="353"/>
      <c r="G127" s="353"/>
      <c r="H127" s="353"/>
      <c r="I127" s="353"/>
      <c r="J127" s="353"/>
      <c r="K127" s="34"/>
      <c r="L127" s="177"/>
    </row>
    <row r="128" spans="1:12" hidden="1" x14ac:dyDescent="0.25">
      <c r="A128" s="129"/>
      <c r="B128" s="34"/>
      <c r="C128" s="34"/>
      <c r="D128" s="34"/>
      <c r="E128" s="353"/>
      <c r="F128" s="353"/>
      <c r="G128" s="353"/>
      <c r="H128" s="353"/>
      <c r="I128" s="353"/>
      <c r="J128" s="353"/>
      <c r="K128" s="34"/>
      <c r="L128" s="129"/>
    </row>
    <row r="129" spans="1:12" hidden="1" x14ac:dyDescent="0.25">
      <c r="A129" s="177"/>
      <c r="B129" s="34"/>
      <c r="C129" s="34"/>
      <c r="D129" s="34"/>
      <c r="E129" s="353"/>
      <c r="F129" s="353"/>
      <c r="G129" s="353"/>
      <c r="H129" s="353"/>
      <c r="I129" s="353"/>
      <c r="J129" s="353"/>
      <c r="K129" s="34"/>
      <c r="L129" s="177"/>
    </row>
    <row r="130" spans="1:12" hidden="1" x14ac:dyDescent="0.25">
      <c r="A130" s="177"/>
      <c r="B130" s="34"/>
      <c r="C130" s="34"/>
      <c r="D130" s="34"/>
      <c r="E130" s="353"/>
      <c r="F130" s="353"/>
      <c r="G130" s="353"/>
      <c r="H130" s="353"/>
      <c r="I130" s="353"/>
      <c r="J130" s="353"/>
      <c r="K130" s="34"/>
      <c r="L130" s="177"/>
    </row>
    <row r="131" spans="1:12" hidden="1" x14ac:dyDescent="0.25">
      <c r="A131" s="129"/>
      <c r="B131" s="34"/>
      <c r="C131" s="34"/>
      <c r="D131" s="34"/>
      <c r="E131" s="353"/>
      <c r="F131" s="353"/>
      <c r="G131" s="353"/>
      <c r="H131" s="353"/>
      <c r="I131" s="353"/>
      <c r="J131" s="353"/>
      <c r="K131" s="34"/>
      <c r="L131" s="129"/>
    </row>
    <row r="132" spans="1:12" hidden="1" x14ac:dyDescent="0.25">
      <c r="A132" s="177"/>
      <c r="B132" s="34"/>
      <c r="C132" s="34"/>
      <c r="D132" s="34"/>
      <c r="E132" s="353"/>
      <c r="F132" s="353"/>
      <c r="G132" s="353"/>
      <c r="H132" s="353"/>
      <c r="I132" s="353"/>
      <c r="J132" s="353"/>
      <c r="K132" s="34"/>
      <c r="L132" s="177"/>
    </row>
    <row r="133" spans="1:12" hidden="1" x14ac:dyDescent="0.25">
      <c r="A133" s="129"/>
      <c r="B133" s="34"/>
      <c r="C133" s="34"/>
      <c r="D133" s="34"/>
      <c r="E133" s="353"/>
      <c r="F133" s="353"/>
      <c r="G133" s="353"/>
      <c r="H133" s="353"/>
      <c r="I133" s="353"/>
      <c r="J133" s="353"/>
      <c r="K133" s="34"/>
      <c r="L133" s="129"/>
    </row>
    <row r="134" spans="1:12" hidden="1" x14ac:dyDescent="0.25">
      <c r="A134" s="129"/>
      <c r="B134" s="34"/>
      <c r="C134" s="34"/>
      <c r="D134" s="34"/>
      <c r="E134" s="353"/>
      <c r="F134" s="353"/>
      <c r="G134" s="353"/>
      <c r="H134" s="353"/>
      <c r="I134" s="353"/>
      <c r="J134" s="353"/>
      <c r="K134" s="34"/>
      <c r="L134" s="129"/>
    </row>
    <row r="135" spans="1:12" hidden="1" x14ac:dyDescent="0.25">
      <c r="A135" s="129"/>
      <c r="B135" s="34"/>
      <c r="C135" s="34"/>
      <c r="D135" s="34"/>
      <c r="E135" s="353"/>
      <c r="F135" s="353"/>
      <c r="G135" s="353"/>
      <c r="H135" s="353"/>
      <c r="I135" s="353"/>
      <c r="J135" s="353"/>
      <c r="K135" s="34"/>
      <c r="L135" s="129"/>
    </row>
    <row r="136" spans="1:12" hidden="1" x14ac:dyDescent="0.25">
      <c r="A136" s="129"/>
      <c r="B136" s="34"/>
      <c r="C136" s="34"/>
      <c r="D136" s="34"/>
      <c r="E136" s="353"/>
      <c r="F136" s="353"/>
      <c r="G136" s="353"/>
      <c r="H136" s="353"/>
      <c r="I136" s="353"/>
      <c r="J136" s="353"/>
      <c r="K136" s="34"/>
      <c r="L136" s="129"/>
    </row>
    <row r="137" spans="1:12" hidden="1" x14ac:dyDescent="0.25">
      <c r="A137" s="177"/>
      <c r="B137" s="34"/>
      <c r="C137" s="34"/>
      <c r="D137" s="34"/>
      <c r="E137" s="353"/>
      <c r="F137" s="353"/>
      <c r="G137" s="353"/>
      <c r="H137" s="353"/>
      <c r="I137" s="353"/>
      <c r="J137" s="353"/>
      <c r="K137" s="34"/>
      <c r="L137" s="177"/>
    </row>
    <row r="138" spans="1:12" hidden="1" x14ac:dyDescent="0.25">
      <c r="A138" s="129"/>
      <c r="B138" s="34"/>
      <c r="C138" s="34"/>
      <c r="D138" s="34"/>
      <c r="E138" s="353"/>
      <c r="F138" s="353"/>
      <c r="G138" s="353"/>
      <c r="H138" s="353"/>
      <c r="I138" s="353"/>
      <c r="J138" s="353"/>
      <c r="K138" s="34"/>
      <c r="L138" s="129"/>
    </row>
    <row r="139" spans="1:12" hidden="1" x14ac:dyDescent="0.25">
      <c r="A139" s="129"/>
      <c r="B139" s="34"/>
      <c r="C139" s="34"/>
      <c r="D139" s="34"/>
      <c r="E139" s="353"/>
      <c r="F139" s="353"/>
      <c r="G139" s="353"/>
      <c r="H139" s="353"/>
      <c r="I139" s="353"/>
      <c r="J139" s="353"/>
      <c r="K139" s="34"/>
      <c r="L139" s="129"/>
    </row>
    <row r="140" spans="1:12" hidden="1" x14ac:dyDescent="0.25">
      <c r="A140" s="129"/>
      <c r="B140" s="34"/>
      <c r="C140" s="34"/>
      <c r="D140" s="34"/>
      <c r="E140" s="353"/>
      <c r="F140" s="353"/>
      <c r="G140" s="353"/>
      <c r="H140" s="353"/>
      <c r="I140" s="353"/>
      <c r="J140" s="353"/>
      <c r="K140" s="34"/>
      <c r="L140" s="129"/>
    </row>
    <row r="141" spans="1:12" hidden="1" x14ac:dyDescent="0.25">
      <c r="A141" s="129"/>
      <c r="B141" s="34"/>
      <c r="C141" s="34"/>
      <c r="D141" s="34"/>
      <c r="E141" s="353"/>
      <c r="F141" s="353"/>
      <c r="G141" s="353"/>
      <c r="H141" s="353"/>
      <c r="I141" s="353"/>
      <c r="J141" s="353"/>
      <c r="K141" s="34"/>
      <c r="L141" s="129"/>
    </row>
    <row r="142" spans="1:12" hidden="1" x14ac:dyDescent="0.25">
      <c r="A142" s="129"/>
      <c r="B142" s="34"/>
      <c r="C142" s="34"/>
      <c r="D142" s="34"/>
      <c r="E142" s="353"/>
      <c r="F142" s="353"/>
      <c r="G142" s="353"/>
      <c r="H142" s="353"/>
      <c r="I142" s="353"/>
      <c r="J142" s="353"/>
      <c r="K142" s="34"/>
      <c r="L142" s="129"/>
    </row>
    <row r="143" spans="1:12" hidden="1" x14ac:dyDescent="0.25">
      <c r="A143" s="129"/>
      <c r="B143" s="34"/>
      <c r="C143" s="34"/>
      <c r="D143" s="34"/>
      <c r="E143" s="353"/>
      <c r="F143" s="353"/>
      <c r="G143" s="353"/>
      <c r="H143" s="353"/>
      <c r="I143" s="353"/>
      <c r="J143" s="353"/>
      <c r="K143" s="34"/>
      <c r="L143" s="129"/>
    </row>
    <row r="144" spans="1:12" hidden="1" x14ac:dyDescent="0.25">
      <c r="A144" s="129"/>
      <c r="B144" s="34"/>
      <c r="C144" s="34"/>
      <c r="D144" s="34"/>
      <c r="E144" s="353"/>
      <c r="F144" s="353"/>
      <c r="G144" s="353"/>
      <c r="H144" s="353"/>
      <c r="I144" s="353"/>
      <c r="J144" s="353"/>
      <c r="K144" s="34"/>
      <c r="L144" s="129"/>
    </row>
    <row r="145" spans="1:12" hidden="1" x14ac:dyDescent="0.25">
      <c r="A145" s="129"/>
      <c r="B145" s="34"/>
      <c r="C145" s="34"/>
      <c r="D145" s="34"/>
      <c r="E145" s="353"/>
      <c r="F145" s="353"/>
      <c r="G145" s="353"/>
      <c r="H145" s="353"/>
      <c r="I145" s="353"/>
      <c r="J145" s="353"/>
      <c r="K145" s="34"/>
      <c r="L145" s="129"/>
    </row>
    <row r="146" spans="1:12" hidden="1" x14ac:dyDescent="0.25">
      <c r="A146" s="129"/>
      <c r="B146" s="34"/>
      <c r="C146" s="34"/>
      <c r="D146" s="34"/>
      <c r="E146" s="353"/>
      <c r="F146" s="353"/>
      <c r="G146" s="353"/>
      <c r="H146" s="353"/>
      <c r="I146" s="353"/>
      <c r="J146" s="353"/>
      <c r="K146" s="34"/>
      <c r="L146" s="129"/>
    </row>
    <row r="147" spans="1:12" hidden="1" x14ac:dyDescent="0.25">
      <c r="A147" s="187"/>
      <c r="B147" s="34"/>
      <c r="C147" s="34"/>
      <c r="D147" s="34"/>
      <c r="E147" s="353"/>
      <c r="F147" s="353"/>
      <c r="G147" s="353"/>
      <c r="H147" s="353"/>
      <c r="I147" s="353"/>
      <c r="J147" s="353"/>
      <c r="K147" s="34"/>
      <c r="L147" s="187"/>
    </row>
    <row r="148" spans="1:12" hidden="1" x14ac:dyDescent="0.25">
      <c r="A148" s="177"/>
      <c r="B148" s="34"/>
      <c r="C148" s="34"/>
      <c r="D148" s="34"/>
      <c r="E148" s="353"/>
      <c r="F148" s="353"/>
      <c r="G148" s="353"/>
      <c r="H148" s="353"/>
      <c r="I148" s="353"/>
      <c r="J148" s="353"/>
      <c r="K148" s="34"/>
      <c r="L148" s="177"/>
    </row>
    <row r="149" spans="1:12" hidden="1" x14ac:dyDescent="0.25">
      <c r="A149" s="177"/>
      <c r="B149" s="34"/>
      <c r="C149" s="34"/>
      <c r="D149" s="34"/>
      <c r="E149" s="353"/>
      <c r="F149" s="353"/>
      <c r="G149" s="353"/>
      <c r="H149" s="353"/>
      <c r="I149" s="353"/>
      <c r="J149" s="353"/>
      <c r="K149" s="34"/>
      <c r="L149" s="177"/>
    </row>
    <row r="150" spans="1:12" hidden="1" x14ac:dyDescent="0.25">
      <c r="A150" s="177"/>
      <c r="B150" s="34"/>
      <c r="C150" s="34"/>
      <c r="D150" s="34"/>
      <c r="E150" s="353"/>
      <c r="F150" s="353"/>
      <c r="G150" s="353"/>
      <c r="H150" s="353"/>
      <c r="I150" s="353"/>
      <c r="J150" s="353"/>
      <c r="K150" s="34"/>
      <c r="L150" s="177"/>
    </row>
    <row r="151" spans="1:12" hidden="1" x14ac:dyDescent="0.25">
      <c r="A151" s="177"/>
      <c r="B151" s="34"/>
      <c r="C151" s="34"/>
      <c r="D151" s="34"/>
      <c r="E151" s="353"/>
      <c r="F151" s="353"/>
      <c r="G151" s="353"/>
      <c r="H151" s="353"/>
      <c r="I151" s="353"/>
      <c r="J151" s="353"/>
      <c r="K151" s="34"/>
      <c r="L151" s="177"/>
    </row>
    <row r="152" spans="1:12" hidden="1" x14ac:dyDescent="0.25">
      <c r="A152" s="177"/>
      <c r="B152" s="34"/>
      <c r="C152" s="34"/>
      <c r="D152" s="34"/>
      <c r="E152" s="353"/>
      <c r="F152" s="353"/>
      <c r="G152" s="353"/>
      <c r="H152" s="353"/>
      <c r="I152" s="353"/>
      <c r="J152" s="353"/>
      <c r="K152" s="34"/>
      <c r="L152" s="177"/>
    </row>
    <row r="153" spans="1:12" hidden="1" x14ac:dyDescent="0.25">
      <c r="A153" s="177"/>
      <c r="B153" s="34"/>
      <c r="C153" s="34"/>
      <c r="D153" s="34"/>
      <c r="E153" s="353"/>
      <c r="F153" s="353"/>
      <c r="G153" s="353"/>
      <c r="H153" s="353"/>
      <c r="I153" s="353"/>
      <c r="J153" s="353"/>
      <c r="K153" s="34"/>
      <c r="L153" s="177"/>
    </row>
    <row r="154" spans="1:12" hidden="1" x14ac:dyDescent="0.25">
      <c r="A154" s="129"/>
      <c r="B154" s="34"/>
      <c r="C154" s="34"/>
      <c r="D154" s="34"/>
      <c r="E154" s="353"/>
      <c r="F154" s="353"/>
      <c r="G154" s="353"/>
      <c r="H154" s="353"/>
      <c r="I154" s="353"/>
      <c r="J154" s="353"/>
      <c r="K154" s="34"/>
      <c r="L154" s="129"/>
    </row>
    <row r="155" spans="1:12" hidden="1" x14ac:dyDescent="0.25">
      <c r="A155" s="129"/>
      <c r="B155" s="34"/>
      <c r="C155" s="34"/>
      <c r="D155" s="34"/>
      <c r="E155" s="353"/>
      <c r="F155" s="353"/>
      <c r="G155" s="353"/>
      <c r="H155" s="353"/>
      <c r="I155" s="353"/>
      <c r="J155" s="353"/>
      <c r="K155" s="34"/>
      <c r="L155" s="129"/>
    </row>
    <row r="156" spans="1:12" hidden="1" x14ac:dyDescent="0.25">
      <c r="A156" s="187"/>
      <c r="B156" s="34"/>
      <c r="C156" s="34"/>
      <c r="D156" s="34"/>
      <c r="E156" s="353"/>
      <c r="F156" s="353"/>
      <c r="G156" s="353"/>
      <c r="H156" s="353"/>
      <c r="I156" s="353"/>
      <c r="J156" s="353"/>
      <c r="K156" s="34"/>
      <c r="L156" s="187"/>
    </row>
    <row r="157" spans="1:12" hidden="1" x14ac:dyDescent="0.25">
      <c r="A157" s="187"/>
      <c r="B157" s="34"/>
      <c r="C157" s="34"/>
      <c r="D157" s="34"/>
      <c r="E157" s="353"/>
      <c r="F157" s="353"/>
      <c r="G157" s="353"/>
      <c r="H157" s="353"/>
      <c r="I157" s="353"/>
      <c r="J157" s="353"/>
      <c r="K157" s="34"/>
      <c r="L157" s="187"/>
    </row>
    <row r="158" spans="1:12" hidden="1" x14ac:dyDescent="0.25">
      <c r="A158" s="130"/>
      <c r="B158" s="34"/>
      <c r="C158" s="34"/>
      <c r="D158" s="34"/>
      <c r="E158" s="353"/>
      <c r="F158" s="353"/>
      <c r="G158" s="353"/>
      <c r="H158" s="353"/>
      <c r="I158" s="353"/>
      <c r="J158" s="353"/>
      <c r="K158" s="34"/>
      <c r="L158" s="129"/>
    </row>
    <row r="159" spans="1:12" hidden="1" x14ac:dyDescent="0.25">
      <c r="A159" s="187"/>
      <c r="B159" s="34"/>
      <c r="C159" s="34"/>
      <c r="D159" s="34"/>
      <c r="E159" s="353"/>
      <c r="F159" s="353"/>
      <c r="G159" s="353"/>
      <c r="H159" s="353"/>
      <c r="I159" s="353"/>
      <c r="J159" s="353"/>
      <c r="K159" s="34"/>
      <c r="L159" s="187"/>
    </row>
    <row r="160" spans="1:12" hidden="1" x14ac:dyDescent="0.25">
      <c r="A160" s="187"/>
      <c r="B160" s="34"/>
      <c r="C160" s="34"/>
      <c r="D160" s="34"/>
      <c r="E160" s="353"/>
      <c r="F160" s="353"/>
      <c r="G160" s="353"/>
      <c r="H160" s="353"/>
      <c r="I160" s="353"/>
      <c r="J160" s="353"/>
      <c r="K160" s="34"/>
      <c r="L160" s="187"/>
    </row>
    <row r="161" spans="1:12" hidden="1" x14ac:dyDescent="0.25">
      <c r="A161" s="177"/>
      <c r="B161" s="34"/>
      <c r="C161" s="34"/>
      <c r="D161" s="34"/>
      <c r="E161" s="353"/>
      <c r="F161" s="353"/>
      <c r="G161" s="353"/>
      <c r="H161" s="353"/>
      <c r="I161" s="353"/>
      <c r="J161" s="353"/>
      <c r="K161" s="34"/>
      <c r="L161" s="177"/>
    </row>
    <row r="162" spans="1:12" hidden="1" x14ac:dyDescent="0.25">
      <c r="A162" s="187"/>
      <c r="B162" s="34"/>
      <c r="C162" s="34"/>
      <c r="D162" s="34"/>
      <c r="E162" s="353"/>
      <c r="F162" s="353"/>
      <c r="G162" s="353"/>
      <c r="H162" s="353"/>
      <c r="I162" s="353"/>
      <c r="J162" s="353"/>
      <c r="K162" s="34"/>
      <c r="L162" s="187"/>
    </row>
    <row r="163" spans="1:12" hidden="1" x14ac:dyDescent="0.25">
      <c r="A163" s="187"/>
      <c r="B163" s="34"/>
      <c r="C163" s="34"/>
      <c r="D163" s="34"/>
      <c r="E163" s="353"/>
      <c r="F163" s="353"/>
      <c r="G163" s="353"/>
      <c r="H163" s="353"/>
      <c r="I163" s="353"/>
      <c r="J163" s="353"/>
      <c r="K163" s="34"/>
      <c r="L163" s="187"/>
    </row>
    <row r="164" spans="1:12" hidden="1" x14ac:dyDescent="0.25">
      <c r="A164" s="187"/>
      <c r="B164" s="34"/>
      <c r="C164" s="34"/>
      <c r="D164" s="34"/>
      <c r="E164" s="353"/>
      <c r="F164" s="353"/>
      <c r="G164" s="353"/>
      <c r="H164" s="353"/>
      <c r="I164" s="353"/>
      <c r="J164" s="353"/>
      <c r="K164" s="34"/>
      <c r="L164" s="187"/>
    </row>
    <row r="165" spans="1:12" hidden="1" x14ac:dyDescent="0.25">
      <c r="A165" s="187"/>
      <c r="B165" s="34"/>
      <c r="C165" s="34"/>
      <c r="D165" s="34"/>
      <c r="E165" s="353"/>
      <c r="F165" s="353"/>
      <c r="G165" s="353"/>
      <c r="H165" s="353"/>
      <c r="I165" s="353"/>
      <c r="J165" s="353"/>
      <c r="K165" s="34"/>
      <c r="L165" s="187"/>
    </row>
    <row r="166" spans="1:12" hidden="1" x14ac:dyDescent="0.25">
      <c r="A166" s="187"/>
      <c r="B166" s="34"/>
      <c r="C166" s="34"/>
      <c r="D166" s="34"/>
      <c r="E166" s="353"/>
      <c r="F166" s="353"/>
      <c r="G166" s="353"/>
      <c r="H166" s="353"/>
      <c r="I166" s="353"/>
      <c r="J166" s="353"/>
      <c r="K166" s="34"/>
      <c r="L166" s="187"/>
    </row>
    <row r="167" spans="1:12" hidden="1" x14ac:dyDescent="0.25">
      <c r="A167" s="187"/>
      <c r="B167" s="34"/>
      <c r="C167" s="34"/>
      <c r="D167" s="34"/>
      <c r="E167" s="353"/>
      <c r="F167" s="353"/>
      <c r="G167" s="353"/>
      <c r="H167" s="353"/>
      <c r="I167" s="353"/>
      <c r="J167" s="353"/>
      <c r="K167" s="34"/>
      <c r="L167" s="187"/>
    </row>
    <row r="168" spans="1:12" hidden="1" x14ac:dyDescent="0.25">
      <c r="A168" s="187"/>
      <c r="B168" s="34"/>
      <c r="C168" s="34"/>
      <c r="D168" s="34"/>
      <c r="E168" s="353"/>
      <c r="F168" s="353"/>
      <c r="G168" s="353"/>
      <c r="H168" s="353"/>
      <c r="I168" s="353"/>
      <c r="J168" s="353"/>
      <c r="K168" s="34"/>
      <c r="L168" s="187"/>
    </row>
    <row r="169" spans="1:12" hidden="1" x14ac:dyDescent="0.25">
      <c r="A169" s="187"/>
      <c r="B169" s="34"/>
      <c r="C169" s="34"/>
      <c r="D169" s="34"/>
      <c r="E169" s="353"/>
      <c r="F169" s="353"/>
      <c r="G169" s="353"/>
      <c r="H169" s="353"/>
      <c r="I169" s="353"/>
      <c r="J169" s="353"/>
      <c r="K169" s="34"/>
      <c r="L169" s="187"/>
    </row>
    <row r="170" spans="1:12" hidden="1" x14ac:dyDescent="0.25">
      <c r="A170" s="187"/>
      <c r="B170" s="34"/>
      <c r="C170" s="34"/>
      <c r="D170" s="34"/>
      <c r="E170" s="353"/>
      <c r="F170" s="353"/>
      <c r="G170" s="353"/>
      <c r="H170" s="353"/>
      <c r="I170" s="353"/>
      <c r="J170" s="353"/>
      <c r="K170" s="34"/>
      <c r="L170" s="187"/>
    </row>
    <row r="171" spans="1:12" hidden="1" x14ac:dyDescent="0.25">
      <c r="A171" s="187"/>
      <c r="B171" s="34"/>
      <c r="C171" s="34"/>
      <c r="D171" s="34"/>
      <c r="E171" s="353"/>
      <c r="F171" s="353"/>
      <c r="G171" s="353"/>
      <c r="H171" s="353"/>
      <c r="I171" s="353"/>
      <c r="J171" s="353"/>
      <c r="K171" s="34"/>
      <c r="L171" s="187"/>
    </row>
    <row r="172" spans="1:12" hidden="1" x14ac:dyDescent="0.25">
      <c r="A172" s="130"/>
      <c r="B172" s="34"/>
      <c r="C172" s="34"/>
      <c r="D172" s="208"/>
      <c r="E172" s="353"/>
      <c r="F172" s="353"/>
      <c r="G172" s="353"/>
      <c r="H172" s="353"/>
      <c r="I172" s="353"/>
      <c r="J172" s="353"/>
      <c r="K172" s="34"/>
      <c r="L172" s="129"/>
    </row>
    <row r="173" spans="1:12" hidden="1" x14ac:dyDescent="0.25">
      <c r="A173" s="187"/>
      <c r="B173" s="34"/>
      <c r="C173" s="34"/>
      <c r="D173" s="208"/>
      <c r="E173" s="353"/>
      <c r="F173" s="353"/>
      <c r="G173" s="353"/>
      <c r="H173" s="353"/>
      <c r="I173" s="353"/>
      <c r="J173" s="353"/>
      <c r="K173" s="34"/>
      <c r="L173" s="187"/>
    </row>
    <row r="174" spans="1:12" hidden="1" x14ac:dyDescent="0.25">
      <c r="A174" s="187"/>
      <c r="B174" s="34"/>
      <c r="C174" s="34"/>
      <c r="D174" s="208"/>
      <c r="E174" s="353"/>
      <c r="F174" s="353"/>
      <c r="G174" s="353"/>
      <c r="H174" s="353"/>
      <c r="I174" s="353"/>
      <c r="J174" s="353"/>
      <c r="K174" s="34"/>
      <c r="L174" s="187"/>
    </row>
    <row r="175" spans="1:12" hidden="1" x14ac:dyDescent="0.25">
      <c r="A175" s="177"/>
      <c r="B175" s="34"/>
      <c r="C175" s="34"/>
      <c r="D175" s="208"/>
      <c r="E175" s="353"/>
      <c r="F175" s="353"/>
      <c r="G175" s="353"/>
      <c r="H175" s="353"/>
      <c r="I175" s="353"/>
      <c r="J175" s="353"/>
      <c r="K175" s="34"/>
      <c r="L175" s="177"/>
    </row>
    <row r="176" spans="1:12" hidden="1" x14ac:dyDescent="0.25">
      <c r="A176" s="187"/>
      <c r="B176" s="34"/>
      <c r="C176" s="34"/>
      <c r="D176" s="209" t="s">
        <v>244</v>
      </c>
      <c r="E176" s="353"/>
      <c r="F176" s="353"/>
      <c r="G176" s="353"/>
      <c r="H176" s="353"/>
      <c r="I176" s="353"/>
      <c r="J176" s="353"/>
      <c r="K176" s="34"/>
      <c r="L176" s="187"/>
    </row>
    <row r="177" spans="1:12" hidden="1" x14ac:dyDescent="0.25">
      <c r="A177" s="187"/>
      <c r="B177" s="34"/>
      <c r="C177" s="207"/>
      <c r="D177" s="208"/>
      <c r="E177" s="353"/>
      <c r="F177" s="353"/>
      <c r="G177" s="353"/>
      <c r="H177" s="353"/>
      <c r="I177" s="353"/>
      <c r="J177" s="353"/>
      <c r="K177" s="34"/>
      <c r="L177" s="187"/>
    </row>
    <row r="178" spans="1:12" hidden="1" x14ac:dyDescent="0.25">
      <c r="A178" s="187"/>
      <c r="L178" s="187"/>
    </row>
    <row r="179" spans="1:12" hidden="1" x14ac:dyDescent="0.25">
      <c r="A179" s="130"/>
      <c r="L179" s="129"/>
    </row>
    <row r="180" spans="1:12" hidden="1" x14ac:dyDescent="0.25">
      <c r="A180" s="187"/>
      <c r="L180" s="187"/>
    </row>
    <row r="181" spans="1:12" hidden="1" x14ac:dyDescent="0.25">
      <c r="A181" s="187"/>
      <c r="L181" s="187"/>
    </row>
    <row r="182" spans="1:12" hidden="1" x14ac:dyDescent="0.25">
      <c r="A182" s="177"/>
      <c r="L182" s="177"/>
    </row>
    <row r="183" spans="1:12" hidden="1" x14ac:dyDescent="0.25">
      <c r="A183" s="187"/>
      <c r="L183" s="187"/>
    </row>
    <row r="184" spans="1:12" hidden="1" x14ac:dyDescent="0.25">
      <c r="A184" s="187"/>
      <c r="L184" s="187"/>
    </row>
    <row r="185" spans="1:12" hidden="1" x14ac:dyDescent="0.25">
      <c r="A185" s="187"/>
      <c r="L185" s="187"/>
    </row>
    <row r="186" spans="1:12" hidden="1" x14ac:dyDescent="0.25">
      <c r="A186" s="130"/>
      <c r="L186" s="129"/>
    </row>
    <row r="187" spans="1:12" hidden="1" x14ac:dyDescent="0.25">
      <c r="A187" s="187"/>
      <c r="L187" s="187"/>
    </row>
    <row r="188" spans="1:12" hidden="1" x14ac:dyDescent="0.25">
      <c r="A188" s="187"/>
      <c r="L188" s="187"/>
    </row>
    <row r="189" spans="1:12" hidden="1" x14ac:dyDescent="0.25">
      <c r="A189" s="177"/>
      <c r="L189" s="177"/>
    </row>
    <row r="190" spans="1:12" hidden="1" x14ac:dyDescent="0.25">
      <c r="A190" s="187"/>
      <c r="L190" s="187"/>
    </row>
    <row r="191" spans="1:12" hidden="1" x14ac:dyDescent="0.25">
      <c r="A191" s="187"/>
      <c r="L191" s="187"/>
    </row>
    <row r="192" spans="1:12" hidden="1" x14ac:dyDescent="0.25">
      <c r="A192" s="187"/>
      <c r="L192" s="187"/>
    </row>
    <row r="193" spans="1:12" hidden="1" x14ac:dyDescent="0.25">
      <c r="A193" s="130"/>
      <c r="L193" s="129"/>
    </row>
    <row r="194" spans="1:12" hidden="1" x14ac:dyDescent="0.25">
      <c r="A194" s="187"/>
      <c r="L194" s="187"/>
    </row>
    <row r="195" spans="1:12" hidden="1" x14ac:dyDescent="0.25">
      <c r="A195" s="187"/>
      <c r="L195" s="187"/>
    </row>
    <row r="196" spans="1:12" hidden="1" x14ac:dyDescent="0.25">
      <c r="A196" s="177"/>
      <c r="L196" s="177"/>
    </row>
    <row r="197" spans="1:12" hidden="1" x14ac:dyDescent="0.25">
      <c r="A197" s="187"/>
      <c r="L197" s="187"/>
    </row>
    <row r="198" spans="1:12" hidden="1" x14ac:dyDescent="0.25">
      <c r="A198" s="187"/>
      <c r="L198" s="187"/>
    </row>
    <row r="199" spans="1:12" hidden="1" x14ac:dyDescent="0.25">
      <c r="A199" s="187"/>
      <c r="L199" s="187"/>
    </row>
    <row r="200" spans="1:12" hidden="1" x14ac:dyDescent="0.25">
      <c r="A200" s="130"/>
      <c r="L200" s="129"/>
    </row>
    <row r="201" spans="1:12" hidden="1" x14ac:dyDescent="0.25">
      <c r="A201" s="187"/>
      <c r="L201" s="187"/>
    </row>
    <row r="202" spans="1:12" hidden="1" x14ac:dyDescent="0.25">
      <c r="A202" s="187"/>
      <c r="L202" s="187"/>
    </row>
    <row r="203" spans="1:12" hidden="1" x14ac:dyDescent="0.25">
      <c r="A203" s="177"/>
      <c r="L203" s="177"/>
    </row>
    <row r="204" spans="1:12" hidden="1" x14ac:dyDescent="0.25">
      <c r="A204" s="187"/>
      <c r="L204" s="187"/>
    </row>
    <row r="205" spans="1:12" hidden="1" x14ac:dyDescent="0.25">
      <c r="A205" s="187"/>
      <c r="L205" s="187"/>
    </row>
    <row r="206" spans="1:12" hidden="1" x14ac:dyDescent="0.25">
      <c r="A206" s="187"/>
      <c r="L206" s="187"/>
    </row>
    <row r="207" spans="1:12" hidden="1" x14ac:dyDescent="0.25">
      <c r="A207" s="130"/>
      <c r="L207" s="129"/>
    </row>
    <row r="208" spans="1:12" hidden="1" x14ac:dyDescent="0.25">
      <c r="A208" s="187"/>
      <c r="L208" s="187"/>
    </row>
    <row r="209" spans="1:12" hidden="1" x14ac:dyDescent="0.25">
      <c r="A209" s="187"/>
      <c r="L209" s="187"/>
    </row>
    <row r="210" spans="1:12" hidden="1" x14ac:dyDescent="0.25">
      <c r="A210" s="177"/>
      <c r="L210" s="177"/>
    </row>
    <row r="211" spans="1:12" hidden="1" x14ac:dyDescent="0.25">
      <c r="A211" s="187"/>
      <c r="L211" s="187"/>
    </row>
    <row r="212" spans="1:12" hidden="1" x14ac:dyDescent="0.25">
      <c r="A212" s="187"/>
      <c r="L212" s="187"/>
    </row>
    <row r="213" spans="1:12" hidden="1" x14ac:dyDescent="0.25">
      <c r="A213" s="187"/>
      <c r="L213" s="187"/>
    </row>
    <row r="214" spans="1:12" hidden="1" x14ac:dyDescent="0.25">
      <c r="A214" s="129"/>
      <c r="L214" s="129"/>
    </row>
    <row r="215" spans="1:12" hidden="1" x14ac:dyDescent="0.25">
      <c r="A215" s="177"/>
      <c r="L215" s="177"/>
    </row>
    <row r="216" spans="1:12" hidden="1" x14ac:dyDescent="0.25">
      <c r="A216" s="177"/>
      <c r="L216" s="177"/>
    </row>
    <row r="217" spans="1:12" hidden="1" x14ac:dyDescent="0.25">
      <c r="A217" s="177"/>
      <c r="L217" s="177"/>
    </row>
    <row r="218" spans="1:12" hidden="1" x14ac:dyDescent="0.25">
      <c r="A218" s="177"/>
      <c r="L218" s="177"/>
    </row>
    <row r="219" spans="1:12" hidden="1" x14ac:dyDescent="0.25">
      <c r="A219" s="177"/>
      <c r="L219" s="177"/>
    </row>
    <row r="220" spans="1:12" hidden="1" x14ac:dyDescent="0.25">
      <c r="A220" s="177"/>
      <c r="L220" s="177"/>
    </row>
    <row r="221" spans="1:12" hidden="1" x14ac:dyDescent="0.25">
      <c r="A221" s="177"/>
      <c r="L221" s="177"/>
    </row>
    <row r="222" spans="1:12" hidden="1" x14ac:dyDescent="0.25">
      <c r="A222" s="177"/>
      <c r="L222" s="177"/>
    </row>
    <row r="223" spans="1:12" hidden="1" x14ac:dyDescent="0.25">
      <c r="A223" s="177"/>
      <c r="L223" s="177"/>
    </row>
    <row r="224" spans="1:12" hidden="1" x14ac:dyDescent="0.25">
      <c r="A224" s="177"/>
      <c r="L224" s="177"/>
    </row>
    <row r="225" spans="1:12" hidden="1" x14ac:dyDescent="0.25">
      <c r="A225" s="130"/>
      <c r="L225" s="129"/>
    </row>
    <row r="226" spans="1:12" hidden="1" x14ac:dyDescent="0.25">
      <c r="A226" s="187"/>
      <c r="L226" s="187"/>
    </row>
    <row r="227" spans="1:12" hidden="1" x14ac:dyDescent="0.25">
      <c r="A227" s="187"/>
      <c r="L227" s="187"/>
    </row>
    <row r="228" spans="1:12" hidden="1" x14ac:dyDescent="0.25">
      <c r="A228" s="129"/>
      <c r="L228" s="129"/>
    </row>
    <row r="229" spans="1:12" hidden="1" x14ac:dyDescent="0.25">
      <c r="A229" s="129"/>
      <c r="L229" s="129"/>
    </row>
    <row r="230" spans="1:12" hidden="1" x14ac:dyDescent="0.25">
      <c r="A230" s="187"/>
      <c r="L230" s="187"/>
    </row>
    <row r="231" spans="1:12" hidden="1" x14ac:dyDescent="0.25">
      <c r="A231" s="187"/>
      <c r="L231" s="187"/>
    </row>
    <row r="232" spans="1:12" hidden="1" x14ac:dyDescent="0.25">
      <c r="A232" s="187"/>
      <c r="L232" s="187"/>
    </row>
    <row r="233" spans="1:12" hidden="1" x14ac:dyDescent="0.25">
      <c r="A233" s="187"/>
      <c r="L233" s="187"/>
    </row>
    <row r="234" spans="1:12" hidden="1" x14ac:dyDescent="0.25">
      <c r="A234" s="187"/>
      <c r="L234" s="187"/>
    </row>
    <row r="235" spans="1:12" hidden="1" x14ac:dyDescent="0.25">
      <c r="A235" s="187"/>
      <c r="L235" s="187"/>
    </row>
    <row r="236" spans="1:12" hidden="1" x14ac:dyDescent="0.25">
      <c r="A236" s="187"/>
      <c r="L236" s="187"/>
    </row>
    <row r="237" spans="1:12" hidden="1" x14ac:dyDescent="0.25">
      <c r="A237" s="187"/>
      <c r="L237" s="187"/>
    </row>
    <row r="238" spans="1:12" hidden="1" x14ac:dyDescent="0.25">
      <c r="A238" s="187"/>
      <c r="L238" s="187"/>
    </row>
    <row r="239" spans="1:12" hidden="1" x14ac:dyDescent="0.25">
      <c r="A239" s="187"/>
      <c r="L239" s="187"/>
    </row>
    <row r="240" spans="1:12" hidden="1" x14ac:dyDescent="0.25">
      <c r="A240" s="187"/>
      <c r="L240" s="187"/>
    </row>
    <row r="241" spans="1:12" hidden="1" x14ac:dyDescent="0.25">
      <c r="A241" s="187"/>
      <c r="L241" s="187"/>
    </row>
    <row r="242" spans="1:12" hidden="1" x14ac:dyDescent="0.25">
      <c r="A242" s="129"/>
      <c r="L242" s="129"/>
    </row>
    <row r="243" spans="1:12" hidden="1" x14ac:dyDescent="0.25">
      <c r="A243" s="129"/>
      <c r="L243" s="129"/>
    </row>
    <row r="244" spans="1:12" hidden="1" x14ac:dyDescent="0.25">
      <c r="A244" s="129"/>
      <c r="L244" s="129"/>
    </row>
    <row r="245" spans="1:12" hidden="1" x14ac:dyDescent="0.25">
      <c r="A245" s="129"/>
      <c r="L245" s="129"/>
    </row>
    <row r="246" spans="1:12" hidden="1" x14ac:dyDescent="0.25">
      <c r="A246" s="129"/>
      <c r="L246" s="129"/>
    </row>
    <row r="247" spans="1:12" hidden="1" x14ac:dyDescent="0.25">
      <c r="A247" s="129"/>
      <c r="L247" s="129"/>
    </row>
    <row r="248" spans="1:12" hidden="1" x14ac:dyDescent="0.25">
      <c r="A248" s="129"/>
      <c r="L248" s="129"/>
    </row>
    <row r="249" spans="1:12" hidden="1" x14ac:dyDescent="0.25">
      <c r="A249" s="129"/>
      <c r="L249" s="129"/>
    </row>
    <row r="250" spans="1:12" hidden="1" x14ac:dyDescent="0.25">
      <c r="A250" s="129"/>
      <c r="L250" s="129"/>
    </row>
    <row r="251" spans="1:12" hidden="1" x14ac:dyDescent="0.25">
      <c r="A251" s="129"/>
      <c r="L251" s="129"/>
    </row>
    <row r="252" spans="1:12" hidden="1" x14ac:dyDescent="0.25">
      <c r="A252" s="177"/>
      <c r="L252" s="177"/>
    </row>
    <row r="253" spans="1:12" hidden="1" x14ac:dyDescent="0.25">
      <c r="A253" s="177"/>
      <c r="L253" s="177"/>
    </row>
    <row r="254" spans="1:12" hidden="1" x14ac:dyDescent="0.25">
      <c r="A254" s="129"/>
      <c r="L254" s="129"/>
    </row>
    <row r="255" spans="1:12" hidden="1" x14ac:dyDescent="0.25">
      <c r="A255" s="129"/>
      <c r="L255" s="129"/>
    </row>
    <row r="256" spans="1:12" hidden="1" x14ac:dyDescent="0.25">
      <c r="A256" s="177"/>
      <c r="L256" s="177"/>
    </row>
    <row r="257" spans="1:12" hidden="1" x14ac:dyDescent="0.25">
      <c r="A257" s="129"/>
      <c r="L257" s="129"/>
    </row>
    <row r="258" spans="1:12" hidden="1" x14ac:dyDescent="0.25">
      <c r="A258" s="129"/>
      <c r="L258" s="129"/>
    </row>
    <row r="259" spans="1:12" hidden="1" x14ac:dyDescent="0.25">
      <c r="A259" s="129"/>
      <c r="L259" s="129"/>
    </row>
    <row r="260" spans="1:12" hidden="1" x14ac:dyDescent="0.25">
      <c r="A260" s="129"/>
      <c r="L260" s="129"/>
    </row>
    <row r="261" spans="1:12" hidden="1" x14ac:dyDescent="0.25">
      <c r="A261" s="129"/>
      <c r="L261" s="129"/>
    </row>
    <row r="262" spans="1:12" hidden="1" x14ac:dyDescent="0.25">
      <c r="A262" s="129"/>
      <c r="L262" s="129"/>
    </row>
    <row r="270" spans="1:12" hidden="1" x14ac:dyDescent="0.25">
      <c r="A270" s="34"/>
      <c r="L270" s="34"/>
    </row>
    <row r="271" spans="1:12" hidden="1" x14ac:dyDescent="0.25">
      <c r="A271" s="34"/>
      <c r="L271" s="34"/>
    </row>
    <row r="272" spans="1:12" hidden="1" x14ac:dyDescent="0.25">
      <c r="A272" s="34"/>
      <c r="L272" s="34"/>
    </row>
    <row r="273" spans="1:12" hidden="1" x14ac:dyDescent="0.25">
      <c r="A273" s="34"/>
      <c r="L273" s="34"/>
    </row>
    <row r="274" spans="1:12" hidden="1" x14ac:dyDescent="0.25">
      <c r="A274" s="34"/>
      <c r="L274" s="34"/>
    </row>
    <row r="275" spans="1:12" hidden="1" x14ac:dyDescent="0.25">
      <c r="A275" s="34"/>
      <c r="L275" s="34"/>
    </row>
    <row r="276" spans="1:12" hidden="1" x14ac:dyDescent="0.25">
      <c r="A276" s="34"/>
      <c r="L276" s="34"/>
    </row>
    <row r="277" spans="1:12" hidden="1" x14ac:dyDescent="0.25">
      <c r="A277" s="34"/>
      <c r="L277" s="34"/>
    </row>
    <row r="278" spans="1:12" hidden="1" x14ac:dyDescent="0.25">
      <c r="A278" s="34"/>
      <c r="L278" s="34"/>
    </row>
    <row r="279" spans="1:12" hidden="1" x14ac:dyDescent="0.25">
      <c r="A279" s="34"/>
      <c r="L279" s="34"/>
    </row>
    <row r="280" spans="1:12" hidden="1" x14ac:dyDescent="0.25">
      <c r="A280" s="34"/>
      <c r="L280" s="34"/>
    </row>
    <row r="281" spans="1:12" hidden="1" x14ac:dyDescent="0.25">
      <c r="A281" s="34"/>
      <c r="L281" s="34"/>
    </row>
    <row r="282" spans="1:12" hidden="1" x14ac:dyDescent="0.25">
      <c r="A282" s="34"/>
      <c r="L282" s="34"/>
    </row>
    <row r="283" spans="1:12" hidden="1" x14ac:dyDescent="0.25">
      <c r="A283" s="34"/>
      <c r="L283" s="34"/>
    </row>
    <row r="284" spans="1:12" hidden="1" x14ac:dyDescent="0.25">
      <c r="A284" s="34"/>
      <c r="L284" s="34"/>
    </row>
    <row r="285" spans="1:12" hidden="1" x14ac:dyDescent="0.25">
      <c r="A285" s="34"/>
      <c r="L285" s="34"/>
    </row>
    <row r="286" spans="1:12" hidden="1" x14ac:dyDescent="0.25">
      <c r="A286" s="34"/>
      <c r="L286" s="34"/>
    </row>
    <row r="287" spans="1:12" hidden="1" x14ac:dyDescent="0.25">
      <c r="A287" s="34"/>
      <c r="L287" s="34"/>
    </row>
    <row r="288" spans="1:12" hidden="1" x14ac:dyDescent="0.25">
      <c r="A288" s="34"/>
      <c r="L288" s="34"/>
    </row>
    <row r="289" spans="1:12" hidden="1" x14ac:dyDescent="0.25">
      <c r="A289" s="34"/>
      <c r="L289" s="34"/>
    </row>
    <row r="290" spans="1:12" hidden="1" x14ac:dyDescent="0.25">
      <c r="A290" s="34"/>
      <c r="L290" s="34"/>
    </row>
    <row r="291" spans="1:12" hidden="1" x14ac:dyDescent="0.25">
      <c r="A291" s="34"/>
      <c r="L291" s="34"/>
    </row>
    <row r="292" spans="1:12" hidden="1" x14ac:dyDescent="0.25">
      <c r="A292" s="34"/>
      <c r="L292" s="34"/>
    </row>
    <row r="293" spans="1:12" hidden="1" x14ac:dyDescent="0.25">
      <c r="A293" s="34"/>
      <c r="L293" s="34"/>
    </row>
    <row r="294" spans="1:12" hidden="1" x14ac:dyDescent="0.25">
      <c r="A294" s="34"/>
      <c r="L294" s="34"/>
    </row>
    <row r="295" spans="1:12" hidden="1" x14ac:dyDescent="0.25">
      <c r="A295" s="34"/>
      <c r="L295" s="34"/>
    </row>
    <row r="296" spans="1:12" hidden="1" x14ac:dyDescent="0.25">
      <c r="A296" s="34"/>
      <c r="L296" s="34"/>
    </row>
    <row r="297" spans="1:12" hidden="1" x14ac:dyDescent="0.25">
      <c r="A297" s="34"/>
      <c r="L297" s="34"/>
    </row>
    <row r="298" spans="1:12" hidden="1" x14ac:dyDescent="0.25">
      <c r="A298" s="34"/>
      <c r="L298" s="34"/>
    </row>
    <row r="299" spans="1:12" hidden="1" x14ac:dyDescent="0.25">
      <c r="A299" s="34"/>
      <c r="L299" s="34"/>
    </row>
    <row r="300" spans="1:12" hidden="1" x14ac:dyDescent="0.25">
      <c r="A300" s="34"/>
      <c r="L300" s="34"/>
    </row>
    <row r="301" spans="1:12" hidden="1" x14ac:dyDescent="0.25">
      <c r="A301" s="34"/>
      <c r="L301" s="34"/>
    </row>
    <row r="302" spans="1:12" hidden="1" x14ac:dyDescent="0.25">
      <c r="A302" s="34"/>
      <c r="L302" s="34"/>
    </row>
    <row r="303" spans="1:12" hidden="1" x14ac:dyDescent="0.25">
      <c r="A303" s="34"/>
      <c r="L303" s="34"/>
    </row>
    <row r="304" spans="1:12" hidden="1" x14ac:dyDescent="0.25">
      <c r="A304" s="34"/>
      <c r="L304" s="34"/>
    </row>
    <row r="305" spans="1:12" hidden="1" x14ac:dyDescent="0.25">
      <c r="A305" s="34"/>
      <c r="L305" s="34"/>
    </row>
    <row r="306" spans="1:12" hidden="1" x14ac:dyDescent="0.25">
      <c r="A306" s="34"/>
      <c r="L306" s="34"/>
    </row>
    <row r="307" spans="1:12" hidden="1" x14ac:dyDescent="0.25">
      <c r="A307" s="34"/>
      <c r="L307" s="34"/>
    </row>
    <row r="308" spans="1:12" hidden="1" x14ac:dyDescent="0.25">
      <c r="A308" s="34"/>
      <c r="L308" s="34"/>
    </row>
    <row r="309" spans="1:12" hidden="1" x14ac:dyDescent="0.25">
      <c r="A309" s="34"/>
      <c r="L309" s="34"/>
    </row>
    <row r="310" spans="1:12" hidden="1" x14ac:dyDescent="0.25">
      <c r="A310" s="34"/>
      <c r="L310" s="34"/>
    </row>
    <row r="311" spans="1:12" hidden="1" x14ac:dyDescent="0.25">
      <c r="A311" s="34"/>
      <c r="L311" s="34"/>
    </row>
    <row r="312" spans="1:12" hidden="1" x14ac:dyDescent="0.25">
      <c r="A312" s="34"/>
      <c r="L312" s="34"/>
    </row>
    <row r="313" spans="1:12" hidden="1" x14ac:dyDescent="0.25">
      <c r="A313" s="34"/>
      <c r="L313" s="34"/>
    </row>
    <row r="314" spans="1:12" hidden="1" x14ac:dyDescent="0.25">
      <c r="A314" s="34"/>
      <c r="L314" s="34"/>
    </row>
    <row r="315" spans="1:12" hidden="1" x14ac:dyDescent="0.25">
      <c r="A315" s="34"/>
      <c r="L315" s="34"/>
    </row>
    <row r="316" spans="1:12" hidden="1" x14ac:dyDescent="0.25">
      <c r="A316" s="34"/>
      <c r="L316" s="34"/>
    </row>
    <row r="317" spans="1:12" hidden="1" x14ac:dyDescent="0.25">
      <c r="A317" s="34"/>
      <c r="L317" s="34"/>
    </row>
    <row r="318" spans="1:12" hidden="1" x14ac:dyDescent="0.25">
      <c r="A318" s="34"/>
      <c r="L318" s="34"/>
    </row>
    <row r="319" spans="1:12" hidden="1" x14ac:dyDescent="0.25">
      <c r="A319" s="34"/>
      <c r="L319" s="34"/>
    </row>
    <row r="320" spans="1:12" hidden="1" x14ac:dyDescent="0.25">
      <c r="A320" s="34"/>
      <c r="L320" s="34"/>
    </row>
    <row r="321" spans="1:12" hidden="1" x14ac:dyDescent="0.25">
      <c r="A321" s="34"/>
      <c r="L321" s="34"/>
    </row>
    <row r="322" spans="1:12" hidden="1" x14ac:dyDescent="0.25">
      <c r="A322" s="34"/>
      <c r="L322" s="34"/>
    </row>
    <row r="323" spans="1:12" hidden="1" x14ac:dyDescent="0.25">
      <c r="A323" s="34"/>
      <c r="L323" s="34"/>
    </row>
    <row r="324" spans="1:12" hidden="1" x14ac:dyDescent="0.25">
      <c r="A324" s="34"/>
      <c r="L324" s="34"/>
    </row>
    <row r="325" spans="1:12" hidden="1" x14ac:dyDescent="0.25">
      <c r="A325" s="34"/>
      <c r="L325" s="34"/>
    </row>
    <row r="326" spans="1:12" hidden="1" x14ac:dyDescent="0.25">
      <c r="A326" s="34"/>
      <c r="L326" s="34"/>
    </row>
    <row r="327" spans="1:12" hidden="1" x14ac:dyDescent="0.25">
      <c r="A327" s="34"/>
      <c r="L327" s="34"/>
    </row>
    <row r="328" spans="1:12" hidden="1" x14ac:dyDescent="0.25">
      <c r="A328" s="34"/>
      <c r="L328" s="34"/>
    </row>
    <row r="329" spans="1:12" hidden="1" x14ac:dyDescent="0.25">
      <c r="A329" s="34"/>
      <c r="L329" s="34"/>
    </row>
    <row r="330" spans="1:12" hidden="1" x14ac:dyDescent="0.25">
      <c r="A330" s="34"/>
      <c r="L330" s="34"/>
    </row>
    <row r="331" spans="1:12" hidden="1" x14ac:dyDescent="0.25">
      <c r="A331" s="34"/>
      <c r="L331" s="34"/>
    </row>
    <row r="332" spans="1:12" hidden="1" x14ac:dyDescent="0.25">
      <c r="A332" s="34"/>
      <c r="L332" s="34"/>
    </row>
    <row r="333" spans="1:12" hidden="1" x14ac:dyDescent="0.25">
      <c r="A333" s="34"/>
      <c r="L333" s="34"/>
    </row>
    <row r="334" spans="1:12" hidden="1" x14ac:dyDescent="0.25">
      <c r="A334" s="34"/>
      <c r="L334" s="34"/>
    </row>
    <row r="335" spans="1:12" hidden="1" x14ac:dyDescent="0.25">
      <c r="A335" s="34"/>
      <c r="L335" s="34"/>
    </row>
    <row r="336" spans="1:12" hidden="1" x14ac:dyDescent="0.25">
      <c r="A336" s="34"/>
      <c r="L336" s="34"/>
    </row>
    <row r="337" spans="1:12" hidden="1" x14ac:dyDescent="0.25">
      <c r="A337" s="34"/>
      <c r="L337" s="34"/>
    </row>
    <row r="338" spans="1:12" hidden="1" x14ac:dyDescent="0.25">
      <c r="A338" s="34"/>
      <c r="L338" s="34"/>
    </row>
    <row r="339" spans="1:12" hidden="1" x14ac:dyDescent="0.25">
      <c r="A339" s="34"/>
      <c r="L339" s="34"/>
    </row>
    <row r="340" spans="1:12" hidden="1" x14ac:dyDescent="0.25">
      <c r="A340" s="34"/>
      <c r="L340" s="34"/>
    </row>
    <row r="341" spans="1:12" hidden="1" x14ac:dyDescent="0.25">
      <c r="A341" s="34"/>
      <c r="L341" s="34"/>
    </row>
    <row r="342" spans="1:12" hidden="1" x14ac:dyDescent="0.25">
      <c r="A342" s="34"/>
      <c r="L342" s="34"/>
    </row>
    <row r="343" spans="1:12" hidden="1" x14ac:dyDescent="0.25">
      <c r="A343" s="34"/>
      <c r="L343" s="34"/>
    </row>
    <row r="344" spans="1:12" hidden="1" x14ac:dyDescent="0.25">
      <c r="A344" s="34"/>
      <c r="L344" s="34"/>
    </row>
    <row r="345" spans="1:12" hidden="1" x14ac:dyDescent="0.25">
      <c r="A345" s="34"/>
      <c r="L345" s="34"/>
    </row>
    <row r="346" spans="1:12" hidden="1" x14ac:dyDescent="0.25">
      <c r="A346" s="34"/>
      <c r="L346" s="34"/>
    </row>
    <row r="347" spans="1:12" hidden="1" x14ac:dyDescent="0.25">
      <c r="A347" s="34"/>
      <c r="L347" s="34"/>
    </row>
    <row r="348" spans="1:12" hidden="1" x14ac:dyDescent="0.25">
      <c r="A348" s="34"/>
      <c r="L348" s="34"/>
    </row>
    <row r="349" spans="1:12" hidden="1" x14ac:dyDescent="0.25">
      <c r="A349" s="34"/>
      <c r="L349" s="34"/>
    </row>
    <row r="350" spans="1:12" hidden="1" x14ac:dyDescent="0.25">
      <c r="A350" s="34"/>
      <c r="L350" s="34"/>
    </row>
    <row r="351" spans="1:12" hidden="1" x14ac:dyDescent="0.25">
      <c r="A351" s="34"/>
      <c r="L351" s="34"/>
    </row>
    <row r="352" spans="1:12" hidden="1" x14ac:dyDescent="0.25">
      <c r="A352" s="34"/>
      <c r="L352" s="34"/>
    </row>
    <row r="353" spans="1:12" hidden="1" x14ac:dyDescent="0.25">
      <c r="A353" s="34"/>
      <c r="L353" s="34"/>
    </row>
    <row r="354" spans="1:12" hidden="1" x14ac:dyDescent="0.25">
      <c r="A354" s="34"/>
      <c r="L354" s="34"/>
    </row>
    <row r="355" spans="1:12" hidden="1" x14ac:dyDescent="0.25">
      <c r="A355" s="34"/>
      <c r="L355" s="34"/>
    </row>
    <row r="356" spans="1:12" hidden="1" x14ac:dyDescent="0.25">
      <c r="A356" s="34"/>
      <c r="L356" s="34"/>
    </row>
    <row r="357" spans="1:12" hidden="1" x14ac:dyDescent="0.25">
      <c r="A357" s="34"/>
      <c r="L357" s="34"/>
    </row>
    <row r="358" spans="1:12" hidden="1" x14ac:dyDescent="0.25">
      <c r="A358" s="34"/>
      <c r="L358" s="34"/>
    </row>
    <row r="359" spans="1:12" hidden="1" x14ac:dyDescent="0.25">
      <c r="A359" s="34"/>
      <c r="L359" s="34"/>
    </row>
    <row r="360" spans="1:12" hidden="1" x14ac:dyDescent="0.25">
      <c r="A360" s="34"/>
      <c r="L360" s="34"/>
    </row>
    <row r="361" spans="1:12" hidden="1" x14ac:dyDescent="0.25">
      <c r="A361" s="34"/>
      <c r="L361" s="34"/>
    </row>
    <row r="362" spans="1:12" hidden="1" x14ac:dyDescent="0.25">
      <c r="A362" s="34"/>
      <c r="L362" s="34"/>
    </row>
    <row r="363" spans="1:12" hidden="1" x14ac:dyDescent="0.25">
      <c r="A363" s="34"/>
      <c r="L363" s="34"/>
    </row>
    <row r="364" spans="1:12" hidden="1" x14ac:dyDescent="0.25">
      <c r="A364" s="34"/>
      <c r="L364" s="34"/>
    </row>
    <row r="365" spans="1:12" hidden="1" x14ac:dyDescent="0.25">
      <c r="A365" s="34"/>
      <c r="L365" s="34"/>
    </row>
    <row r="366" spans="1:12" hidden="1" x14ac:dyDescent="0.25">
      <c r="A366" s="34"/>
      <c r="L366" s="34"/>
    </row>
    <row r="367" spans="1:12" hidden="1" x14ac:dyDescent="0.25">
      <c r="A367" s="34"/>
      <c r="L367" s="34"/>
    </row>
    <row r="368" spans="1:12" hidden="1" x14ac:dyDescent="0.25">
      <c r="A368" s="34"/>
      <c r="L368" s="34"/>
    </row>
    <row r="369" spans="1:12" hidden="1" x14ac:dyDescent="0.25">
      <c r="A369" s="34"/>
      <c r="L369" s="34"/>
    </row>
    <row r="370" spans="1:12" hidden="1" x14ac:dyDescent="0.25">
      <c r="A370" s="34"/>
      <c r="L370" s="34"/>
    </row>
    <row r="371" spans="1:12" hidden="1" x14ac:dyDescent="0.25">
      <c r="A371" s="34"/>
      <c r="L371" s="34"/>
    </row>
    <row r="372" spans="1:12" hidden="1" x14ac:dyDescent="0.25">
      <c r="A372" s="34"/>
      <c r="L372" s="34"/>
    </row>
    <row r="373" spans="1:12" hidden="1" x14ac:dyDescent="0.25">
      <c r="A373" s="34"/>
      <c r="L373" s="34"/>
    </row>
    <row r="374" spans="1:12" hidden="1" x14ac:dyDescent="0.25">
      <c r="A374" s="34"/>
      <c r="L374" s="34"/>
    </row>
    <row r="375" spans="1:12" hidden="1" x14ac:dyDescent="0.25">
      <c r="A375" s="34"/>
      <c r="L375" s="34"/>
    </row>
    <row r="376" spans="1:12" hidden="1" x14ac:dyDescent="0.25">
      <c r="A376" s="34"/>
      <c r="L376" s="34"/>
    </row>
    <row r="377" spans="1:12" hidden="1" x14ac:dyDescent="0.25">
      <c r="A377" s="34"/>
      <c r="L377" s="34"/>
    </row>
    <row r="378" spans="1:12" hidden="1" x14ac:dyDescent="0.25">
      <c r="A378" s="34"/>
      <c r="L378" s="34"/>
    </row>
    <row r="379" spans="1:12" hidden="1" x14ac:dyDescent="0.25">
      <c r="A379" s="34"/>
      <c r="L379" s="34"/>
    </row>
    <row r="380" spans="1:12" hidden="1" x14ac:dyDescent="0.25">
      <c r="A380" s="34"/>
      <c r="L380" s="34"/>
    </row>
    <row r="381" spans="1:12" hidden="1" x14ac:dyDescent="0.25">
      <c r="A381" s="34"/>
      <c r="L381" s="34"/>
    </row>
    <row r="382" spans="1:12" hidden="1" x14ac:dyDescent="0.25">
      <c r="A382" s="34"/>
      <c r="L382" s="34"/>
    </row>
    <row r="383" spans="1:12" hidden="1" x14ac:dyDescent="0.25">
      <c r="A383" s="34"/>
      <c r="L383" s="34"/>
    </row>
    <row r="384" spans="1:12" hidden="1" x14ac:dyDescent="0.25">
      <c r="A384" s="34"/>
      <c r="L384" s="34"/>
    </row>
    <row r="385" spans="1:12" hidden="1" x14ac:dyDescent="0.25">
      <c r="A385" s="34"/>
      <c r="L385" s="34"/>
    </row>
    <row r="386" spans="1:12" hidden="1" x14ac:dyDescent="0.25">
      <c r="A386" s="34"/>
      <c r="L386" s="34"/>
    </row>
    <row r="387" spans="1:12" hidden="1" x14ac:dyDescent="0.25">
      <c r="A387" s="34"/>
      <c r="L387" s="34"/>
    </row>
    <row r="388" spans="1:12" hidden="1" x14ac:dyDescent="0.25">
      <c r="A388" s="34"/>
      <c r="L388" s="34"/>
    </row>
    <row r="389" spans="1:12" hidden="1" x14ac:dyDescent="0.25">
      <c r="A389" s="34"/>
      <c r="L389" s="34"/>
    </row>
    <row r="390" spans="1:12" hidden="1" x14ac:dyDescent="0.25">
      <c r="A390" s="34"/>
      <c r="L390" s="34"/>
    </row>
    <row r="391" spans="1:12" hidden="1" x14ac:dyDescent="0.25">
      <c r="A391" s="34"/>
      <c r="L391" s="34"/>
    </row>
    <row r="392" spans="1:12" hidden="1" x14ac:dyDescent="0.25">
      <c r="A392" s="34"/>
      <c r="L392" s="34"/>
    </row>
    <row r="393" spans="1:12" hidden="1" x14ac:dyDescent="0.25">
      <c r="A393" s="34"/>
      <c r="L393" s="34"/>
    </row>
    <row r="394" spans="1:12" hidden="1" x14ac:dyDescent="0.25">
      <c r="A394" s="34"/>
      <c r="L394" s="34"/>
    </row>
  </sheetData>
  <sheetProtection password="CA1B" sheet="1" formatColumns="0" formatRows="0"/>
  <mergeCells count="1">
    <mergeCell ref="D44:K44"/>
  </mergeCells>
  <hyperlinks>
    <hyperlink ref="C4" location="Inicio!A1" display="Inicio" xr:uid="{00000000-0004-0000-0300-000000000000}"/>
  </hyperlinks>
  <pageMargins left="0.43307086614173229" right="0.31496062992125984" top="0.70866141732283472" bottom="0.23622047244094491" header="0.31496062992125984" footer="0.19685039370078741"/>
  <pageSetup orientation="landscape" r:id="rId1"/>
  <headerFooter alignWithMargins="0">
    <oddHeader>&amp;C&amp;"Arial,Negrita"&amp;12&amp;A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20">
    <tabColor rgb="FFFFFF00"/>
  </sheetPr>
  <dimension ref="A1:Q172"/>
  <sheetViews>
    <sheetView topLeftCell="A2" zoomScale="76" zoomScaleNormal="76" workbookViewId="0">
      <selection activeCell="C14" sqref="C14"/>
    </sheetView>
  </sheetViews>
  <sheetFormatPr baseColWidth="10" defaultColWidth="0" defaultRowHeight="13.2" zeroHeight="1" x14ac:dyDescent="0.25"/>
  <cols>
    <col min="1" max="1" width="2.6640625" customWidth="1"/>
    <col min="2" max="2" width="2.44140625" customWidth="1"/>
    <col min="3" max="3" width="115.5546875" bestFit="1" customWidth="1"/>
    <col min="4" max="4" width="11.33203125" customWidth="1"/>
    <col min="5" max="5" width="9.21875" customWidth="1"/>
    <col min="6" max="6" width="9.6640625" customWidth="1"/>
    <col min="7" max="7" width="9.21875" customWidth="1"/>
    <col min="8" max="8" width="9.6640625" customWidth="1"/>
    <col min="9" max="11" width="11.44140625" customWidth="1"/>
    <col min="12" max="15" width="11.44140625" hidden="1" customWidth="1"/>
    <col min="16" max="16" width="3.77734375" hidden="1" customWidth="1"/>
    <col min="17" max="17" width="6" hidden="1" customWidth="1"/>
  </cols>
  <sheetData>
    <row r="1" spans="1:17" ht="18" hidden="1" customHeight="1" x14ac:dyDescent="0.25">
      <c r="A1" s="260"/>
      <c r="B1" s="260"/>
      <c r="C1" s="259"/>
      <c r="D1" s="261"/>
      <c r="E1" s="272"/>
      <c r="F1" s="272"/>
      <c r="G1" s="272"/>
      <c r="H1" s="329" t="s">
        <v>350</v>
      </c>
      <c r="I1" s="272"/>
      <c r="J1" s="165">
        <v>0</v>
      </c>
      <c r="K1" s="165">
        <v>1</v>
      </c>
      <c r="L1" s="165">
        <v>2</v>
      </c>
      <c r="M1" s="165">
        <v>3</v>
      </c>
      <c r="N1" s="165">
        <v>4</v>
      </c>
      <c r="O1" s="166">
        <v>5</v>
      </c>
      <c r="P1" s="260"/>
      <c r="Q1" s="260"/>
    </row>
    <row r="2" spans="1:17" ht="18" thickBot="1" x14ac:dyDescent="0.3">
      <c r="A2" s="225"/>
      <c r="B2" s="226"/>
      <c r="C2" s="225" t="s">
        <v>406</v>
      </c>
      <c r="D2" s="227"/>
      <c r="E2" s="273"/>
      <c r="F2" s="273"/>
      <c r="G2" s="273"/>
      <c r="H2" s="273"/>
      <c r="I2" s="273"/>
      <c r="J2" s="228"/>
      <c r="K2" s="329" t="s">
        <v>350</v>
      </c>
      <c r="L2" s="228"/>
      <c r="M2" s="228"/>
      <c r="N2" s="228"/>
      <c r="O2" s="229"/>
      <c r="P2" s="260"/>
      <c r="Q2" s="260"/>
    </row>
    <row r="3" spans="1:17" ht="13.8" thickBot="1" x14ac:dyDescent="0.3">
      <c r="A3" s="129"/>
      <c r="B3" s="266"/>
      <c r="C3" s="270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62"/>
      <c r="Q3" s="129"/>
    </row>
    <row r="4" spans="1:17" x14ac:dyDescent="0.25">
      <c r="A4" s="129"/>
      <c r="B4" s="268"/>
      <c r="C4" s="287" t="s">
        <v>535</v>
      </c>
      <c r="D4" s="286"/>
      <c r="E4" s="286"/>
      <c r="F4" s="134">
        <f>+Bases!D5+1</f>
        <v>1</v>
      </c>
      <c r="G4" s="134">
        <f>F4+1</f>
        <v>2</v>
      </c>
      <c r="H4" s="134">
        <f>G4+1</f>
        <v>3</v>
      </c>
      <c r="I4" s="134">
        <f>H4+1</f>
        <v>4</v>
      </c>
      <c r="J4" s="288">
        <f>I4+1</f>
        <v>5</v>
      </c>
      <c r="K4" s="283"/>
      <c r="L4" s="283"/>
      <c r="M4" s="283"/>
      <c r="N4" s="283"/>
      <c r="O4" s="283"/>
      <c r="P4" s="263"/>
      <c r="Q4" s="129"/>
    </row>
    <row r="5" spans="1:17" x14ac:dyDescent="0.25">
      <c r="A5" s="129"/>
      <c r="B5" s="268"/>
      <c r="C5" s="289" t="s">
        <v>536</v>
      </c>
      <c r="D5" s="264"/>
      <c r="E5" s="265"/>
      <c r="F5" s="339" t="s">
        <v>313</v>
      </c>
      <c r="G5" s="339" t="s">
        <v>313</v>
      </c>
      <c r="H5" s="339" t="s">
        <v>313</v>
      </c>
      <c r="I5" s="339" t="s">
        <v>313</v>
      </c>
      <c r="J5" s="339" t="s">
        <v>313</v>
      </c>
      <c r="K5" s="283"/>
      <c r="L5" s="283"/>
      <c r="M5" s="283"/>
      <c r="N5" s="283"/>
      <c r="O5" s="283"/>
      <c r="P5" s="263"/>
      <c r="Q5" s="129"/>
    </row>
    <row r="6" spans="1:17" x14ac:dyDescent="0.25">
      <c r="A6" s="129"/>
      <c r="B6" s="268"/>
      <c r="C6" s="290" t="str">
        <f>CONCATENATE("Costo Mercancía ",Bases!C14)</f>
        <v>Costo Mercancía PROTEÍNA DE TORTA DE MORINGA EN PRESENTACIÓN 30 GR</v>
      </c>
      <c r="D6" s="248"/>
      <c r="E6" s="36"/>
      <c r="F6" s="348">
        <v>4966.2</v>
      </c>
      <c r="G6" s="348">
        <f>(F6*Inflacion1)+F6</f>
        <v>5159.8818000000001</v>
      </c>
      <c r="H6" s="348">
        <f>(G6*Inflacion2)+G6</f>
        <v>5319.8381357999997</v>
      </c>
      <c r="I6" s="348">
        <f>(H6*Inflacion3)+H6</f>
        <v>5479.4332798739997</v>
      </c>
      <c r="J6" s="348">
        <f>(I6*Inflacion4)+I6</f>
        <v>5643.8162782702193</v>
      </c>
      <c r="K6" s="283"/>
      <c r="L6" s="283"/>
      <c r="M6" s="283"/>
      <c r="N6" s="283"/>
      <c r="O6" s="283"/>
      <c r="P6" s="263"/>
      <c r="Q6" s="129"/>
    </row>
    <row r="7" spans="1:17" x14ac:dyDescent="0.25">
      <c r="A7" s="129"/>
      <c r="B7" s="268"/>
      <c r="C7" s="290" t="str">
        <f>CONCATENATE("Costo Mercancía ",Bases!C15)</f>
        <v>Costo Mercancía PROTEÍNA DE TORTA DE MORINGA EN PRESENTACIÓN 560 GR</v>
      </c>
      <c r="D7" s="173"/>
      <c r="E7" s="36"/>
      <c r="F7" s="348">
        <v>34075.050000000003</v>
      </c>
      <c r="G7" s="348">
        <f>(F7*Inflacion1)+F7</f>
        <v>35403.976950000004</v>
      </c>
      <c r="H7" s="348">
        <f>(G7*Inflacion2)+G7</f>
        <v>36501.500235450003</v>
      </c>
      <c r="I7" s="348">
        <f>(H7*Inflacion3)+H7</f>
        <v>37596.545242513501</v>
      </c>
      <c r="J7" s="348">
        <f>(I7*Inflacion4)+I7</f>
        <v>38724.441599788908</v>
      </c>
      <c r="K7" s="283"/>
      <c r="L7" s="283"/>
      <c r="M7" s="283"/>
      <c r="N7" s="283"/>
      <c r="O7" s="283"/>
      <c r="P7" s="263"/>
      <c r="Q7" s="129"/>
    </row>
    <row r="8" spans="1:17" x14ac:dyDescent="0.25">
      <c r="A8" s="129"/>
      <c r="B8" s="268"/>
      <c r="C8" s="290" t="str">
        <f>CONCATENATE("Costo Mercancía ",Bases!C16)</f>
        <v>Costo Mercancía PROTEÍNA DE TORTA DE MORINGA EN PRESENTACIÓN 900 GR</v>
      </c>
      <c r="D8" s="173"/>
      <c r="E8" s="36"/>
      <c r="F8" s="348">
        <v>52667</v>
      </c>
      <c r="G8" s="348">
        <f>(F8*Inflacion1)+F8</f>
        <v>54721.012999999999</v>
      </c>
      <c r="H8" s="348">
        <f>(G8*Inflacion2)+G8</f>
        <v>56417.364403</v>
      </c>
      <c r="I8" s="348">
        <f>(H8*Inflacion3)+H8</f>
        <v>58109.885335090003</v>
      </c>
      <c r="J8" s="348">
        <f>(I8*Inflacion4)+I8</f>
        <v>59853.181895142705</v>
      </c>
      <c r="K8" s="283"/>
      <c r="L8" s="283"/>
      <c r="M8" s="283"/>
      <c r="N8" s="283"/>
      <c r="O8" s="283"/>
      <c r="P8" s="263"/>
      <c r="Q8" s="129"/>
    </row>
    <row r="9" spans="1:17" x14ac:dyDescent="0.25">
      <c r="A9" s="129"/>
      <c r="B9" s="268"/>
      <c r="C9" s="290" t="str">
        <f>CONCATENATE("Costo Mercancía ",Bases!C17)</f>
        <v xml:space="preserve">Costo Mercancía </v>
      </c>
      <c r="D9" s="173"/>
      <c r="E9" s="36"/>
      <c r="F9" s="348"/>
      <c r="G9" s="348"/>
      <c r="H9" s="348"/>
      <c r="I9" s="348"/>
      <c r="J9" s="348"/>
      <c r="K9" s="283"/>
      <c r="L9" s="283"/>
      <c r="M9" s="283"/>
      <c r="N9" s="283"/>
      <c r="O9" s="283"/>
      <c r="P9" s="263"/>
      <c r="Q9" s="129"/>
    </row>
    <row r="10" spans="1:17" x14ac:dyDescent="0.25">
      <c r="A10" s="129"/>
      <c r="B10" s="268"/>
      <c r="C10" s="290" t="str">
        <f>CONCATENATE("Costo Mercancía ",Bases!C18)</f>
        <v xml:space="preserve">Costo Mercancía </v>
      </c>
      <c r="D10" s="173"/>
      <c r="E10" s="36"/>
      <c r="F10" s="348"/>
      <c r="G10" s="348"/>
      <c r="H10" s="348"/>
      <c r="I10" s="348"/>
      <c r="J10" s="348"/>
      <c r="K10" s="283"/>
      <c r="L10" s="283"/>
      <c r="M10" s="283"/>
      <c r="N10" s="283"/>
      <c r="O10" s="283"/>
      <c r="P10" s="263"/>
      <c r="Q10" s="129"/>
    </row>
    <row r="11" spans="1:17" x14ac:dyDescent="0.25">
      <c r="A11" s="129"/>
      <c r="B11" s="268"/>
      <c r="C11" s="290" t="str">
        <f>CONCATENATE("Costo Mercancía ",Bases!C19)</f>
        <v xml:space="preserve">Costo Mercancía </v>
      </c>
      <c r="D11" s="173"/>
      <c r="E11" s="36"/>
      <c r="F11" s="348"/>
      <c r="G11" s="348"/>
      <c r="H11" s="348"/>
      <c r="I11" s="348"/>
      <c r="J11" s="348"/>
      <c r="K11" s="283"/>
      <c r="L11" s="283"/>
      <c r="M11" s="283"/>
      <c r="N11" s="283"/>
      <c r="O11" s="283"/>
      <c r="P11" s="263"/>
      <c r="Q11" s="129"/>
    </row>
    <row r="12" spans="1:17" x14ac:dyDescent="0.25">
      <c r="A12" s="129"/>
      <c r="B12" s="268"/>
      <c r="C12" s="290" t="str">
        <f>CONCATENATE("Costo Mercancía ",Bases!C20)</f>
        <v xml:space="preserve">Costo Mercancía </v>
      </c>
      <c r="D12" s="173"/>
      <c r="E12" s="36"/>
      <c r="F12" s="348"/>
      <c r="G12" s="348"/>
      <c r="H12" s="348"/>
      <c r="I12" s="348"/>
      <c r="J12" s="348"/>
      <c r="K12" s="283"/>
      <c r="L12" s="283"/>
      <c r="M12" s="283"/>
      <c r="N12" s="283"/>
      <c r="O12" s="283"/>
      <c r="P12" s="263"/>
      <c r="Q12" s="129"/>
    </row>
    <row r="13" spans="1:17" x14ac:dyDescent="0.25">
      <c r="A13" s="129"/>
      <c r="B13" s="268"/>
      <c r="C13" s="290" t="str">
        <f>CONCATENATE("Costo Mercancía ",Bases!C21)</f>
        <v xml:space="preserve">Costo Mercancía </v>
      </c>
      <c r="D13" s="173"/>
      <c r="E13" s="36"/>
      <c r="F13" s="348"/>
      <c r="G13" s="348"/>
      <c r="H13" s="348"/>
      <c r="I13" s="348"/>
      <c r="J13" s="348"/>
      <c r="K13" s="283"/>
      <c r="L13" s="283"/>
      <c r="M13" s="283"/>
      <c r="N13" s="283"/>
      <c r="O13" s="283"/>
      <c r="P13" s="263"/>
      <c r="Q13" s="129"/>
    </row>
    <row r="14" spans="1:17" x14ac:dyDescent="0.25">
      <c r="A14" s="129"/>
      <c r="B14" s="268"/>
      <c r="C14" s="290" t="str">
        <f>CONCATENATE("Costo Mercancía ",Bases!C22)</f>
        <v xml:space="preserve">Costo Mercancía </v>
      </c>
      <c r="D14" s="173"/>
      <c r="E14" s="36"/>
      <c r="F14" s="348"/>
      <c r="G14" s="348"/>
      <c r="H14" s="348"/>
      <c r="I14" s="348"/>
      <c r="J14" s="348"/>
      <c r="K14" s="283"/>
      <c r="L14" s="283"/>
      <c r="M14" s="283"/>
      <c r="N14" s="283"/>
      <c r="O14" s="283"/>
      <c r="P14" s="263"/>
      <c r="Q14" s="129"/>
    </row>
    <row r="15" spans="1:17" ht="13.8" thickBot="1" x14ac:dyDescent="0.3">
      <c r="A15" s="129"/>
      <c r="B15" s="268"/>
      <c r="C15" s="290" t="str">
        <f>CONCATENATE("Costo Mercancía ",Bases!C23)</f>
        <v xml:space="preserve">Costo Mercancía </v>
      </c>
      <c r="D15" s="248"/>
      <c r="E15" s="36"/>
      <c r="F15" s="348"/>
      <c r="G15" s="348"/>
      <c r="H15" s="348"/>
      <c r="I15" s="348"/>
      <c r="J15" s="348"/>
      <c r="K15" s="283"/>
      <c r="L15" s="283"/>
      <c r="M15" s="283"/>
      <c r="N15" s="283"/>
      <c r="O15" s="283"/>
      <c r="P15" s="263"/>
      <c r="Q15" s="129"/>
    </row>
    <row r="16" spans="1:17" ht="13.8" thickBot="1" x14ac:dyDescent="0.3">
      <c r="A16" s="129"/>
      <c r="B16" s="268"/>
      <c r="C16" s="291" t="s">
        <v>532</v>
      </c>
      <c r="D16" s="292"/>
      <c r="E16" s="36"/>
      <c r="F16" s="362">
        <f>IF('Precios Ventas'!F36=0,0,SUMPRODUCT('Precios Ventas'!F19:F28,F6:F15)/'Precios Ventas'!F36)</f>
        <v>21355.144359308775</v>
      </c>
      <c r="G16" s="362">
        <f>IF('Precios Ventas'!G36=0,0,SUMPRODUCT('Precios Ventas'!G19:G28,G6:G15)/'Precios Ventas'!G36)</f>
        <v>22187.994989321815</v>
      </c>
      <c r="H16" s="362">
        <f>IF('Precios Ventas'!H36=0,0,SUMPRODUCT('Precios Ventas'!H19:H28,H6:H15)/'Precios Ventas'!H36)</f>
        <v>22875.822833990791</v>
      </c>
      <c r="I16" s="362">
        <f>IF('Precios Ventas'!I36=0,0,SUMPRODUCT('Precios Ventas'!I19:I28,I6:I15)/'Precios Ventas'!I36)</f>
        <v>23562.097519010513</v>
      </c>
      <c r="J16" s="363">
        <f>IF('Precios Ventas'!J36=0,0,SUMPRODUCT('Precios Ventas'!J19:J28,J6:J15)/'Precios Ventas'!J36)</f>
        <v>24268.960444580829</v>
      </c>
      <c r="K16" s="283"/>
      <c r="L16" s="283"/>
      <c r="M16" s="283"/>
      <c r="N16" s="283"/>
      <c r="O16" s="283"/>
      <c r="P16" s="263"/>
      <c r="Q16" s="129"/>
    </row>
    <row r="17" spans="1:17" x14ac:dyDescent="0.25">
      <c r="A17" s="129"/>
      <c r="B17" s="268"/>
      <c r="C17" s="201" t="s">
        <v>533</v>
      </c>
      <c r="D17" s="499"/>
      <c r="E17" s="36"/>
      <c r="F17" s="36"/>
      <c r="G17" s="36"/>
      <c r="H17" s="36"/>
      <c r="I17" s="36"/>
      <c r="J17" s="36"/>
      <c r="K17" s="283"/>
      <c r="L17" s="283"/>
      <c r="M17" s="283"/>
      <c r="N17" s="283"/>
      <c r="O17" s="283"/>
      <c r="P17" s="263"/>
      <c r="Q17" s="129"/>
    </row>
    <row r="18" spans="1:17" x14ac:dyDescent="0.25">
      <c r="A18" s="129"/>
      <c r="B18" s="138"/>
      <c r="C18" s="293"/>
      <c r="D18" s="248" t="s">
        <v>3</v>
      </c>
      <c r="E18" s="500"/>
      <c r="F18" s="348"/>
      <c r="G18" s="348"/>
      <c r="H18" s="348"/>
      <c r="I18" s="348"/>
      <c r="J18" s="348"/>
      <c r="K18" s="283"/>
      <c r="L18" s="283"/>
      <c r="M18" s="283"/>
      <c r="N18" s="283"/>
      <c r="O18" s="283"/>
      <c r="P18" s="263"/>
      <c r="Q18" s="129"/>
    </row>
    <row r="19" spans="1:17" x14ac:dyDescent="0.25">
      <c r="A19" s="170"/>
      <c r="B19" s="171"/>
      <c r="C19" s="293"/>
      <c r="D19" s="248" t="s">
        <v>3</v>
      </c>
      <c r="E19" s="36"/>
      <c r="F19" s="348"/>
      <c r="G19" s="348"/>
      <c r="H19" s="348"/>
      <c r="I19" s="348"/>
      <c r="J19" s="348"/>
      <c r="K19" s="283"/>
      <c r="L19" s="283"/>
      <c r="M19" s="283"/>
      <c r="N19" s="283"/>
      <c r="O19" s="283"/>
      <c r="P19" s="263"/>
      <c r="Q19" s="170"/>
    </row>
    <row r="20" spans="1:17" ht="16.95" customHeight="1" x14ac:dyDescent="0.25">
      <c r="A20" s="129"/>
      <c r="B20" s="138"/>
      <c r="C20" s="293"/>
      <c r="D20" s="248" t="s">
        <v>3</v>
      </c>
      <c r="E20" s="36"/>
      <c r="F20" s="348"/>
      <c r="G20" s="348"/>
      <c r="H20" s="348"/>
      <c r="I20" s="348"/>
      <c r="J20" s="348"/>
      <c r="K20" s="283"/>
      <c r="L20" s="283"/>
      <c r="M20" s="283"/>
      <c r="N20" s="283"/>
      <c r="O20" s="283"/>
      <c r="P20" s="263"/>
      <c r="Q20" s="129"/>
    </row>
    <row r="21" spans="1:17" x14ac:dyDescent="0.25">
      <c r="A21" s="129"/>
      <c r="B21" s="498"/>
      <c r="C21" s="293"/>
      <c r="D21" s="248" t="s">
        <v>3</v>
      </c>
      <c r="E21" s="36"/>
      <c r="F21" s="348"/>
      <c r="G21" s="348"/>
      <c r="H21" s="348"/>
      <c r="I21" s="348"/>
      <c r="J21" s="348"/>
      <c r="K21" s="283"/>
      <c r="L21" s="283"/>
      <c r="M21" s="283"/>
      <c r="N21" s="283"/>
      <c r="O21" s="283"/>
      <c r="P21" s="263"/>
      <c r="Q21" s="184"/>
    </row>
    <row r="22" spans="1:17" x14ac:dyDescent="0.25">
      <c r="A22" s="129"/>
      <c r="B22" s="498"/>
      <c r="C22" s="293"/>
      <c r="D22" s="248" t="s">
        <v>3</v>
      </c>
      <c r="E22" s="36"/>
      <c r="F22" s="348"/>
      <c r="G22" s="348"/>
      <c r="H22" s="348"/>
      <c r="I22" s="348"/>
      <c r="J22" s="348"/>
      <c r="K22" s="283"/>
      <c r="L22" s="283"/>
      <c r="M22" s="283"/>
      <c r="N22" s="283"/>
      <c r="O22" s="283"/>
      <c r="P22" s="263"/>
      <c r="Q22" s="184"/>
    </row>
    <row r="23" spans="1:17" x14ac:dyDescent="0.25">
      <c r="A23" s="129"/>
      <c r="B23" s="498"/>
      <c r="C23" s="293"/>
      <c r="D23" s="248" t="s">
        <v>3</v>
      </c>
      <c r="E23" s="36"/>
      <c r="F23" s="348"/>
      <c r="G23" s="348"/>
      <c r="H23" s="348"/>
      <c r="I23" s="348"/>
      <c r="J23" s="348"/>
      <c r="K23" s="283"/>
      <c r="L23" s="283"/>
      <c r="M23" s="283"/>
      <c r="N23" s="283"/>
      <c r="O23" s="283"/>
      <c r="P23" s="263"/>
      <c r="Q23" s="184"/>
    </row>
    <row r="24" spans="1:17" x14ac:dyDescent="0.25">
      <c r="A24" s="129"/>
      <c r="B24" s="498"/>
      <c r="C24" s="293"/>
      <c r="D24" s="248" t="s">
        <v>3</v>
      </c>
      <c r="E24" s="36"/>
      <c r="F24" s="348"/>
      <c r="G24" s="348"/>
      <c r="H24" s="348"/>
      <c r="I24" s="348"/>
      <c r="J24" s="348"/>
      <c r="K24" s="283"/>
      <c r="L24" s="283"/>
      <c r="M24" s="283"/>
      <c r="N24" s="283"/>
      <c r="O24" s="283"/>
      <c r="P24" s="263"/>
      <c r="Q24" s="184"/>
    </row>
    <row r="25" spans="1:17" x14ac:dyDescent="0.25">
      <c r="A25" s="129"/>
      <c r="B25" s="498"/>
      <c r="C25" s="293"/>
      <c r="D25" s="248" t="s">
        <v>3</v>
      </c>
      <c r="E25" s="36"/>
      <c r="F25" s="348"/>
      <c r="G25" s="348"/>
      <c r="H25" s="348"/>
      <c r="I25" s="348"/>
      <c r="J25" s="348"/>
      <c r="K25" s="283"/>
      <c r="L25" s="283"/>
      <c r="M25" s="283"/>
      <c r="N25" s="283"/>
      <c r="O25" s="283"/>
      <c r="P25" s="263"/>
      <c r="Q25" s="184"/>
    </row>
    <row r="26" spans="1:17" x14ac:dyDescent="0.25">
      <c r="A26" s="129"/>
      <c r="B26" s="498"/>
      <c r="C26" s="293"/>
      <c r="D26" s="248" t="s">
        <v>3</v>
      </c>
      <c r="E26" s="36"/>
      <c r="F26" s="348"/>
      <c r="G26" s="348"/>
      <c r="H26" s="348"/>
      <c r="I26" s="348"/>
      <c r="J26" s="348"/>
      <c r="K26" s="283"/>
      <c r="L26" s="283"/>
      <c r="M26" s="283"/>
      <c r="N26" s="283"/>
      <c r="O26" s="283"/>
      <c r="P26" s="263"/>
      <c r="Q26" s="184"/>
    </row>
    <row r="27" spans="1:17" x14ac:dyDescent="0.25">
      <c r="A27" s="129"/>
      <c r="B27" s="498"/>
      <c r="C27" s="202" t="s">
        <v>534</v>
      </c>
      <c r="D27" s="248" t="s">
        <v>3</v>
      </c>
      <c r="E27" s="36"/>
      <c r="F27" s="220">
        <f>SUM(F18:F26)</f>
        <v>0</v>
      </c>
      <c r="G27" s="220">
        <f>SUM(G18:G26)</f>
        <v>0</v>
      </c>
      <c r="H27" s="220">
        <f>SUM(H18:H26)</f>
        <v>0</v>
      </c>
      <c r="I27" s="220">
        <f>SUM(I18:I26)</f>
        <v>0</v>
      </c>
      <c r="J27" s="220">
        <f>SUM(J18:J26)</f>
        <v>0</v>
      </c>
      <c r="K27" s="283"/>
      <c r="L27" s="283"/>
      <c r="M27" s="283"/>
      <c r="N27" s="283"/>
      <c r="O27" s="283"/>
      <c r="P27" s="263"/>
      <c r="Q27" s="184"/>
    </row>
    <row r="28" spans="1:17" x14ac:dyDescent="0.25">
      <c r="A28" s="129"/>
      <c r="B28" s="498"/>
      <c r="C28" s="483"/>
      <c r="D28" s="483"/>
      <c r="E28" s="483"/>
      <c r="F28" s="483"/>
      <c r="G28" s="483"/>
      <c r="H28" s="483"/>
      <c r="I28" s="483"/>
      <c r="J28" s="483"/>
      <c r="K28" s="283"/>
      <c r="L28" s="283"/>
      <c r="M28" s="283"/>
      <c r="N28" s="283"/>
      <c r="O28" s="283"/>
      <c r="P28" s="263"/>
      <c r="Q28" s="184"/>
    </row>
    <row r="29" spans="1:17" ht="6" customHeight="1" thickBot="1" x14ac:dyDescent="0.3">
      <c r="A29" s="129"/>
      <c r="B29" s="498"/>
      <c r="C29" s="496"/>
      <c r="D29" s="512"/>
      <c r="E29" s="512"/>
      <c r="F29" s="496"/>
      <c r="G29" s="512"/>
      <c r="H29" s="512"/>
      <c r="I29" s="512"/>
      <c r="J29" s="512"/>
      <c r="K29" s="283"/>
      <c r="L29" s="283"/>
      <c r="M29" s="283"/>
      <c r="N29" s="283"/>
      <c r="O29" s="283"/>
      <c r="P29" s="263"/>
      <c r="Q29" s="184"/>
    </row>
    <row r="30" spans="1:17" ht="57" customHeight="1" thickBot="1" x14ac:dyDescent="0.3">
      <c r="A30" s="129"/>
      <c r="B30" s="498"/>
      <c r="C30" s="511" t="s">
        <v>483</v>
      </c>
      <c r="D30" s="567"/>
      <c r="E30" s="568"/>
      <c r="F30" s="568"/>
      <c r="G30" s="568"/>
      <c r="H30" s="568"/>
      <c r="I30" s="568"/>
      <c r="J30" s="568"/>
      <c r="K30" s="569"/>
      <c r="L30" s="283"/>
      <c r="M30" s="283"/>
      <c r="N30" s="283"/>
      <c r="O30" s="283"/>
      <c r="P30" s="263"/>
      <c r="Q30" s="184"/>
    </row>
    <row r="31" spans="1:17" x14ac:dyDescent="0.25">
      <c r="A31" s="129"/>
      <c r="B31" s="498"/>
      <c r="C31" s="283"/>
      <c r="D31" s="283"/>
      <c r="E31" s="283"/>
      <c r="F31" s="283"/>
      <c r="G31" s="283"/>
      <c r="H31" s="283"/>
      <c r="I31" s="283"/>
      <c r="J31" s="283"/>
      <c r="K31" s="283"/>
      <c r="L31" s="283"/>
      <c r="M31" s="283"/>
      <c r="N31" s="283"/>
      <c r="O31" s="283"/>
      <c r="P31" s="263"/>
      <c r="Q31" s="184"/>
    </row>
    <row r="32" spans="1:17" x14ac:dyDescent="0.25">
      <c r="A32" s="129"/>
      <c r="B32" s="129"/>
      <c r="C32" s="205"/>
      <c r="D32" s="206"/>
      <c r="E32" s="206"/>
      <c r="F32" s="206"/>
      <c r="G32" s="206"/>
      <c r="H32" s="206"/>
      <c r="I32" s="206"/>
      <c r="J32" s="130"/>
      <c r="K32" s="130"/>
      <c r="L32" s="130"/>
      <c r="M32" s="130"/>
      <c r="N32" s="130"/>
      <c r="O32" s="130"/>
      <c r="P32" s="129"/>
      <c r="Q32" s="129"/>
    </row>
    <row r="33" spans="1:17" hidden="1" x14ac:dyDescent="0.25">
      <c r="A33" s="34"/>
      <c r="B33" s="34"/>
      <c r="C33" s="207"/>
      <c r="D33" s="208"/>
      <c r="E33" s="208"/>
      <c r="F33" s="208"/>
      <c r="G33" s="208"/>
      <c r="H33" s="208"/>
      <c r="I33" s="208"/>
      <c r="J33" s="36"/>
      <c r="K33" s="36"/>
      <c r="L33" s="36"/>
      <c r="M33" s="36"/>
      <c r="N33" s="36"/>
      <c r="O33" s="36"/>
      <c r="P33" s="34"/>
      <c r="Q33" s="34"/>
    </row>
    <row r="34" spans="1:17" hidden="1" x14ac:dyDescent="0.25">
      <c r="A34" s="34"/>
      <c r="B34" s="34"/>
      <c r="C34" s="207"/>
      <c r="D34" s="208"/>
      <c r="E34" s="208"/>
      <c r="F34" s="208"/>
      <c r="G34" s="208"/>
      <c r="H34" s="208"/>
      <c r="I34" s="208"/>
      <c r="J34" s="36"/>
      <c r="K34" s="36"/>
      <c r="L34" s="36"/>
      <c r="M34" s="36"/>
      <c r="N34" s="36"/>
      <c r="O34" s="36"/>
      <c r="P34" s="34"/>
      <c r="Q34" s="34"/>
    </row>
    <row r="35" spans="1:17" hidden="1" x14ac:dyDescent="0.25">
      <c r="A35" s="34"/>
      <c r="B35" s="34"/>
      <c r="C35" s="207"/>
      <c r="D35" s="208"/>
      <c r="E35" s="208"/>
      <c r="F35" s="208"/>
      <c r="G35" s="208"/>
      <c r="H35" s="208"/>
      <c r="I35" s="208"/>
      <c r="J35" s="36"/>
      <c r="K35" s="36"/>
      <c r="L35" s="36"/>
      <c r="M35" s="36"/>
      <c r="N35" s="36"/>
      <c r="O35" s="36"/>
      <c r="P35" s="34"/>
      <c r="Q35" s="34"/>
    </row>
    <row r="36" spans="1:17" hidden="1" x14ac:dyDescent="0.25">
      <c r="A36" s="34"/>
      <c r="B36" s="34"/>
      <c r="C36" s="207"/>
      <c r="D36" s="208"/>
      <c r="E36" s="208"/>
      <c r="F36" s="208"/>
      <c r="G36" s="208"/>
      <c r="H36" s="208"/>
      <c r="I36" s="208"/>
      <c r="J36" s="36"/>
      <c r="K36" s="36"/>
      <c r="L36" s="36"/>
      <c r="M36" s="36"/>
      <c r="N36" s="36"/>
      <c r="O36" s="36"/>
      <c r="P36" s="34"/>
      <c r="Q36" s="34"/>
    </row>
    <row r="37" spans="1:17" hidden="1" x14ac:dyDescent="0.25">
      <c r="A37" s="34"/>
      <c r="B37" s="34"/>
      <c r="C37" s="207"/>
      <c r="D37" s="208"/>
      <c r="E37" s="208"/>
      <c r="F37" s="208"/>
      <c r="G37" s="208"/>
      <c r="H37" s="208"/>
      <c r="I37" s="208"/>
      <c r="J37" s="36"/>
      <c r="K37" s="36"/>
      <c r="L37" s="36"/>
      <c r="M37" s="36"/>
      <c r="N37" s="36"/>
      <c r="O37" s="36"/>
      <c r="P37" s="34"/>
      <c r="Q37" s="34"/>
    </row>
    <row r="38" spans="1:17" hidden="1" x14ac:dyDescent="0.25">
      <c r="A38" s="34"/>
      <c r="B38" s="34"/>
      <c r="C38" s="207"/>
      <c r="D38" s="208"/>
      <c r="E38" s="208"/>
      <c r="F38" s="208"/>
      <c r="G38" s="208"/>
      <c r="H38" s="208"/>
      <c r="I38" s="208"/>
      <c r="J38" s="36"/>
      <c r="K38" s="36"/>
      <c r="L38" s="36"/>
      <c r="M38" s="36"/>
      <c r="N38" s="36"/>
      <c r="O38" s="36"/>
      <c r="P38" s="34"/>
      <c r="Q38" s="34"/>
    </row>
    <row r="39" spans="1:17" hidden="1" x14ac:dyDescent="0.25">
      <c r="A39" s="34"/>
      <c r="B39" s="34"/>
      <c r="C39" s="207"/>
      <c r="D39" s="208"/>
      <c r="E39" s="208"/>
      <c r="F39" s="208"/>
      <c r="G39" s="208"/>
      <c r="H39" s="208"/>
      <c r="I39" s="208"/>
      <c r="J39" s="36"/>
      <c r="K39" s="36"/>
      <c r="L39" s="36"/>
      <c r="M39" s="36"/>
      <c r="N39" s="36"/>
      <c r="O39" s="36"/>
      <c r="P39" s="34"/>
      <c r="Q39" s="34"/>
    </row>
    <row r="40" spans="1:17" hidden="1" x14ac:dyDescent="0.25">
      <c r="A40" s="34"/>
      <c r="B40" s="34"/>
      <c r="C40" s="207"/>
      <c r="D40" s="208"/>
      <c r="E40" s="208"/>
      <c r="F40" s="208"/>
      <c r="G40" s="208"/>
      <c r="H40" s="208"/>
      <c r="I40" s="208"/>
      <c r="J40" s="36"/>
      <c r="K40" s="36"/>
      <c r="L40" s="36"/>
      <c r="M40" s="36"/>
      <c r="N40" s="36"/>
      <c r="O40" s="36"/>
      <c r="P40" s="34"/>
      <c r="Q40" s="34"/>
    </row>
    <row r="41" spans="1:17" hidden="1" x14ac:dyDescent="0.25">
      <c r="A41" s="34"/>
      <c r="B41" s="34"/>
      <c r="C41" s="207"/>
      <c r="D41" s="208"/>
      <c r="E41" s="208"/>
      <c r="F41" s="208"/>
      <c r="G41" s="208"/>
      <c r="H41" s="208"/>
      <c r="I41" s="208"/>
      <c r="J41" s="36"/>
      <c r="K41" s="36"/>
      <c r="L41" s="36"/>
      <c r="M41" s="36"/>
      <c r="N41" s="36"/>
      <c r="O41" s="36"/>
      <c r="P41" s="34"/>
      <c r="Q41" s="34"/>
    </row>
    <row r="42" spans="1:17" hidden="1" x14ac:dyDescent="0.25">
      <c r="A42" s="34"/>
      <c r="B42" s="34"/>
      <c r="C42" s="207"/>
      <c r="D42" s="208"/>
      <c r="E42" s="208"/>
      <c r="F42" s="208"/>
      <c r="G42" s="208"/>
      <c r="H42" s="208"/>
      <c r="I42" s="208"/>
      <c r="J42" s="36"/>
      <c r="K42" s="36"/>
      <c r="L42" s="36"/>
      <c r="M42" s="36"/>
      <c r="N42" s="36"/>
      <c r="O42" s="36"/>
      <c r="P42" s="34"/>
      <c r="Q42" s="34"/>
    </row>
    <row r="43" spans="1:17" hidden="1" x14ac:dyDescent="0.25">
      <c r="A43" s="34"/>
      <c r="B43" s="34"/>
      <c r="C43" s="207"/>
      <c r="D43" s="208"/>
      <c r="E43" s="208"/>
      <c r="F43" s="208"/>
      <c r="G43" s="208"/>
      <c r="H43" s="208"/>
      <c r="I43" s="208"/>
      <c r="J43" s="36"/>
      <c r="K43" s="36"/>
      <c r="L43" s="36"/>
      <c r="M43" s="36"/>
      <c r="N43" s="36"/>
      <c r="O43" s="36"/>
      <c r="P43" s="34"/>
      <c r="Q43" s="34"/>
    </row>
    <row r="44" spans="1:17" hidden="1" x14ac:dyDescent="0.25">
      <c r="A44" s="34"/>
      <c r="B44" s="34"/>
      <c r="C44" s="207"/>
      <c r="D44" s="208"/>
      <c r="E44" s="208"/>
      <c r="F44" s="208"/>
      <c r="G44" s="208"/>
      <c r="H44" s="208"/>
      <c r="I44" s="208"/>
      <c r="J44" s="36"/>
      <c r="K44" s="36"/>
      <c r="L44" s="36"/>
      <c r="M44" s="36"/>
      <c r="N44" s="36"/>
      <c r="O44" s="36"/>
      <c r="P44" s="34"/>
      <c r="Q44" s="34"/>
    </row>
    <row r="45" spans="1:17" hidden="1" x14ac:dyDescent="0.25">
      <c r="A45" s="34"/>
      <c r="B45" s="34"/>
      <c r="C45" s="207"/>
      <c r="D45" s="208"/>
      <c r="E45" s="208"/>
      <c r="F45" s="208"/>
      <c r="G45" s="208"/>
      <c r="H45" s="208"/>
      <c r="I45" s="208"/>
      <c r="J45" s="36"/>
      <c r="K45" s="36"/>
      <c r="L45" s="36"/>
      <c r="M45" s="36"/>
      <c r="N45" s="36"/>
      <c r="O45" s="36"/>
      <c r="P45" s="34"/>
      <c r="Q45" s="34"/>
    </row>
    <row r="46" spans="1:17" hidden="1" x14ac:dyDescent="0.25">
      <c r="A46" s="34"/>
      <c r="B46" s="34"/>
      <c r="C46" s="207"/>
      <c r="D46" s="208"/>
      <c r="E46" s="208"/>
      <c r="F46" s="208"/>
      <c r="G46" s="208"/>
      <c r="H46" s="208"/>
      <c r="I46" s="208"/>
      <c r="J46" s="36"/>
      <c r="K46" s="36"/>
      <c r="L46" s="36"/>
      <c r="M46" s="36"/>
      <c r="N46" s="36"/>
      <c r="O46" s="36"/>
      <c r="P46" s="34"/>
      <c r="Q46" s="34"/>
    </row>
    <row r="47" spans="1:17" hidden="1" x14ac:dyDescent="0.25">
      <c r="A47" s="34"/>
      <c r="B47" s="34"/>
      <c r="C47" s="207"/>
      <c r="D47" s="208"/>
      <c r="E47" s="208"/>
      <c r="F47" s="208"/>
      <c r="G47" s="208"/>
      <c r="H47" s="208"/>
      <c r="I47" s="208"/>
      <c r="J47" s="36"/>
      <c r="K47" s="36"/>
      <c r="L47" s="36"/>
      <c r="M47" s="36"/>
      <c r="N47" s="36"/>
      <c r="O47" s="36"/>
      <c r="P47" s="34"/>
      <c r="Q47" s="34"/>
    </row>
    <row r="48" spans="1:17" hidden="1" x14ac:dyDescent="0.25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</row>
    <row r="49" spans="1:17" hidden="1" x14ac:dyDescent="0.25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</row>
    <row r="50" spans="1:17" hidden="1" x14ac:dyDescent="0.25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</row>
    <row r="51" spans="1:17" hidden="1" x14ac:dyDescent="0.25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</row>
    <row r="52" spans="1:17" hidden="1" x14ac:dyDescent="0.25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</row>
    <row r="53" spans="1:17" hidden="1" x14ac:dyDescent="0.25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</row>
    <row r="54" spans="1:17" hidden="1" x14ac:dyDescent="0.25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</row>
    <row r="55" spans="1:17" hidden="1" x14ac:dyDescent="0.2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</row>
    <row r="56" spans="1:17" hidden="1" x14ac:dyDescent="0.25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</row>
    <row r="57" spans="1:17" hidden="1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</row>
    <row r="58" spans="1:17" hidden="1" x14ac:dyDescent="0.25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</row>
    <row r="59" spans="1:17" hidden="1" x14ac:dyDescent="0.25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</row>
    <row r="60" spans="1:17" hidden="1" x14ac:dyDescent="0.25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</row>
    <row r="61" spans="1:17" hidden="1" x14ac:dyDescent="0.25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</row>
    <row r="62" spans="1:17" hidden="1" x14ac:dyDescent="0.25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</row>
    <row r="63" spans="1:17" hidden="1" x14ac:dyDescent="0.25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</row>
    <row r="64" spans="1:17" hidden="1" x14ac:dyDescent="0.25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</row>
    <row r="65" spans="1:17" hidden="1" x14ac:dyDescent="0.2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</row>
    <row r="66" spans="1:17" hidden="1" x14ac:dyDescent="0.25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</row>
    <row r="67" spans="1:17" hidden="1" x14ac:dyDescent="0.25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</row>
    <row r="68" spans="1:17" hidden="1" x14ac:dyDescent="0.25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</row>
    <row r="69" spans="1:17" hidden="1" x14ac:dyDescent="0.25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</row>
    <row r="70" spans="1:17" hidden="1" x14ac:dyDescent="0.25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</row>
    <row r="71" spans="1:17" hidden="1" x14ac:dyDescent="0.25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</row>
    <row r="72" spans="1:17" hidden="1" x14ac:dyDescent="0.25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</row>
    <row r="73" spans="1:17" hidden="1" x14ac:dyDescent="0.25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1:17" hidden="1" x14ac:dyDescent="0.2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</row>
    <row r="75" spans="1:17" hidden="1" x14ac:dyDescent="0.2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</row>
    <row r="76" spans="1:17" hidden="1" x14ac:dyDescent="0.2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</row>
    <row r="77" spans="1:17" hidden="1" x14ac:dyDescent="0.2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</row>
    <row r="78" spans="1:17" hidden="1" x14ac:dyDescent="0.2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</row>
    <row r="79" spans="1:17" hidden="1" x14ac:dyDescent="0.2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</row>
    <row r="80" spans="1:17" hidden="1" x14ac:dyDescent="0.2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</row>
    <row r="81" spans="1:17" hidden="1" x14ac:dyDescent="0.2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</row>
    <row r="82" spans="1:17" hidden="1" x14ac:dyDescent="0.2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</row>
    <row r="83" spans="1:17" hidden="1" x14ac:dyDescent="0.2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hidden="1" x14ac:dyDescent="0.2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</row>
    <row r="85" spans="1:17" hidden="1" x14ac:dyDescent="0.2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</row>
    <row r="86" spans="1:17" hidden="1" x14ac:dyDescent="0.2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</row>
    <row r="87" spans="1:17" hidden="1" x14ac:dyDescent="0.2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</row>
    <row r="88" spans="1:17" hidden="1" x14ac:dyDescent="0.2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</row>
    <row r="89" spans="1:17" hidden="1" x14ac:dyDescent="0.25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</row>
    <row r="90" spans="1:17" hidden="1" x14ac:dyDescent="0.25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</row>
    <row r="91" spans="1:17" hidden="1" x14ac:dyDescent="0.25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</row>
    <row r="92" spans="1:17" hidden="1" x14ac:dyDescent="0.25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</row>
    <row r="93" spans="1:17" hidden="1" x14ac:dyDescent="0.25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</row>
    <row r="94" spans="1:17" hidden="1" x14ac:dyDescent="0.25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</row>
    <row r="95" spans="1:17" hidden="1" x14ac:dyDescent="0.25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</row>
    <row r="96" spans="1:17" hidden="1" x14ac:dyDescent="0.25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1:17" hidden="1" x14ac:dyDescent="0.25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1:17" hidden="1" x14ac:dyDescent="0.25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1:17" hidden="1" x14ac:dyDescent="0.25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1:17" hidden="1" x14ac:dyDescent="0.2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hidden="1" x14ac:dyDescent="0.2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hidden="1" x14ac:dyDescent="0.25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</row>
    <row r="103" spans="1:17" hidden="1" x14ac:dyDescent="0.25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</row>
    <row r="104" spans="1:17" hidden="1" x14ac:dyDescent="0.25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</row>
    <row r="105" spans="1:17" hidden="1" x14ac:dyDescent="0.25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</row>
    <row r="106" spans="1:17" hidden="1" x14ac:dyDescent="0.25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</row>
    <row r="107" spans="1:17" hidden="1" x14ac:dyDescent="0.25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</row>
    <row r="108" spans="1:17" hidden="1" x14ac:dyDescent="0.25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</row>
    <row r="109" spans="1:17" hidden="1" x14ac:dyDescent="0.25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</row>
    <row r="110" spans="1:17" hidden="1" x14ac:dyDescent="0.25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</row>
    <row r="111" spans="1:17" hidden="1" x14ac:dyDescent="0.25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</row>
    <row r="112" spans="1:17" hidden="1" x14ac:dyDescent="0.25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</row>
    <row r="113" spans="1:17" hidden="1" x14ac:dyDescent="0.25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</row>
    <row r="114" spans="1:17" hidden="1" x14ac:dyDescent="0.25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</row>
    <row r="115" spans="1:17" hidden="1" x14ac:dyDescent="0.25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</row>
    <row r="116" spans="1:17" hidden="1" x14ac:dyDescent="0.25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</row>
    <row r="117" spans="1:17" hidden="1" x14ac:dyDescent="0.25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</row>
    <row r="118" spans="1:17" hidden="1" x14ac:dyDescent="0.25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</row>
    <row r="119" spans="1:17" hidden="1" x14ac:dyDescent="0.25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</row>
    <row r="120" spans="1:17" hidden="1" x14ac:dyDescent="0.25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</row>
    <row r="121" spans="1:17" hidden="1" x14ac:dyDescent="0.25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1:17" hidden="1" x14ac:dyDescent="0.25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1:17" hidden="1" x14ac:dyDescent="0.25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</row>
    <row r="124" spans="1:17" hidden="1" x14ac:dyDescent="0.25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</row>
    <row r="125" spans="1:17" hidden="1" x14ac:dyDescent="0.25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</row>
    <row r="126" spans="1:17" hidden="1" x14ac:dyDescent="0.25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</row>
    <row r="127" spans="1:17" hidden="1" x14ac:dyDescent="0.25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</row>
    <row r="128" spans="1:17" hidden="1" x14ac:dyDescent="0.25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</row>
    <row r="129" spans="1:17" hidden="1" x14ac:dyDescent="0.25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</row>
    <row r="130" spans="1:17" hidden="1" x14ac:dyDescent="0.25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</row>
    <row r="131" spans="1:17" hidden="1" x14ac:dyDescent="0.25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</row>
    <row r="132" spans="1:17" hidden="1" x14ac:dyDescent="0.25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</row>
    <row r="133" spans="1:17" hidden="1" x14ac:dyDescent="0.25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</row>
    <row r="134" spans="1:17" hidden="1" x14ac:dyDescent="0.25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</row>
    <row r="135" spans="1:17" hidden="1" x14ac:dyDescent="0.25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</row>
    <row r="136" spans="1:17" hidden="1" x14ac:dyDescent="0.25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</row>
    <row r="137" spans="1:17" hidden="1" x14ac:dyDescent="0.25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</row>
    <row r="138" spans="1:17" hidden="1" x14ac:dyDescent="0.25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</row>
    <row r="139" spans="1:17" hidden="1" x14ac:dyDescent="0.25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</row>
    <row r="140" spans="1:17" hidden="1" x14ac:dyDescent="0.25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</row>
    <row r="141" spans="1:17" hidden="1" x14ac:dyDescent="0.25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</row>
    <row r="142" spans="1:17" hidden="1" x14ac:dyDescent="0.25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</row>
    <row r="143" spans="1:17" hidden="1" x14ac:dyDescent="0.25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</row>
    <row r="144" spans="1:17" hidden="1" x14ac:dyDescent="0.25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</row>
    <row r="145" spans="1:17" hidden="1" x14ac:dyDescent="0.25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</row>
    <row r="146" spans="1:17" hidden="1" x14ac:dyDescent="0.25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</row>
    <row r="147" spans="1:17" hidden="1" x14ac:dyDescent="0.25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</row>
    <row r="148" spans="1:17" hidden="1" x14ac:dyDescent="0.25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</row>
    <row r="149" spans="1:17" hidden="1" x14ac:dyDescent="0.25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</row>
    <row r="150" spans="1:17" hidden="1" x14ac:dyDescent="0.25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</row>
    <row r="151" spans="1:17" hidden="1" x14ac:dyDescent="0.25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</row>
    <row r="152" spans="1:17" hidden="1" x14ac:dyDescent="0.25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</row>
    <row r="153" spans="1:17" hidden="1" x14ac:dyDescent="0.25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</row>
    <row r="154" spans="1:17" hidden="1" x14ac:dyDescent="0.25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</row>
    <row r="155" spans="1:17" hidden="1" x14ac:dyDescent="0.25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</row>
    <row r="156" spans="1:17" hidden="1" x14ac:dyDescent="0.25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</row>
    <row r="157" spans="1:17" hidden="1" x14ac:dyDescent="0.25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</row>
    <row r="158" spans="1:17" hidden="1" x14ac:dyDescent="0.25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</row>
    <row r="159" spans="1:17" hidden="1" x14ac:dyDescent="0.25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</row>
    <row r="160" spans="1:17" hidden="1" x14ac:dyDescent="0.25">
      <c r="A160" s="34"/>
      <c r="B160" s="34"/>
      <c r="C160" s="34"/>
      <c r="D160" s="208"/>
      <c r="E160" s="208"/>
      <c r="F160" s="208"/>
      <c r="G160" s="208"/>
      <c r="H160" s="208"/>
      <c r="I160" s="208"/>
      <c r="J160" s="34"/>
      <c r="K160" s="34"/>
      <c r="L160" s="34"/>
      <c r="M160" s="34"/>
      <c r="N160" s="34"/>
      <c r="O160" s="34"/>
      <c r="P160" s="34"/>
      <c r="Q160" s="34"/>
    </row>
    <row r="161" spans="1:17" hidden="1" x14ac:dyDescent="0.25">
      <c r="A161" s="34"/>
      <c r="B161" s="34"/>
      <c r="C161" s="34"/>
      <c r="D161" s="208"/>
      <c r="E161" s="208"/>
      <c r="F161" s="208"/>
      <c r="G161" s="208"/>
      <c r="H161" s="208"/>
      <c r="I161" s="208"/>
      <c r="J161" s="34"/>
      <c r="K161" s="34"/>
      <c r="L161" s="34"/>
      <c r="M161" s="34"/>
      <c r="N161" s="34"/>
      <c r="O161" s="34"/>
      <c r="P161" s="34"/>
      <c r="Q161" s="34"/>
    </row>
    <row r="162" spans="1:17" hidden="1" x14ac:dyDescent="0.25">
      <c r="A162" s="34"/>
      <c r="B162" s="34"/>
      <c r="C162" s="34"/>
      <c r="D162" s="208"/>
      <c r="E162" s="208"/>
      <c r="F162" s="208"/>
      <c r="G162" s="208"/>
      <c r="H162" s="208"/>
      <c r="I162" s="208"/>
      <c r="J162" s="34"/>
      <c r="K162" s="34"/>
      <c r="L162" s="34"/>
      <c r="M162" s="34"/>
      <c r="N162" s="34"/>
      <c r="O162" s="34"/>
      <c r="P162" s="34"/>
      <c r="Q162" s="34"/>
    </row>
    <row r="163" spans="1:17" hidden="1" x14ac:dyDescent="0.25">
      <c r="A163" s="34"/>
      <c r="B163" s="34"/>
      <c r="C163" s="34"/>
      <c r="D163" s="208"/>
      <c r="E163" s="208"/>
      <c r="F163" s="208"/>
      <c r="G163" s="208"/>
      <c r="H163" s="208"/>
      <c r="I163" s="208"/>
      <c r="J163" s="34"/>
      <c r="K163" s="34"/>
      <c r="L163" s="34"/>
      <c r="M163" s="34"/>
      <c r="N163" s="34"/>
      <c r="O163" s="34"/>
      <c r="P163" s="34"/>
      <c r="Q163" s="34"/>
    </row>
    <row r="164" spans="1:17" hidden="1" x14ac:dyDescent="0.25">
      <c r="A164" s="34"/>
      <c r="B164" s="34"/>
      <c r="C164" s="34"/>
      <c r="D164" s="209" t="s">
        <v>244</v>
      </c>
      <c r="E164" s="209"/>
      <c r="F164" s="209"/>
      <c r="G164" s="209"/>
      <c r="H164" s="209"/>
      <c r="I164" s="209"/>
      <c r="J164" s="34"/>
      <c r="K164" s="34"/>
      <c r="L164" s="34"/>
      <c r="M164" s="34"/>
      <c r="N164" s="34"/>
      <c r="O164" s="34"/>
      <c r="P164" s="34"/>
      <c r="Q164" s="34"/>
    </row>
    <row r="165" spans="1:17" hidden="1" x14ac:dyDescent="0.25">
      <c r="A165" s="34"/>
      <c r="B165" s="34"/>
      <c r="C165" s="207"/>
      <c r="D165" s="208"/>
      <c r="E165" s="208"/>
      <c r="F165" s="208"/>
      <c r="G165" s="208"/>
      <c r="H165" s="208"/>
      <c r="I165" s="208"/>
      <c r="J165" s="36"/>
      <c r="K165" s="36"/>
      <c r="L165" s="36"/>
      <c r="M165" s="36"/>
      <c r="N165" s="36"/>
      <c r="O165" s="36"/>
      <c r="P165" s="34"/>
      <c r="Q165" s="34"/>
    </row>
    <row r="166" spans="1:17" hidden="1" x14ac:dyDescent="0.25">
      <c r="A166" s="34"/>
      <c r="B166" s="34"/>
      <c r="C166" s="207"/>
      <c r="D166" s="208"/>
      <c r="E166" s="208"/>
      <c r="F166" s="208"/>
      <c r="G166" s="208"/>
      <c r="H166" s="208"/>
      <c r="I166" s="208"/>
      <c r="J166" s="36"/>
      <c r="K166" s="36"/>
      <c r="L166" s="36"/>
      <c r="M166" s="36"/>
      <c r="N166" s="36"/>
      <c r="O166" s="36"/>
      <c r="P166" s="34"/>
      <c r="Q166" s="34"/>
    </row>
    <row r="167" spans="1:17" hidden="1" x14ac:dyDescent="0.25">
      <c r="A167" s="34"/>
      <c r="B167" s="34"/>
      <c r="C167" s="207"/>
      <c r="D167" s="208"/>
      <c r="E167" s="208"/>
      <c r="F167" s="208"/>
      <c r="G167" s="208"/>
      <c r="H167" s="208"/>
      <c r="I167" s="208"/>
      <c r="J167" s="36"/>
      <c r="K167" s="36"/>
      <c r="L167" s="36"/>
      <c r="M167" s="36"/>
      <c r="N167" s="36"/>
      <c r="O167" s="36"/>
      <c r="P167" s="34"/>
      <c r="Q167" s="34"/>
    </row>
    <row r="168" spans="1:17" hidden="1" x14ac:dyDescent="0.25">
      <c r="A168" s="34"/>
      <c r="B168" s="34"/>
      <c r="C168" s="207"/>
      <c r="D168" s="208"/>
      <c r="E168" s="208"/>
      <c r="F168" s="208"/>
      <c r="G168" s="208"/>
      <c r="H168" s="208"/>
      <c r="I168" s="208"/>
      <c r="J168" s="36"/>
      <c r="K168" s="36"/>
      <c r="L168" s="36"/>
      <c r="M168" s="36"/>
      <c r="N168" s="36"/>
      <c r="O168" s="36"/>
      <c r="P168" s="34"/>
      <c r="Q168" s="34"/>
    </row>
    <row r="169" spans="1:17" hidden="1" x14ac:dyDescent="0.25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</row>
    <row r="170" spans="1:17" hidden="1" x14ac:dyDescent="0.25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</row>
    <row r="171" spans="1:17" hidden="1" x14ac:dyDescent="0.25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</row>
    <row r="172" spans="1:17" hidden="1" x14ac:dyDescent="0.25">
      <c r="A172" s="34"/>
      <c r="B172" s="34"/>
      <c r="C172" s="207"/>
      <c r="D172" s="208"/>
      <c r="E172" s="208"/>
      <c r="F172" s="208"/>
      <c r="G172" s="208"/>
      <c r="H172" s="208"/>
      <c r="I172" s="208"/>
      <c r="J172" s="36"/>
      <c r="K172" s="36"/>
      <c r="L172" s="36"/>
      <c r="M172" s="36"/>
      <c r="N172" s="36"/>
      <c r="O172" s="36"/>
      <c r="P172" s="34"/>
      <c r="Q172" s="34"/>
    </row>
  </sheetData>
  <sheetProtection password="CA1B" sheet="1" formatColumns="0" formatRows="0"/>
  <mergeCells count="1">
    <mergeCell ref="D30:K30"/>
  </mergeCells>
  <dataValidations disablePrompts="1" count="1">
    <dataValidation allowBlank="1" showInputMessage="1" showErrorMessage="1" promptTitle="Costo Prom. Mano de Obra" prompt="Valor del Costo Promedio Unitario de Mano de Obra Producto 1" sqref="F27:J27" xr:uid="{00000000-0002-0000-0400-000000000000}"/>
  </dataValidations>
  <hyperlinks>
    <hyperlink ref="H1" location="Inicio!A1" display="Inicio" xr:uid="{00000000-0004-0000-0400-000000000000}"/>
    <hyperlink ref="K2" location="Inicio!A1" display="Inicio" xr:uid="{00000000-0004-0000-0400-000001000000}"/>
  </hyperlinks>
  <pageMargins left="0.62992125984251968" right="0.31496062992125984" top="0.98425196850393704" bottom="0.19685039370078741" header="0.55118110236220474" footer="0.11811023622047245"/>
  <pageSetup orientation="landscape" horizontalDpi="0" verticalDpi="0"/>
  <headerFooter alignWithMargins="0">
    <oddHeader>&amp;C&amp;"Arial,Negrita"&amp;14&amp;A</oddHeader>
    <oddFooter>&amp;R&amp;8&amp;P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I24"/>
  <sheetViews>
    <sheetView topLeftCell="A3" zoomScale="114" zoomScaleNormal="116" workbookViewId="0">
      <selection activeCell="A9" sqref="A9"/>
    </sheetView>
  </sheetViews>
  <sheetFormatPr baseColWidth="10" defaultColWidth="0" defaultRowHeight="13.2" zeroHeight="1" x14ac:dyDescent="0.25"/>
  <cols>
    <col min="1" max="2" width="1.77734375" customWidth="1"/>
    <col min="3" max="3" width="42.77734375" customWidth="1"/>
    <col min="4" max="4" width="19.44140625" customWidth="1"/>
    <col min="5" max="5" width="21.6640625" customWidth="1"/>
    <col min="6" max="6" width="15.44140625" customWidth="1"/>
    <col min="7" max="7" width="31.33203125" customWidth="1"/>
    <col min="8" max="8" width="7.77734375" customWidth="1"/>
    <col min="9" max="9" width="2.77734375" customWidth="1"/>
  </cols>
  <sheetData>
    <row r="1" spans="1:9" ht="18" thickBot="1" x14ac:dyDescent="0.3">
      <c r="A1" s="225"/>
      <c r="B1" s="226"/>
      <c r="C1" s="225" t="s">
        <v>406</v>
      </c>
      <c r="D1" s="227"/>
      <c r="E1" s="273"/>
      <c r="F1" s="273"/>
      <c r="G1" s="273"/>
      <c r="H1" s="329" t="s">
        <v>350</v>
      </c>
      <c r="I1" s="170"/>
    </row>
    <row r="2" spans="1:9" ht="6.75" customHeight="1" thickBot="1" x14ac:dyDescent="0.3">
      <c r="A2" s="129"/>
      <c r="B2" s="266"/>
      <c r="C2" s="270"/>
      <c r="D2" s="286"/>
      <c r="E2" s="286"/>
      <c r="F2" s="286"/>
      <c r="G2" s="286"/>
      <c r="H2" s="286"/>
      <c r="I2" s="129"/>
    </row>
    <row r="3" spans="1:9" ht="18" customHeight="1" x14ac:dyDescent="0.25">
      <c r="A3" s="170"/>
      <c r="B3" s="267"/>
      <c r="C3" s="495" t="s">
        <v>448</v>
      </c>
      <c r="D3" s="486"/>
      <c r="E3" s="486"/>
      <c r="F3" s="483"/>
      <c r="G3" s="483"/>
      <c r="H3" s="484"/>
      <c r="I3" s="170"/>
    </row>
    <row r="4" spans="1:9" ht="16.95" customHeight="1" x14ac:dyDescent="0.25">
      <c r="A4" s="129"/>
      <c r="B4" s="268"/>
      <c r="C4" s="481" t="s">
        <v>443</v>
      </c>
      <c r="D4" s="570" t="s">
        <v>577</v>
      </c>
      <c r="E4" s="571"/>
      <c r="F4" s="571"/>
      <c r="G4" s="572"/>
      <c r="H4" s="265"/>
      <c r="I4" s="129"/>
    </row>
    <row r="5" spans="1:9" ht="16.95" customHeight="1" x14ac:dyDescent="0.25">
      <c r="A5" s="129"/>
      <c r="B5" s="268"/>
      <c r="C5" s="487" t="s">
        <v>444</v>
      </c>
      <c r="D5" s="573">
        <v>220.6</v>
      </c>
      <c r="E5" s="574"/>
      <c r="F5" s="574"/>
      <c r="G5" s="575"/>
      <c r="H5" s="265"/>
      <c r="I5" s="129"/>
    </row>
    <row r="6" spans="1:9" ht="55.5" customHeight="1" x14ac:dyDescent="0.3">
      <c r="A6" s="129"/>
      <c r="B6" s="269"/>
      <c r="C6" s="480" t="s">
        <v>438</v>
      </c>
      <c r="D6" s="482" t="s">
        <v>439</v>
      </c>
      <c r="E6" s="482" t="s">
        <v>440</v>
      </c>
      <c r="F6" s="482" t="s">
        <v>441</v>
      </c>
      <c r="G6" s="482" t="s">
        <v>442</v>
      </c>
      <c r="H6" s="265"/>
      <c r="I6" s="184"/>
    </row>
    <row r="7" spans="1:9" ht="27" customHeight="1" x14ac:dyDescent="0.25">
      <c r="A7" s="129"/>
      <c r="B7" s="269"/>
      <c r="C7" s="518" t="s">
        <v>581</v>
      </c>
      <c r="D7" s="518">
        <v>240</v>
      </c>
      <c r="E7" s="518" t="s">
        <v>582</v>
      </c>
      <c r="F7" s="518">
        <v>1</v>
      </c>
      <c r="G7" s="518" t="s">
        <v>583</v>
      </c>
      <c r="H7" s="485"/>
      <c r="I7" s="184"/>
    </row>
    <row r="8" spans="1:9" ht="27" customHeight="1" x14ac:dyDescent="0.25">
      <c r="A8" s="129"/>
      <c r="B8" s="269"/>
      <c r="C8" s="518" t="s">
        <v>584</v>
      </c>
      <c r="D8" s="518">
        <v>60</v>
      </c>
      <c r="E8" s="518" t="s">
        <v>582</v>
      </c>
      <c r="F8" s="518">
        <v>1</v>
      </c>
      <c r="G8" s="518" t="s">
        <v>583</v>
      </c>
      <c r="H8" s="485"/>
      <c r="I8" s="184"/>
    </row>
    <row r="9" spans="1:9" ht="27" customHeight="1" x14ac:dyDescent="0.25">
      <c r="A9" s="129"/>
      <c r="B9" s="269"/>
      <c r="C9" s="518" t="s">
        <v>585</v>
      </c>
      <c r="D9" s="518">
        <v>30</v>
      </c>
      <c r="E9" s="518" t="s">
        <v>582</v>
      </c>
      <c r="F9" s="518">
        <v>1</v>
      </c>
      <c r="G9" s="518" t="s">
        <v>586</v>
      </c>
      <c r="H9" s="485"/>
      <c r="I9" s="184"/>
    </row>
    <row r="10" spans="1:9" ht="27" customHeight="1" x14ac:dyDescent="0.25">
      <c r="A10" s="129"/>
      <c r="B10" s="269"/>
      <c r="C10" s="518" t="s">
        <v>587</v>
      </c>
      <c r="D10" s="518">
        <v>720</v>
      </c>
      <c r="E10" s="518" t="s">
        <v>582</v>
      </c>
      <c r="F10" s="518">
        <v>1</v>
      </c>
      <c r="G10" s="518" t="s">
        <v>588</v>
      </c>
      <c r="H10" s="485"/>
      <c r="I10" s="184"/>
    </row>
    <row r="11" spans="1:9" ht="27" customHeight="1" x14ac:dyDescent="0.25">
      <c r="A11" s="129"/>
      <c r="B11" s="269"/>
      <c r="C11" s="518" t="s">
        <v>589</v>
      </c>
      <c r="D11" s="518">
        <v>30</v>
      </c>
      <c r="E11" s="518" t="s">
        <v>582</v>
      </c>
      <c r="F11" s="518">
        <v>1</v>
      </c>
      <c r="G11" s="518" t="s">
        <v>590</v>
      </c>
      <c r="H11" s="485"/>
      <c r="I11" s="184"/>
    </row>
    <row r="12" spans="1:9" ht="27" customHeight="1" x14ac:dyDescent="0.25">
      <c r="A12" s="129"/>
      <c r="B12" s="269"/>
      <c r="C12" s="518"/>
      <c r="D12" s="518"/>
      <c r="E12" s="518"/>
      <c r="F12" s="518"/>
      <c r="G12" s="518"/>
      <c r="H12" s="485"/>
      <c r="I12" s="184"/>
    </row>
    <row r="13" spans="1:9" ht="27" customHeight="1" x14ac:dyDescent="0.25">
      <c r="A13" s="129"/>
      <c r="B13" s="269"/>
      <c r="C13" s="518"/>
      <c r="D13" s="518"/>
      <c r="E13" s="518"/>
      <c r="F13" s="518"/>
      <c r="G13" s="518"/>
      <c r="H13" s="485"/>
      <c r="I13" s="184"/>
    </row>
    <row r="14" spans="1:9" ht="27" customHeight="1" x14ac:dyDescent="0.25">
      <c r="A14" s="129"/>
      <c r="B14" s="269"/>
      <c r="C14" s="518"/>
      <c r="D14" s="518"/>
      <c r="E14" s="518"/>
      <c r="F14" s="518"/>
      <c r="G14" s="518"/>
      <c r="H14" s="485"/>
      <c r="I14" s="184"/>
    </row>
    <row r="15" spans="1:9" ht="27" customHeight="1" x14ac:dyDescent="0.25">
      <c r="A15" s="129"/>
      <c r="B15" s="269"/>
      <c r="C15" s="518"/>
      <c r="D15" s="518"/>
      <c r="E15" s="518"/>
      <c r="F15" s="518"/>
      <c r="G15" s="518"/>
      <c r="H15" s="485"/>
      <c r="I15" s="184"/>
    </row>
    <row r="16" spans="1:9" ht="27" customHeight="1" x14ac:dyDescent="0.25">
      <c r="A16" s="129"/>
      <c r="B16" s="269"/>
      <c r="C16" s="518"/>
      <c r="D16" s="518"/>
      <c r="E16" s="518"/>
      <c r="F16" s="518"/>
      <c r="G16" s="518"/>
      <c r="H16" s="485"/>
      <c r="I16" s="184"/>
    </row>
    <row r="17" spans="1:9" ht="27" customHeight="1" x14ac:dyDescent="0.25">
      <c r="A17" s="129"/>
      <c r="B17" s="269"/>
      <c r="C17" s="518"/>
      <c r="D17" s="518"/>
      <c r="E17" s="518"/>
      <c r="F17" s="518"/>
      <c r="G17" s="518"/>
      <c r="H17" s="485"/>
      <c r="I17" s="184"/>
    </row>
    <row r="18" spans="1:9" ht="27" customHeight="1" x14ac:dyDescent="0.25">
      <c r="A18" s="129"/>
      <c r="B18" s="269"/>
      <c r="C18" s="518"/>
      <c r="D18" s="518"/>
      <c r="E18" s="518"/>
      <c r="F18" s="518"/>
      <c r="G18" s="518"/>
      <c r="H18" s="485"/>
      <c r="I18" s="184"/>
    </row>
    <row r="19" spans="1:9" ht="27" customHeight="1" x14ac:dyDescent="0.25">
      <c r="A19" s="129"/>
      <c r="B19" s="269"/>
      <c r="C19" s="490" t="s">
        <v>315</v>
      </c>
      <c r="D19" s="519">
        <f>+SUM(D7:D11)</f>
        <v>1080</v>
      </c>
      <c r="E19" s="519"/>
      <c r="F19" s="519"/>
      <c r="G19" s="519"/>
      <c r="H19" s="485"/>
      <c r="I19" s="184"/>
    </row>
    <row r="20" spans="1:9" ht="18" customHeight="1" x14ac:dyDescent="0.25">
      <c r="A20" s="129"/>
      <c r="B20" s="269"/>
      <c r="C20" s="488" t="s">
        <v>445</v>
      </c>
      <c r="D20" s="491"/>
      <c r="E20" s="492"/>
      <c r="F20" s="493"/>
      <c r="G20" s="494"/>
      <c r="H20" s="489"/>
      <c r="I20" s="184"/>
    </row>
    <row r="21" spans="1:9" x14ac:dyDescent="0.25">
      <c r="A21" s="129"/>
      <c r="B21" s="269"/>
      <c r="C21" s="488" t="s">
        <v>446</v>
      </c>
      <c r="D21" s="285"/>
      <c r="E21" s="234"/>
      <c r="F21" s="489"/>
      <c r="G21" s="489"/>
      <c r="H21" s="489"/>
      <c r="I21" s="184"/>
    </row>
    <row r="22" spans="1:9" x14ac:dyDescent="0.25">
      <c r="A22" s="129"/>
      <c r="B22" s="269"/>
      <c r="C22" s="488" t="s">
        <v>447</v>
      </c>
      <c r="D22" s="285"/>
      <c r="E22" s="234"/>
      <c r="F22" s="489"/>
      <c r="G22" s="489"/>
      <c r="H22" s="489"/>
      <c r="I22" s="184"/>
    </row>
    <row r="23" spans="1:9" x14ac:dyDescent="0.25">
      <c r="A23" s="129"/>
      <c r="B23" s="269"/>
      <c r="C23" s="488" t="s">
        <v>471</v>
      </c>
      <c r="D23" s="234"/>
      <c r="E23" s="489"/>
      <c r="F23" s="489"/>
      <c r="G23" s="489"/>
      <c r="H23" s="485"/>
      <c r="I23" s="184"/>
    </row>
    <row r="24" spans="1:9" x14ac:dyDescent="0.25">
      <c r="A24" s="129"/>
      <c r="B24" s="184"/>
      <c r="C24" s="184"/>
      <c r="D24" s="184"/>
      <c r="E24" s="184"/>
      <c r="F24" s="184"/>
      <c r="G24" s="184"/>
      <c r="H24" s="184"/>
      <c r="I24" s="184"/>
    </row>
  </sheetData>
  <sheetProtection password="CA1B" sheet="1" formatColumns="0" formatRows="0"/>
  <mergeCells count="2">
    <mergeCell ref="D4:G4"/>
    <mergeCell ref="D5:G5"/>
  </mergeCells>
  <hyperlinks>
    <hyperlink ref="H1" location="Inicio!A1" display="Inicio" xr:uid="{00000000-0004-0000-0500-000000000000}"/>
  </hyperlinks>
  <pageMargins left="0.48" right="0.13" top="0.45" bottom="0.18" header="0.16" footer="0.11"/>
  <pageSetup paperSize="9" orientation="landscape" horizontalDpi="0" verticalDpi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23">
    <tabColor rgb="FFFFFF00"/>
  </sheetPr>
  <dimension ref="A1:K92"/>
  <sheetViews>
    <sheetView topLeftCell="A80" zoomScale="109" zoomScaleNormal="130" workbookViewId="0">
      <selection activeCell="G90" sqref="G90"/>
    </sheetView>
  </sheetViews>
  <sheetFormatPr baseColWidth="10" defaultColWidth="0" defaultRowHeight="13.2" x14ac:dyDescent="0.25"/>
  <cols>
    <col min="1" max="2" width="3.21875" customWidth="1"/>
    <col min="3" max="3" width="49" customWidth="1"/>
    <col min="4" max="4" width="11.77734375" customWidth="1"/>
    <col min="5" max="5" width="10.6640625" customWidth="1"/>
    <col min="6" max="6" width="12.6640625" customWidth="1"/>
    <col min="7" max="7" width="12.77734375" customWidth="1"/>
    <col min="8" max="9" width="13.44140625" customWidth="1"/>
    <col min="10" max="10" width="12.88671875" customWidth="1"/>
    <col min="11" max="11" width="13.44140625" customWidth="1"/>
    <col min="16384" max="16384" width="0.88671875" customWidth="1"/>
  </cols>
  <sheetData>
    <row r="1" spans="1:11" ht="10.95" hidden="1" customHeight="1" x14ac:dyDescent="0.25">
      <c r="A1" s="260"/>
      <c r="B1" s="260"/>
      <c r="C1" s="259"/>
      <c r="D1" s="271"/>
      <c r="E1" s="261"/>
      <c r="F1" s="272"/>
      <c r="G1" s="272"/>
      <c r="H1" s="272"/>
      <c r="I1" s="272"/>
      <c r="J1" s="272"/>
      <c r="K1" s="165">
        <v>0</v>
      </c>
    </row>
    <row r="2" spans="1:11" ht="18" thickBot="1" x14ac:dyDescent="0.3">
      <c r="B2" s="316"/>
      <c r="C2" s="225" t="s">
        <v>406</v>
      </c>
      <c r="D2" s="225"/>
      <c r="E2" s="316"/>
      <c r="F2" s="317"/>
      <c r="G2" s="316"/>
      <c r="H2" s="273"/>
      <c r="I2" s="273"/>
      <c r="J2" s="273"/>
      <c r="K2" s="228"/>
    </row>
    <row r="3" spans="1:11" ht="18" thickBot="1" x14ac:dyDescent="0.3">
      <c r="A3" s="129"/>
      <c r="B3" s="266"/>
      <c r="C3" s="270"/>
      <c r="D3" s="270"/>
      <c r="E3" s="286"/>
      <c r="F3" s="286"/>
      <c r="G3" s="286"/>
      <c r="H3" s="286"/>
      <c r="I3" s="286"/>
      <c r="J3" s="286"/>
      <c r="K3" s="329" t="s">
        <v>350</v>
      </c>
    </row>
    <row r="4" spans="1:11" ht="13.8" thickBot="1" x14ac:dyDescent="0.3">
      <c r="A4" s="129"/>
      <c r="B4" s="268"/>
      <c r="C4" s="298" t="s">
        <v>511</v>
      </c>
      <c r="D4" s="483"/>
      <c r="E4" s="283"/>
      <c r="F4" s="283"/>
      <c r="G4" s="283"/>
      <c r="H4" s="283"/>
      <c r="I4" s="283"/>
      <c r="J4" s="283"/>
      <c r="K4" s="283"/>
    </row>
    <row r="5" spans="1:11" ht="13.8" thickBot="1" x14ac:dyDescent="0.3">
      <c r="A5" s="129"/>
      <c r="B5" s="268"/>
      <c r="C5" s="304" t="s">
        <v>310</v>
      </c>
      <c r="D5" s="304"/>
      <c r="E5" s="504">
        <v>0.60599999999999998</v>
      </c>
      <c r="F5" s="505"/>
      <c r="G5" s="505"/>
      <c r="H5" s="505"/>
      <c r="I5" s="505"/>
      <c r="J5" s="283"/>
      <c r="K5" s="283"/>
    </row>
    <row r="6" spans="1:11" ht="13.8" thickBot="1" x14ac:dyDescent="0.3">
      <c r="A6" s="129"/>
      <c r="B6" s="268"/>
      <c r="C6" s="299" t="s">
        <v>523</v>
      </c>
      <c r="D6" s="299"/>
      <c r="E6" s="527" t="s">
        <v>509</v>
      </c>
      <c r="F6" s="527" t="s">
        <v>509</v>
      </c>
      <c r="G6" s="527" t="s">
        <v>509</v>
      </c>
      <c r="H6" s="527" t="s">
        <v>509</v>
      </c>
      <c r="I6" s="528" t="s">
        <v>509</v>
      </c>
      <c r="J6" s="484"/>
      <c r="K6" s="484"/>
    </row>
    <row r="7" spans="1:11" x14ac:dyDescent="0.25">
      <c r="A7" s="129"/>
      <c r="B7" s="268"/>
      <c r="C7" s="526" t="s">
        <v>525</v>
      </c>
      <c r="D7" s="526"/>
      <c r="E7" s="134">
        <f>+Bases!D5+1</f>
        <v>1</v>
      </c>
      <c r="F7" s="134">
        <f>+E7+1</f>
        <v>2</v>
      </c>
      <c r="G7" s="134">
        <f>+F7+1</f>
        <v>3</v>
      </c>
      <c r="H7" s="134">
        <f>+G7+1</f>
        <v>4</v>
      </c>
      <c r="I7" s="529">
        <f>+H7+1</f>
        <v>5</v>
      </c>
      <c r="J7" s="484"/>
      <c r="K7" s="484"/>
    </row>
    <row r="8" spans="1:11" x14ac:dyDescent="0.25">
      <c r="A8" s="129"/>
      <c r="B8" s="268"/>
      <c r="C8" s="294" t="s">
        <v>573</v>
      </c>
      <c r="D8" s="534"/>
      <c r="E8" s="506">
        <v>1</v>
      </c>
      <c r="F8" s="506">
        <v>1</v>
      </c>
      <c r="G8" s="506">
        <v>1</v>
      </c>
      <c r="H8" s="506">
        <v>1</v>
      </c>
      <c r="I8" s="506">
        <v>1</v>
      </c>
      <c r="J8" s="484"/>
      <c r="K8" s="484"/>
    </row>
    <row r="9" spans="1:11" x14ac:dyDescent="0.25">
      <c r="A9" s="129"/>
      <c r="B9" s="268"/>
      <c r="C9" s="293"/>
      <c r="D9" s="531"/>
      <c r="E9" s="506"/>
      <c r="F9" s="506"/>
      <c r="G9" s="506"/>
      <c r="H9" s="497"/>
      <c r="I9" s="497"/>
      <c r="J9" s="484"/>
      <c r="K9" s="484"/>
    </row>
    <row r="10" spans="1:11" x14ac:dyDescent="0.25">
      <c r="A10" s="129"/>
      <c r="B10" s="268"/>
      <c r="C10" s="293"/>
      <c r="D10" s="531"/>
      <c r="E10" s="506"/>
      <c r="F10" s="506"/>
      <c r="G10" s="506"/>
      <c r="H10" s="497"/>
      <c r="I10" s="497"/>
      <c r="J10" s="484"/>
      <c r="K10" s="484"/>
    </row>
    <row r="11" spans="1:11" x14ac:dyDescent="0.25">
      <c r="A11" s="129"/>
      <c r="B11" s="268"/>
      <c r="C11" s="293"/>
      <c r="D11" s="531"/>
      <c r="E11" s="506"/>
      <c r="F11" s="506"/>
      <c r="G11" s="506"/>
      <c r="H11" s="497"/>
      <c r="I11" s="497"/>
      <c r="J11" s="484"/>
      <c r="K11" s="484"/>
    </row>
    <row r="12" spans="1:11" x14ac:dyDescent="0.25">
      <c r="A12" s="129"/>
      <c r="B12" s="268"/>
      <c r="C12" s="293"/>
      <c r="D12" s="531"/>
      <c r="E12" s="506"/>
      <c r="F12" s="506"/>
      <c r="G12" s="506"/>
      <c r="H12" s="497"/>
      <c r="I12" s="497"/>
      <c r="J12" s="484"/>
      <c r="K12" s="484"/>
    </row>
    <row r="13" spans="1:11" x14ac:dyDescent="0.25">
      <c r="A13" s="129"/>
      <c r="B13" s="268"/>
      <c r="C13" s="293"/>
      <c r="D13" s="531"/>
      <c r="E13" s="506"/>
      <c r="F13" s="506"/>
      <c r="G13" s="506"/>
      <c r="H13" s="497"/>
      <c r="I13" s="497"/>
      <c r="J13" s="484"/>
      <c r="K13" s="484"/>
    </row>
    <row r="14" spans="1:11" x14ac:dyDescent="0.25">
      <c r="A14" s="129"/>
      <c r="B14" s="268"/>
      <c r="C14" s="293"/>
      <c r="D14" s="531"/>
      <c r="E14" s="506"/>
      <c r="F14" s="506"/>
      <c r="G14" s="506"/>
      <c r="H14" s="497"/>
      <c r="I14" s="497"/>
      <c r="J14" s="484"/>
      <c r="K14" s="484"/>
    </row>
    <row r="15" spans="1:11" x14ac:dyDescent="0.25">
      <c r="A15" s="129"/>
      <c r="B15" s="268"/>
      <c r="C15" s="293"/>
      <c r="D15" s="531"/>
      <c r="E15" s="506"/>
      <c r="F15" s="506"/>
      <c r="G15" s="506"/>
      <c r="H15" s="497"/>
      <c r="I15" s="497"/>
      <c r="J15" s="484"/>
      <c r="K15" s="484"/>
    </row>
    <row r="16" spans="1:11" x14ac:dyDescent="0.25">
      <c r="A16" s="129"/>
      <c r="B16" s="268"/>
      <c r="C16" s="293"/>
      <c r="D16" s="531"/>
      <c r="E16" s="506"/>
      <c r="F16" s="506"/>
      <c r="G16" s="506"/>
      <c r="H16" s="497"/>
      <c r="I16" s="497"/>
      <c r="J16" s="484"/>
      <c r="K16" s="484"/>
    </row>
    <row r="17" spans="1:11" x14ac:dyDescent="0.25">
      <c r="A17" s="129"/>
      <c r="B17" s="268"/>
      <c r="C17" s="293"/>
      <c r="D17" s="531"/>
      <c r="E17" s="506"/>
      <c r="F17" s="506"/>
      <c r="G17" s="506"/>
      <c r="H17" s="497"/>
      <c r="I17" s="497"/>
      <c r="J17" s="484"/>
      <c r="K17" s="484"/>
    </row>
    <row r="18" spans="1:11" ht="13.8" thickBot="1" x14ac:dyDescent="0.3">
      <c r="A18" s="129"/>
      <c r="B18" s="268"/>
      <c r="C18" s="319" t="s">
        <v>316</v>
      </c>
      <c r="D18" s="319"/>
      <c r="E18" s="507">
        <f>SUM(E8:E17)</f>
        <v>1</v>
      </c>
      <c r="F18" s="507">
        <f>SUM(F8:F17)</f>
        <v>1</v>
      </c>
      <c r="G18" s="507">
        <f>SUM(G8:G17)</f>
        <v>1</v>
      </c>
      <c r="H18" s="507">
        <f>SUM(H8:H17)</f>
        <v>1</v>
      </c>
      <c r="I18" s="530">
        <f>SUM(I8:I17)</f>
        <v>1</v>
      </c>
      <c r="J18" s="484"/>
      <c r="K18" s="484"/>
    </row>
    <row r="19" spans="1:11" ht="43.95" customHeight="1" x14ac:dyDescent="0.25">
      <c r="A19" s="129"/>
      <c r="B19" s="268"/>
      <c r="C19" s="541" t="s">
        <v>510</v>
      </c>
      <c r="D19" s="539"/>
      <c r="E19" s="539" t="s">
        <v>519</v>
      </c>
      <c r="F19" s="539" t="s">
        <v>314</v>
      </c>
      <c r="G19" s="540">
        <f>+Bases!D17+1</f>
        <v>1</v>
      </c>
      <c r="H19" s="540">
        <f>G19+1</f>
        <v>2</v>
      </c>
      <c r="I19" s="540">
        <f>H19+1</f>
        <v>3</v>
      </c>
      <c r="J19" s="540">
        <f>I19+1</f>
        <v>4</v>
      </c>
      <c r="K19" s="540">
        <f>J19+1</f>
        <v>5</v>
      </c>
    </row>
    <row r="20" spans="1:11" x14ac:dyDescent="0.25">
      <c r="A20" s="129"/>
      <c r="B20" s="268"/>
      <c r="C20" s="297" t="s">
        <v>512</v>
      </c>
      <c r="D20" s="297"/>
      <c r="E20" s="295"/>
      <c r="F20" s="295"/>
      <c r="G20" s="295"/>
      <c r="H20" s="295"/>
      <c r="I20" s="476"/>
      <c r="J20" s="476"/>
      <c r="K20" s="476"/>
    </row>
    <row r="21" spans="1:11" x14ac:dyDescent="0.25">
      <c r="A21" s="129"/>
      <c r="B21" s="268"/>
      <c r="C21" s="531" t="str">
        <f>+C8</f>
        <v>OPERADOR</v>
      </c>
      <c r="D21" s="534"/>
      <c r="E21" s="368">
        <v>12</v>
      </c>
      <c r="F21" s="368">
        <v>1423500</v>
      </c>
      <c r="G21" s="369">
        <f>+((F21*12)+((F21*12)*$E$5))*E8*(E21/12)</f>
        <v>27433692</v>
      </c>
      <c r="H21" s="369">
        <f t="shared" ref="H21:H30" si="0">+(((F21*12)+((F21*12)*$E$5))*F8)*(1+Inflacion1)</f>
        <v>28503605.987999998</v>
      </c>
      <c r="I21" s="369">
        <f t="shared" ref="I21:I30" si="1">+(((F21*12)+((F21*12)*$E$5))*G8)*(1+Inflacion1)*(1+Inflacion2)</f>
        <v>29387217.773627996</v>
      </c>
      <c r="J21" s="369">
        <f t="shared" ref="J21:J30" si="2">+(((F21*12)+((F21*12)*$E$5))*H8)*(1+Inflacion1)*(1+Inflacion2)*(1+Inflacion3)</f>
        <v>30268834.306836836</v>
      </c>
      <c r="K21" s="369">
        <f t="shared" ref="K21:K30" si="3">+(((F21*12)+((F21*12)*$E$5))*I8)*(1+Inflacion1)*(1+Inflacion2)*(1+Inflacion3)*(1+Inflacion4)</f>
        <v>31176899.336041942</v>
      </c>
    </row>
    <row r="22" spans="1:11" x14ac:dyDescent="0.25">
      <c r="A22" s="129"/>
      <c r="B22" s="268"/>
      <c r="C22" s="531">
        <f t="shared" ref="C22:C30" si="4">+C9</f>
        <v>0</v>
      </c>
      <c r="D22" s="531"/>
      <c r="E22" s="368"/>
      <c r="F22" s="368"/>
      <c r="G22" s="369">
        <f t="shared" ref="G22:G30" si="5">+((F22*12)+((F22*12)*$E$5))*E9*(E22/12)</f>
        <v>0</v>
      </c>
      <c r="H22" s="369">
        <f t="shared" si="0"/>
        <v>0</v>
      </c>
      <c r="I22" s="369">
        <f t="shared" si="1"/>
        <v>0</v>
      </c>
      <c r="J22" s="369">
        <f t="shared" si="2"/>
        <v>0</v>
      </c>
      <c r="K22" s="369">
        <f t="shared" si="3"/>
        <v>0</v>
      </c>
    </row>
    <row r="23" spans="1:11" x14ac:dyDescent="0.25">
      <c r="A23" s="129"/>
      <c r="B23" s="268"/>
      <c r="C23" s="531">
        <f t="shared" si="4"/>
        <v>0</v>
      </c>
      <c r="D23" s="531"/>
      <c r="E23" s="368"/>
      <c r="F23" s="368"/>
      <c r="G23" s="369">
        <f t="shared" si="5"/>
        <v>0</v>
      </c>
      <c r="H23" s="369">
        <f t="shared" si="0"/>
        <v>0</v>
      </c>
      <c r="I23" s="369">
        <f t="shared" si="1"/>
        <v>0</v>
      </c>
      <c r="J23" s="369">
        <f t="shared" si="2"/>
        <v>0</v>
      </c>
      <c r="K23" s="369">
        <f t="shared" si="3"/>
        <v>0</v>
      </c>
    </row>
    <row r="24" spans="1:11" x14ac:dyDescent="0.25">
      <c r="A24" s="129"/>
      <c r="B24" s="268"/>
      <c r="C24" s="531">
        <f t="shared" si="4"/>
        <v>0</v>
      </c>
      <c r="D24" s="531"/>
      <c r="E24" s="368"/>
      <c r="F24" s="368"/>
      <c r="G24" s="369">
        <f t="shared" si="5"/>
        <v>0</v>
      </c>
      <c r="H24" s="369">
        <f t="shared" si="0"/>
        <v>0</v>
      </c>
      <c r="I24" s="369">
        <f t="shared" si="1"/>
        <v>0</v>
      </c>
      <c r="J24" s="369">
        <f t="shared" si="2"/>
        <v>0</v>
      </c>
      <c r="K24" s="369">
        <f t="shared" si="3"/>
        <v>0</v>
      </c>
    </row>
    <row r="25" spans="1:11" x14ac:dyDescent="0.25">
      <c r="A25" s="129"/>
      <c r="B25" s="268"/>
      <c r="C25" s="531">
        <f t="shared" si="4"/>
        <v>0</v>
      </c>
      <c r="D25" s="531"/>
      <c r="E25" s="368"/>
      <c r="F25" s="368"/>
      <c r="G25" s="369">
        <f t="shared" si="5"/>
        <v>0</v>
      </c>
      <c r="H25" s="369">
        <f t="shared" si="0"/>
        <v>0</v>
      </c>
      <c r="I25" s="369">
        <f t="shared" si="1"/>
        <v>0</v>
      </c>
      <c r="J25" s="369">
        <f t="shared" si="2"/>
        <v>0</v>
      </c>
      <c r="K25" s="369">
        <f t="shared" si="3"/>
        <v>0</v>
      </c>
    </row>
    <row r="26" spans="1:11" x14ac:dyDescent="0.25">
      <c r="A26" s="129"/>
      <c r="B26" s="268"/>
      <c r="C26" s="531">
        <f t="shared" si="4"/>
        <v>0</v>
      </c>
      <c r="D26" s="531"/>
      <c r="E26" s="368"/>
      <c r="F26" s="368"/>
      <c r="G26" s="369">
        <f t="shared" si="5"/>
        <v>0</v>
      </c>
      <c r="H26" s="369">
        <f t="shared" si="0"/>
        <v>0</v>
      </c>
      <c r="I26" s="369">
        <f t="shared" si="1"/>
        <v>0</v>
      </c>
      <c r="J26" s="369">
        <f t="shared" si="2"/>
        <v>0</v>
      </c>
      <c r="K26" s="369">
        <f t="shared" si="3"/>
        <v>0</v>
      </c>
    </row>
    <row r="27" spans="1:11" x14ac:dyDescent="0.25">
      <c r="A27" s="129"/>
      <c r="B27" s="268"/>
      <c r="C27" s="531">
        <f t="shared" si="4"/>
        <v>0</v>
      </c>
      <c r="D27" s="531"/>
      <c r="E27" s="368"/>
      <c r="F27" s="368"/>
      <c r="G27" s="369">
        <f t="shared" si="5"/>
        <v>0</v>
      </c>
      <c r="H27" s="369">
        <f t="shared" si="0"/>
        <v>0</v>
      </c>
      <c r="I27" s="369">
        <f t="shared" si="1"/>
        <v>0</v>
      </c>
      <c r="J27" s="369">
        <f t="shared" si="2"/>
        <v>0</v>
      </c>
      <c r="K27" s="369">
        <f t="shared" si="3"/>
        <v>0</v>
      </c>
    </row>
    <row r="28" spans="1:11" x14ac:dyDescent="0.25">
      <c r="A28" s="129"/>
      <c r="B28" s="268"/>
      <c r="C28" s="531">
        <f t="shared" si="4"/>
        <v>0</v>
      </c>
      <c r="D28" s="531"/>
      <c r="E28" s="368"/>
      <c r="F28" s="368"/>
      <c r="G28" s="369">
        <f t="shared" si="5"/>
        <v>0</v>
      </c>
      <c r="H28" s="369">
        <f t="shared" si="0"/>
        <v>0</v>
      </c>
      <c r="I28" s="369">
        <f t="shared" si="1"/>
        <v>0</v>
      </c>
      <c r="J28" s="369">
        <f t="shared" si="2"/>
        <v>0</v>
      </c>
      <c r="K28" s="369">
        <f t="shared" si="3"/>
        <v>0</v>
      </c>
    </row>
    <row r="29" spans="1:11" x14ac:dyDescent="0.25">
      <c r="A29" s="129"/>
      <c r="B29" s="268"/>
      <c r="C29" s="531">
        <f t="shared" si="4"/>
        <v>0</v>
      </c>
      <c r="D29" s="531"/>
      <c r="E29" s="368"/>
      <c r="F29" s="368"/>
      <c r="G29" s="369">
        <f t="shared" si="5"/>
        <v>0</v>
      </c>
      <c r="H29" s="369">
        <f t="shared" si="0"/>
        <v>0</v>
      </c>
      <c r="I29" s="369">
        <f t="shared" si="1"/>
        <v>0</v>
      </c>
      <c r="J29" s="369">
        <f t="shared" si="2"/>
        <v>0</v>
      </c>
      <c r="K29" s="369">
        <f t="shared" si="3"/>
        <v>0</v>
      </c>
    </row>
    <row r="30" spans="1:11" x14ac:dyDescent="0.25">
      <c r="A30" s="129"/>
      <c r="B30" s="268"/>
      <c r="C30" s="531">
        <f t="shared" si="4"/>
        <v>0</v>
      </c>
      <c r="D30" s="531"/>
      <c r="E30" s="368"/>
      <c r="F30" s="368"/>
      <c r="G30" s="369">
        <f t="shared" si="5"/>
        <v>0</v>
      </c>
      <c r="H30" s="369">
        <f t="shared" si="0"/>
        <v>0</v>
      </c>
      <c r="I30" s="369">
        <f t="shared" si="1"/>
        <v>0</v>
      </c>
      <c r="J30" s="369">
        <f t="shared" si="2"/>
        <v>0</v>
      </c>
      <c r="K30" s="369">
        <f t="shared" si="3"/>
        <v>0</v>
      </c>
    </row>
    <row r="31" spans="1:11" x14ac:dyDescent="0.25">
      <c r="A31" s="129"/>
      <c r="B31" s="268"/>
      <c r="C31" s="319" t="s">
        <v>547</v>
      </c>
      <c r="D31" s="319"/>
      <c r="E31" s="507"/>
      <c r="F31" s="507">
        <f t="shared" ref="F31:K31" si="6">SUM(F21:F30)</f>
        <v>1423500</v>
      </c>
      <c r="G31" s="507">
        <f t="shared" si="6"/>
        <v>27433692</v>
      </c>
      <c r="H31" s="507">
        <f t="shared" si="6"/>
        <v>28503605.987999998</v>
      </c>
      <c r="I31" s="507">
        <f t="shared" si="6"/>
        <v>29387217.773627996</v>
      </c>
      <c r="J31" s="507">
        <f t="shared" si="6"/>
        <v>30268834.306836836</v>
      </c>
      <c r="K31" s="507">
        <f t="shared" si="6"/>
        <v>31176899.336041942</v>
      </c>
    </row>
    <row r="32" spans="1:11" ht="31.2" x14ac:dyDescent="0.25">
      <c r="A32" s="129"/>
      <c r="B32" s="268"/>
      <c r="C32" s="550" t="s">
        <v>548</v>
      </c>
      <c r="D32" s="551" t="s">
        <v>543</v>
      </c>
      <c r="E32" s="551" t="s">
        <v>550</v>
      </c>
      <c r="F32" s="551" t="s">
        <v>551</v>
      </c>
      <c r="G32" s="549"/>
      <c r="H32" s="549"/>
      <c r="I32" s="549"/>
      <c r="J32" s="549"/>
      <c r="K32" s="549"/>
    </row>
    <row r="33" spans="1:11" x14ac:dyDescent="0.25">
      <c r="A33" s="129"/>
      <c r="B33" s="268"/>
      <c r="C33" s="297" t="s">
        <v>545</v>
      </c>
      <c r="D33" s="297"/>
      <c r="E33" s="297"/>
      <c r="F33" s="297"/>
      <c r="G33" s="549"/>
      <c r="H33" s="549"/>
      <c r="I33" s="549"/>
      <c r="J33" s="549"/>
      <c r="K33" s="549"/>
    </row>
    <row r="34" spans="1:11" x14ac:dyDescent="0.25">
      <c r="A34" s="129"/>
      <c r="B34" s="268"/>
      <c r="C34" s="552"/>
      <c r="D34" s="553"/>
      <c r="E34" s="553"/>
      <c r="F34" s="553"/>
      <c r="G34" s="555">
        <f>+F34*(+D34/12)</f>
        <v>0</v>
      </c>
      <c r="H34" s="555">
        <f>+F34*(1+Inflacion1)</f>
        <v>0</v>
      </c>
      <c r="I34" s="555">
        <f>+H34*(1+Inflacion2)</f>
        <v>0</v>
      </c>
      <c r="J34" s="555">
        <f>+I34*(1+Inflacion3)</f>
        <v>0</v>
      </c>
      <c r="K34" s="555">
        <f>+J34*(1+Inflacion4)</f>
        <v>0</v>
      </c>
    </row>
    <row r="35" spans="1:11" x14ac:dyDescent="0.25">
      <c r="A35" s="129"/>
      <c r="B35" s="268"/>
      <c r="C35" s="552"/>
      <c r="D35" s="553"/>
      <c r="E35" s="553"/>
      <c r="F35" s="553"/>
      <c r="G35" s="555">
        <f>+F35*(+D35/12)</f>
        <v>0</v>
      </c>
      <c r="H35" s="555">
        <f>+F35*(1+Inflacion1)</f>
        <v>0</v>
      </c>
      <c r="I35" s="555">
        <f>+H35*(1+Inflacion2)</f>
        <v>0</v>
      </c>
      <c r="J35" s="555">
        <f>+I35*(1+Inflacion3)</f>
        <v>0</v>
      </c>
      <c r="K35" s="555">
        <f>+J35*(1+Inflacion4)</f>
        <v>0</v>
      </c>
    </row>
    <row r="36" spans="1:11" x14ac:dyDescent="0.25">
      <c r="A36" s="129"/>
      <c r="B36" s="268"/>
      <c r="C36" s="552"/>
      <c r="D36" s="553"/>
      <c r="E36" s="553"/>
      <c r="F36" s="553"/>
      <c r="G36" s="555">
        <f>+F36*(+D36/12)</f>
        <v>0</v>
      </c>
      <c r="H36" s="555">
        <f>+F36*(1+Inflacion1)</f>
        <v>0</v>
      </c>
      <c r="I36" s="555">
        <f>+H36*(1+Inflacion2)</f>
        <v>0</v>
      </c>
      <c r="J36" s="555">
        <f>+I36*(1+Inflacion3)</f>
        <v>0</v>
      </c>
      <c r="K36" s="555">
        <f>+J36*(1+Inflacion4)</f>
        <v>0</v>
      </c>
    </row>
    <row r="37" spans="1:11" x14ac:dyDescent="0.25">
      <c r="A37" s="129"/>
      <c r="B37" s="268"/>
      <c r="C37" s="319" t="s">
        <v>544</v>
      </c>
      <c r="D37" s="554"/>
      <c r="E37" s="555"/>
      <c r="F37" s="555"/>
      <c r="G37" s="555">
        <f>SUM(G34:G36)</f>
        <v>0</v>
      </c>
      <c r="H37" s="555">
        <f>SUM(H34:H36)</f>
        <v>0</v>
      </c>
      <c r="I37" s="555">
        <f>SUM(I34:I36)</f>
        <v>0</v>
      </c>
      <c r="J37" s="555">
        <f>SUM(J34:J36)</f>
        <v>0</v>
      </c>
      <c r="K37" s="555">
        <f>SUM(K34:K36)</f>
        <v>0</v>
      </c>
    </row>
    <row r="38" spans="1:11" ht="16.2" thickBot="1" x14ac:dyDescent="0.35">
      <c r="A38" s="129"/>
      <c r="B38" s="268"/>
      <c r="C38" s="556" t="s">
        <v>549</v>
      </c>
      <c r="D38" s="554"/>
      <c r="E38" s="554"/>
      <c r="F38" s="554"/>
      <c r="G38" s="557">
        <f>+G31+G37</f>
        <v>27433692</v>
      </c>
      <c r="H38" s="557">
        <f>+H31+H37</f>
        <v>28503605.987999998</v>
      </c>
      <c r="I38" s="557">
        <f>+I31+I37</f>
        <v>29387217.773627996</v>
      </c>
      <c r="J38" s="557">
        <f>+J31+J37</f>
        <v>30268834.306836836</v>
      </c>
      <c r="K38" s="557">
        <f>+K31+K37</f>
        <v>31176899.336041942</v>
      </c>
    </row>
    <row r="39" spans="1:11" ht="41.4" x14ac:dyDescent="0.25">
      <c r="A39" s="129"/>
      <c r="B39" s="268"/>
      <c r="C39" s="550" t="s">
        <v>546</v>
      </c>
      <c r="D39" s="539" t="s">
        <v>519</v>
      </c>
      <c r="E39" s="539" t="s">
        <v>520</v>
      </c>
      <c r="F39" s="539" t="s">
        <v>314</v>
      </c>
      <c r="G39" s="540">
        <f>+Bases!D30+1</f>
        <v>2</v>
      </c>
      <c r="H39" s="540">
        <f>G39+1</f>
        <v>3</v>
      </c>
      <c r="I39" s="540">
        <f>H39+1</f>
        <v>4</v>
      </c>
      <c r="J39" s="540">
        <f>I39+1</f>
        <v>5</v>
      </c>
      <c r="K39" s="540">
        <f>J39+1</f>
        <v>6</v>
      </c>
    </row>
    <row r="40" spans="1:11" x14ac:dyDescent="0.25">
      <c r="A40" s="129"/>
      <c r="B40" s="268"/>
      <c r="C40" s="297" t="s">
        <v>317</v>
      </c>
      <c r="D40" s="297"/>
      <c r="E40" s="295"/>
      <c r="F40" s="295"/>
      <c r="G40" s="295"/>
      <c r="H40" s="295"/>
      <c r="I40" s="476"/>
      <c r="J40" s="476"/>
      <c r="K40" s="476"/>
    </row>
    <row r="41" spans="1:11" x14ac:dyDescent="0.25">
      <c r="A41" s="129"/>
      <c r="B41" s="305"/>
      <c r="C41" s="294" t="s">
        <v>575</v>
      </c>
      <c r="D41" s="368">
        <v>12</v>
      </c>
      <c r="E41" s="506">
        <v>1</v>
      </c>
      <c r="F41" s="368">
        <v>2000000</v>
      </c>
      <c r="G41" s="369">
        <f>+((F41*12)+((F41*12)*$E$5))*E41*(D41/12)</f>
        <v>38544000</v>
      </c>
      <c r="H41" s="369">
        <f>+((F41*12)+((F41*12)*$E$5))*E41*(1+Inflacion1)</f>
        <v>40047216</v>
      </c>
      <c r="I41" s="369">
        <f>+H41*(1+Inflacion2)</f>
        <v>41288679.695999995</v>
      </c>
      <c r="J41" s="369">
        <f>+I41*(1+Inflacion3)</f>
        <v>42527340.086879998</v>
      </c>
      <c r="K41" s="369">
        <f>+J41*(1+Inflacion4)</f>
        <v>43803160.289486401</v>
      </c>
    </row>
    <row r="42" spans="1:11" x14ac:dyDescent="0.25">
      <c r="A42" s="129"/>
      <c r="B42" s="306"/>
      <c r="C42" s="293"/>
      <c r="D42" s="368"/>
      <c r="E42" s="497"/>
      <c r="F42" s="348"/>
      <c r="G42" s="369">
        <f>+((F42*12)+((F42*12)*$E$5))*E42*(D42/12)</f>
        <v>0</v>
      </c>
      <c r="H42" s="369">
        <f>+((F42*12)+((F42*12)*$E$5))*E42*(1+Inflacion1)</f>
        <v>0</v>
      </c>
      <c r="I42" s="369">
        <f>+H42*(1+Inflacion2)</f>
        <v>0</v>
      </c>
      <c r="J42" s="369">
        <f>+I42*(1+Inflacion3)</f>
        <v>0</v>
      </c>
      <c r="K42" s="369">
        <f>+J42*(1+Inflacion4)</f>
        <v>0</v>
      </c>
    </row>
    <row r="43" spans="1:11" x14ac:dyDescent="0.25">
      <c r="A43" s="129"/>
      <c r="B43" s="306"/>
      <c r="C43" s="293"/>
      <c r="D43" s="368"/>
      <c r="E43" s="497"/>
      <c r="F43" s="348"/>
      <c r="G43" s="369">
        <f>+((F43*12)+((F43*12)*$E$5))*E43*(D43/12)</f>
        <v>0</v>
      </c>
      <c r="H43" s="369">
        <f>+((F43*12)+((F43*12)*$E$5))*E43*(1+Inflacion1)</f>
        <v>0</v>
      </c>
      <c r="I43" s="369">
        <f>+H43*(1+Inflacion2)</f>
        <v>0</v>
      </c>
      <c r="J43" s="369">
        <f>+I43*(1+Inflacion3)</f>
        <v>0</v>
      </c>
      <c r="K43" s="369">
        <f>+J43*(1+Inflacion4)</f>
        <v>0</v>
      </c>
    </row>
    <row r="44" spans="1:11" x14ac:dyDescent="0.25">
      <c r="A44" s="129"/>
      <c r="B44" s="306"/>
      <c r="C44" s="293"/>
      <c r="D44" s="368"/>
      <c r="E44" s="497"/>
      <c r="F44" s="348"/>
      <c r="G44" s="369">
        <f>+((F44*12)+((F44*12)*$E$5))*E44*(D44/12)</f>
        <v>0</v>
      </c>
      <c r="H44" s="369">
        <f>+((F44*12)+((F44*12)*$E$5))*E44*(1+Inflacion1)</f>
        <v>0</v>
      </c>
      <c r="I44" s="369">
        <f>+H44*(1+Inflacion2)</f>
        <v>0</v>
      </c>
      <c r="J44" s="369">
        <f>+I44*(1+Inflacion3)</f>
        <v>0</v>
      </c>
      <c r="K44" s="369">
        <f>+J44*(1+Inflacion4)</f>
        <v>0</v>
      </c>
    </row>
    <row r="45" spans="1:11" x14ac:dyDescent="0.25">
      <c r="A45" s="129"/>
      <c r="B45" s="306"/>
      <c r="C45" s="293"/>
      <c r="D45" s="368"/>
      <c r="E45" s="497"/>
      <c r="F45" s="348"/>
      <c r="G45" s="369">
        <f>+((F45*12)+((F45*12)*$E$5))*E45*(D45/12)</f>
        <v>0</v>
      </c>
      <c r="H45" s="369">
        <f>+((F45*12)+((F45*12)*$E$5))*E45*(1+Inflacion1)</f>
        <v>0</v>
      </c>
      <c r="I45" s="369">
        <f>+H45*(1+Inflacion2)</f>
        <v>0</v>
      </c>
      <c r="J45" s="369">
        <f>+I45*(1+Inflacion3)</f>
        <v>0</v>
      </c>
      <c r="K45" s="369">
        <f>+J45*(1+Inflacion4)</f>
        <v>0</v>
      </c>
    </row>
    <row r="46" spans="1:11" x14ac:dyDescent="0.25">
      <c r="A46" s="129"/>
      <c r="B46" s="306"/>
      <c r="C46" s="319" t="s">
        <v>316</v>
      </c>
      <c r="D46" s="319"/>
      <c r="E46" s="507">
        <f>SUM(E41:E45)</f>
        <v>1</v>
      </c>
      <c r="F46" s="366">
        <f t="shared" ref="F46:K46" si="7">SUM(F41:F45)</f>
        <v>2000000</v>
      </c>
      <c r="G46" s="366">
        <f t="shared" si="7"/>
        <v>38544000</v>
      </c>
      <c r="H46" s="366">
        <f t="shared" si="7"/>
        <v>40047216</v>
      </c>
      <c r="I46" s="366">
        <f t="shared" si="7"/>
        <v>41288679.695999995</v>
      </c>
      <c r="J46" s="366">
        <f t="shared" si="7"/>
        <v>42527340.086879998</v>
      </c>
      <c r="K46" s="366">
        <f t="shared" si="7"/>
        <v>43803160.289486401</v>
      </c>
    </row>
    <row r="47" spans="1:11" x14ac:dyDescent="0.25">
      <c r="A47" s="129"/>
      <c r="B47" s="306"/>
      <c r="C47" s="297" t="s">
        <v>54</v>
      </c>
      <c r="D47" s="297"/>
      <c r="E47" s="295"/>
      <c r="F47" s="295"/>
      <c r="G47" s="295"/>
      <c r="H47" s="295"/>
      <c r="I47" s="296"/>
      <c r="J47" s="296"/>
      <c r="K47" s="296"/>
    </row>
    <row r="48" spans="1:11" x14ac:dyDescent="0.25">
      <c r="A48" s="129"/>
      <c r="B48" s="306"/>
      <c r="C48" s="293"/>
      <c r="D48" s="368"/>
      <c r="E48" s="497"/>
      <c r="F48" s="348"/>
      <c r="G48" s="369">
        <f>+((F48*12)+((F48*12)*$E$5))*E48*(D48/12)</f>
        <v>0</v>
      </c>
      <c r="H48" s="369">
        <f>+((F48*12)+((F48*12)*$E$5))*E48*(1+Inflacion1)</f>
        <v>0</v>
      </c>
      <c r="I48" s="369">
        <f>+H48*(1+Inflacion2)</f>
        <v>0</v>
      </c>
      <c r="J48" s="369">
        <f>+I48*(1+Inflacion3)</f>
        <v>0</v>
      </c>
      <c r="K48" s="369">
        <f>+J48*(1+Inflacion4)</f>
        <v>0</v>
      </c>
    </row>
    <row r="49" spans="1:11" x14ac:dyDescent="0.25">
      <c r="A49" s="129"/>
      <c r="B49" s="306"/>
      <c r="C49" s="293"/>
      <c r="D49" s="368"/>
      <c r="E49" s="497"/>
      <c r="F49" s="348"/>
      <c r="G49" s="369">
        <f>+((F49*12)+((F49*12)*$E$5))*E49*(D49/12)</f>
        <v>0</v>
      </c>
      <c r="H49" s="369">
        <f>+((F49*12)+((F49*12)*$E$5))*E49*(1+Inflacion1)</f>
        <v>0</v>
      </c>
      <c r="I49" s="369">
        <f>+H49*(1+Inflacion2)</f>
        <v>0</v>
      </c>
      <c r="J49" s="369">
        <f>+I49*(1+Inflacion3)</f>
        <v>0</v>
      </c>
      <c r="K49" s="369">
        <f>+J49*(1+Inflacion4)</f>
        <v>0</v>
      </c>
    </row>
    <row r="50" spans="1:11" x14ac:dyDescent="0.25">
      <c r="A50" s="129"/>
      <c r="B50" s="306"/>
      <c r="C50" s="293"/>
      <c r="D50" s="368"/>
      <c r="E50" s="497"/>
      <c r="F50" s="348"/>
      <c r="G50" s="369">
        <f>+((F50*12)+((F50*12)*$E$5))*E50*(D50/12)</f>
        <v>0</v>
      </c>
      <c r="H50" s="369">
        <f>+((F50*12)+((F50*12)*$E$5))*E50*(1+Inflacion1)</f>
        <v>0</v>
      </c>
      <c r="I50" s="369">
        <f>+H50*(1+Inflacion2)</f>
        <v>0</v>
      </c>
      <c r="J50" s="369">
        <f>+I50*(1+Inflacion3)</f>
        <v>0</v>
      </c>
      <c r="K50" s="369">
        <f>+J50*(1+Inflacion4)</f>
        <v>0</v>
      </c>
    </row>
    <row r="51" spans="1:11" x14ac:dyDescent="0.25">
      <c r="A51" s="129"/>
      <c r="B51" s="306"/>
      <c r="C51" s="293"/>
      <c r="D51" s="368"/>
      <c r="E51" s="497"/>
      <c r="F51" s="348"/>
      <c r="G51" s="369">
        <f>+((F51*12)+((F51*12)*$E$5))*E51*(D51/12)</f>
        <v>0</v>
      </c>
      <c r="H51" s="369">
        <f>+((F51*12)+((F51*12)*$E$5))*E51*(1+Inflacion1)</f>
        <v>0</v>
      </c>
      <c r="I51" s="369">
        <f>+H51*(1+Inflacion2)</f>
        <v>0</v>
      </c>
      <c r="J51" s="369">
        <f>+I51*(1+Inflacion3)</f>
        <v>0</v>
      </c>
      <c r="K51" s="369">
        <f>+J51*(1+Inflacion4)</f>
        <v>0</v>
      </c>
    </row>
    <row r="52" spans="1:11" x14ac:dyDescent="0.25">
      <c r="A52" s="129"/>
      <c r="B52" s="306"/>
      <c r="C52" s="297" t="s">
        <v>487</v>
      </c>
      <c r="D52" s="297"/>
      <c r="E52" s="295"/>
      <c r="F52" s="295"/>
      <c r="G52" s="295"/>
      <c r="H52" s="295"/>
      <c r="I52" s="296"/>
      <c r="J52" s="296"/>
      <c r="K52" s="296"/>
    </row>
    <row r="53" spans="1:11" x14ac:dyDescent="0.25">
      <c r="A53" s="129"/>
      <c r="B53" s="306"/>
      <c r="C53" s="293"/>
      <c r="D53" s="508"/>
      <c r="E53" s="497"/>
      <c r="F53" s="348"/>
      <c r="G53" s="508"/>
      <c r="H53" s="369">
        <f>+(((F53*12)+((F53*12)*$E$5))*$E$53)*(1+Inflacion1)</f>
        <v>0</v>
      </c>
      <c r="I53" s="369">
        <f>+H53*(1+Inflacion2)</f>
        <v>0</v>
      </c>
      <c r="J53" s="369">
        <f>+I53*(1+Inflacion3)</f>
        <v>0</v>
      </c>
      <c r="K53" s="369">
        <f>+J53*(1+Inflacion4)</f>
        <v>0</v>
      </c>
    </row>
    <row r="54" spans="1:11" x14ac:dyDescent="0.25">
      <c r="A54" s="129"/>
      <c r="B54" s="306"/>
      <c r="C54" s="293"/>
      <c r="D54" s="508"/>
      <c r="E54" s="497"/>
      <c r="F54" s="348"/>
      <c r="G54" s="508"/>
      <c r="H54" s="369">
        <f>+(((F54*12)+((F54*12)*$E$5))*$E$54)*(1+Inflacion1)</f>
        <v>0</v>
      </c>
      <c r="I54" s="369">
        <f>+H54*(1+Inflacion2)</f>
        <v>0</v>
      </c>
      <c r="J54" s="369">
        <f>+I54*(1+Inflacion3)</f>
        <v>0</v>
      </c>
      <c r="K54" s="369">
        <f>+J54*(1+Inflacion4)</f>
        <v>0</v>
      </c>
    </row>
    <row r="55" spans="1:11" ht="13.8" thickBot="1" x14ac:dyDescent="0.3">
      <c r="A55" s="129"/>
      <c r="B55" s="306"/>
      <c r="C55" s="467" t="s">
        <v>316</v>
      </c>
      <c r="D55" s="467"/>
      <c r="E55" s="507">
        <f>+E48+E49+E50+E51+E53+E54</f>
        <v>0</v>
      </c>
      <c r="F55" s="366"/>
      <c r="G55" s="366">
        <f>+G48+G49+G50+G51+G53+G54</f>
        <v>0</v>
      </c>
      <c r="H55" s="366">
        <f>+H48+H49+H50+H51+H53+H54</f>
        <v>0</v>
      </c>
      <c r="I55" s="366">
        <f>+I48+I49+I50+I51+I53+I54</f>
        <v>0</v>
      </c>
      <c r="J55" s="366">
        <f>+J48+J49+J50+J51+J53+J54</f>
        <v>0</v>
      </c>
      <c r="K55" s="366">
        <f>+K48+K49+K50+K51+K53+K54</f>
        <v>0</v>
      </c>
    </row>
    <row r="56" spans="1:11" ht="13.8" thickBot="1" x14ac:dyDescent="0.3">
      <c r="A56" s="129"/>
      <c r="B56" s="306"/>
      <c r="C56" s="287" t="s">
        <v>315</v>
      </c>
      <c r="D56" s="535"/>
      <c r="E56" s="509">
        <f>+E18+E46+E55</f>
        <v>2</v>
      </c>
      <c r="F56" s="370"/>
      <c r="G56" s="514">
        <f>+G31+G46+G55</f>
        <v>65977692</v>
      </c>
      <c r="H56" s="514">
        <f>+H31+H46+H55</f>
        <v>68550821.988000005</v>
      </c>
      <c r="I56" s="514">
        <f>+I31+I46+I55</f>
        <v>70675897.469627991</v>
      </c>
      <c r="J56" s="514">
        <f>+J31+J46+J55</f>
        <v>72796174.393716842</v>
      </c>
      <c r="K56" s="514">
        <f>+K31+K46+K55</f>
        <v>74980059.625528336</v>
      </c>
    </row>
    <row r="57" spans="1:11" ht="13.8" thickBot="1" x14ac:dyDescent="0.3">
      <c r="A57" s="129"/>
      <c r="B57" s="306"/>
      <c r="C57" s="283"/>
      <c r="D57" s="283"/>
      <c r="E57" s="283"/>
      <c r="F57" s="283"/>
      <c r="G57" s="283"/>
      <c r="H57" s="283"/>
      <c r="I57" s="283"/>
      <c r="J57" s="283"/>
      <c r="K57" s="283"/>
    </row>
    <row r="58" spans="1:11" ht="13.8" thickBot="1" x14ac:dyDescent="0.3">
      <c r="A58" s="129"/>
      <c r="B58" s="306"/>
      <c r="C58" s="287" t="s">
        <v>513</v>
      </c>
      <c r="D58" s="483"/>
      <c r="E58" s="283"/>
      <c r="F58" s="283"/>
      <c r="G58" s="283"/>
      <c r="H58" s="283"/>
      <c r="I58" s="283"/>
      <c r="J58" s="283"/>
      <c r="K58" s="283"/>
    </row>
    <row r="59" spans="1:11" x14ac:dyDescent="0.25">
      <c r="A59" s="129"/>
      <c r="B59" s="306"/>
      <c r="C59" s="299" t="s">
        <v>311</v>
      </c>
      <c r="D59" s="299"/>
      <c r="E59" s="299"/>
      <c r="F59" s="527" t="s">
        <v>518</v>
      </c>
      <c r="G59" s="134">
        <f>+Bases!D5+1</f>
        <v>1</v>
      </c>
      <c r="H59" s="134">
        <f>G59+1</f>
        <v>2</v>
      </c>
      <c r="I59" s="134">
        <f>H59+1</f>
        <v>3</v>
      </c>
      <c r="J59" s="134">
        <f>I59+1</f>
        <v>4</v>
      </c>
      <c r="K59" s="288">
        <f>J59+1</f>
        <v>5</v>
      </c>
    </row>
    <row r="60" spans="1:11" x14ac:dyDescent="0.25">
      <c r="A60" s="129"/>
      <c r="B60" s="306"/>
      <c r="C60" t="s">
        <v>319</v>
      </c>
      <c r="F60" s="371"/>
      <c r="G60" s="371">
        <f>+G46</f>
        <v>38544000</v>
      </c>
      <c r="H60" s="371">
        <f>+H46</f>
        <v>40047216</v>
      </c>
      <c r="I60" s="371">
        <f>+I46</f>
        <v>41288679.695999995</v>
      </c>
      <c r="J60" s="371">
        <f>+J46</f>
        <v>42527340.086879998</v>
      </c>
      <c r="K60" s="371">
        <f>+K46</f>
        <v>43803160.289486401</v>
      </c>
    </row>
    <row r="61" spans="1:11" x14ac:dyDescent="0.25">
      <c r="A61" s="129"/>
      <c r="B61" s="306"/>
      <c r="C61" s="293" t="s">
        <v>565</v>
      </c>
      <c r="F61" s="348">
        <v>300000</v>
      </c>
      <c r="G61" s="348">
        <f t="shared" ref="G61:G66" si="8">F61*12</f>
        <v>3600000</v>
      </c>
      <c r="H61" s="348">
        <f>((F61*Inflacion1)+F61)*12</f>
        <v>3740400</v>
      </c>
      <c r="I61" s="348">
        <f t="shared" ref="I61:I66" si="9">(H61*Inflacion2)+H61</f>
        <v>3856352.4</v>
      </c>
      <c r="J61" s="348">
        <f t="shared" ref="J61:J69" si="10">(I61*Inflacion3)+I61</f>
        <v>3972042.9720000001</v>
      </c>
      <c r="K61" s="348">
        <f t="shared" ref="K61:K69" si="11">(J61*Inflacion4)+J61</f>
        <v>4091204.2611600002</v>
      </c>
    </row>
    <row r="62" spans="1:11" x14ac:dyDescent="0.25">
      <c r="A62" s="129"/>
      <c r="B62" s="306"/>
      <c r="C62" s="293" t="s">
        <v>566</v>
      </c>
      <c r="F62" s="348">
        <v>1000000</v>
      </c>
      <c r="G62" s="348">
        <f t="shared" si="8"/>
        <v>12000000</v>
      </c>
      <c r="H62" s="348">
        <f t="shared" ref="H62:H66" si="12">((F62*Inflacion1)+F62)*12</f>
        <v>12468000</v>
      </c>
      <c r="I62" s="348">
        <f t="shared" si="9"/>
        <v>12854508</v>
      </c>
      <c r="J62" s="348">
        <f t="shared" si="10"/>
        <v>13240143.24</v>
      </c>
      <c r="K62" s="348">
        <f t="shared" si="11"/>
        <v>13637347.5372</v>
      </c>
    </row>
    <row r="63" spans="1:11" x14ac:dyDescent="0.25">
      <c r="A63" s="129"/>
      <c r="B63" s="306"/>
      <c r="C63" s="293" t="s">
        <v>567</v>
      </c>
      <c r="F63" s="348">
        <v>100000</v>
      </c>
      <c r="G63" s="348">
        <f t="shared" si="8"/>
        <v>1200000</v>
      </c>
      <c r="H63" s="348">
        <f t="shared" si="12"/>
        <v>1246800</v>
      </c>
      <c r="I63" s="348">
        <f t="shared" si="9"/>
        <v>1285450.8</v>
      </c>
      <c r="J63" s="348">
        <f t="shared" si="10"/>
        <v>1324014.324</v>
      </c>
      <c r="K63" s="348">
        <f t="shared" si="11"/>
        <v>1363734.7537199999</v>
      </c>
    </row>
    <row r="64" spans="1:11" x14ac:dyDescent="0.25">
      <c r="A64" s="129"/>
      <c r="B64" s="306"/>
      <c r="C64" s="293" t="s">
        <v>568</v>
      </c>
      <c r="F64" s="348">
        <v>50000</v>
      </c>
      <c r="G64" s="348">
        <f t="shared" si="8"/>
        <v>600000</v>
      </c>
      <c r="H64" s="348">
        <f t="shared" si="12"/>
        <v>623400</v>
      </c>
      <c r="I64" s="348">
        <f t="shared" si="9"/>
        <v>642725.4</v>
      </c>
      <c r="J64" s="348">
        <f t="shared" si="10"/>
        <v>662007.16200000001</v>
      </c>
      <c r="K64" s="348">
        <f t="shared" si="11"/>
        <v>681867.37685999996</v>
      </c>
    </row>
    <row r="65" spans="1:11" x14ac:dyDescent="0.25">
      <c r="A65" s="129"/>
      <c r="B65" s="306"/>
      <c r="C65" s="293" t="s">
        <v>569</v>
      </c>
      <c r="F65" s="348">
        <v>50000</v>
      </c>
      <c r="G65" s="348">
        <f t="shared" si="8"/>
        <v>600000</v>
      </c>
      <c r="H65" s="348">
        <f t="shared" si="12"/>
        <v>623400</v>
      </c>
      <c r="I65" s="348">
        <f t="shared" si="9"/>
        <v>642725.4</v>
      </c>
      <c r="J65" s="348">
        <f t="shared" si="10"/>
        <v>662007.16200000001</v>
      </c>
      <c r="K65" s="348">
        <f t="shared" si="11"/>
        <v>681867.37685999996</v>
      </c>
    </row>
    <row r="66" spans="1:11" x14ac:dyDescent="0.25">
      <c r="A66" s="129"/>
      <c r="B66" s="306"/>
      <c r="C66" s="293" t="s">
        <v>570</v>
      </c>
      <c r="F66" s="348">
        <v>50000</v>
      </c>
      <c r="G66" s="348">
        <f t="shared" si="8"/>
        <v>600000</v>
      </c>
      <c r="H66" s="348">
        <f t="shared" si="12"/>
        <v>623400</v>
      </c>
      <c r="I66" s="348">
        <f t="shared" si="9"/>
        <v>642725.4</v>
      </c>
      <c r="J66" s="348">
        <f t="shared" si="10"/>
        <v>662007.16200000001</v>
      </c>
      <c r="K66" s="348">
        <f t="shared" si="11"/>
        <v>681867.37685999996</v>
      </c>
    </row>
    <row r="67" spans="1:11" x14ac:dyDescent="0.25">
      <c r="A67" s="129"/>
      <c r="B67" s="306"/>
      <c r="C67" s="293" t="s">
        <v>571</v>
      </c>
      <c r="F67" s="348">
        <v>200000</v>
      </c>
      <c r="G67" s="348">
        <f>+F67*2</f>
        <v>400000</v>
      </c>
      <c r="H67" s="348">
        <f>(G67*Inflacion1)+G67</f>
        <v>415600</v>
      </c>
      <c r="I67" s="348">
        <f>(H67*Inflacion2)+H67</f>
        <v>428483.6</v>
      </c>
      <c r="J67" s="348">
        <f t="shared" si="10"/>
        <v>441338.10799999995</v>
      </c>
      <c r="K67" s="348">
        <f t="shared" si="11"/>
        <v>454578.25123999995</v>
      </c>
    </row>
    <row r="68" spans="1:11" x14ac:dyDescent="0.25">
      <c r="A68" s="129"/>
      <c r="B68" s="306"/>
      <c r="C68" s="293" t="s">
        <v>591</v>
      </c>
      <c r="F68" s="348">
        <v>1000000</v>
      </c>
      <c r="G68" s="348">
        <f>F68*4</f>
        <v>4000000</v>
      </c>
      <c r="H68" s="348">
        <f>(G68*Inflacion1)+G68</f>
        <v>4156000</v>
      </c>
      <c r="I68" s="348">
        <f>(H68*Inflacion2)+H68</f>
        <v>4284836</v>
      </c>
      <c r="J68" s="348">
        <f t="shared" si="10"/>
        <v>4413381.08</v>
      </c>
      <c r="K68" s="348">
        <f t="shared" si="11"/>
        <v>4545782.5124000004</v>
      </c>
    </row>
    <row r="69" spans="1:11" x14ac:dyDescent="0.25">
      <c r="A69" s="129"/>
      <c r="B69" s="306"/>
      <c r="C69" s="293" t="s">
        <v>598</v>
      </c>
      <c r="F69" s="348">
        <v>1000000</v>
      </c>
      <c r="G69" s="348">
        <f>+F69*4</f>
        <v>4000000</v>
      </c>
      <c r="H69" s="348">
        <f>(G69*Inflacion1)+G69</f>
        <v>4156000</v>
      </c>
      <c r="I69" s="348">
        <f>(H69*Inflacion2)+H69</f>
        <v>4284836</v>
      </c>
      <c r="J69" s="348">
        <f t="shared" si="10"/>
        <v>4413381.08</v>
      </c>
      <c r="K69" s="348">
        <f t="shared" si="11"/>
        <v>4545782.5124000004</v>
      </c>
    </row>
    <row r="70" spans="1:11" x14ac:dyDescent="0.25">
      <c r="A70" s="129"/>
      <c r="B70" s="306"/>
      <c r="C70" s="293"/>
      <c r="F70" s="348"/>
      <c r="G70" s="348"/>
      <c r="H70" s="348"/>
      <c r="I70" s="348"/>
      <c r="J70" s="348"/>
      <c r="K70" s="348"/>
    </row>
    <row r="71" spans="1:11" x14ac:dyDescent="0.25">
      <c r="A71" s="129"/>
      <c r="B71" s="306"/>
      <c r="C71" s="293"/>
      <c r="F71" s="348"/>
      <c r="G71" s="348"/>
      <c r="H71" s="348"/>
      <c r="I71" s="348"/>
      <c r="J71" s="348"/>
      <c r="K71" s="348"/>
    </row>
    <row r="72" spans="1:11" ht="13.8" thickBot="1" x14ac:dyDescent="0.3">
      <c r="A72" s="129"/>
      <c r="B72" s="306"/>
      <c r="C72" s="300"/>
      <c r="F72" s="364"/>
      <c r="G72" s="364"/>
      <c r="H72" s="364"/>
      <c r="I72" s="364"/>
      <c r="J72" s="364"/>
      <c r="K72" s="364"/>
    </row>
    <row r="73" spans="1:11" ht="13.8" thickBot="1" x14ac:dyDescent="0.3">
      <c r="A73" s="129"/>
      <c r="B73" s="306"/>
      <c r="C73" s="301" t="s">
        <v>315</v>
      </c>
      <c r="D73" s="536"/>
      <c r="E73" s="310"/>
      <c r="F73" s="372"/>
      <c r="G73" s="520">
        <f>SUM(G60:G72)</f>
        <v>65544000</v>
      </c>
      <c r="H73" s="520">
        <f>SUM(H60:H72)</f>
        <v>68100216</v>
      </c>
      <c r="I73" s="520">
        <f>SUM(I60:I72)</f>
        <v>70211322.69599998</v>
      </c>
      <c r="J73" s="520">
        <f>SUM(J60:J72)</f>
        <v>72317662.376880005</v>
      </c>
      <c r="K73" s="520">
        <f>SUM(K60:K72)</f>
        <v>74487192.248186395</v>
      </c>
    </row>
    <row r="74" spans="1:11" ht="13.8" thickBot="1" x14ac:dyDescent="0.3">
      <c r="A74" s="129"/>
      <c r="B74" s="306"/>
      <c r="C74" s="302"/>
      <c r="D74" s="537"/>
      <c r="E74" s="234"/>
      <c r="F74" s="234"/>
      <c r="G74" s="283"/>
      <c r="H74" s="283"/>
      <c r="I74" s="283"/>
      <c r="J74" s="283"/>
      <c r="K74" s="283"/>
    </row>
    <row r="75" spans="1:11" ht="13.8" thickBot="1" x14ac:dyDescent="0.3">
      <c r="A75" s="129"/>
      <c r="B75" s="306"/>
      <c r="C75" s="287" t="s">
        <v>11</v>
      </c>
      <c r="D75" s="483"/>
      <c r="E75" s="283"/>
      <c r="F75" s="283"/>
      <c r="G75" s="283"/>
      <c r="H75" s="283"/>
      <c r="I75" s="283"/>
      <c r="J75" s="283"/>
      <c r="K75" s="283"/>
    </row>
    <row r="76" spans="1:11" x14ac:dyDescent="0.25">
      <c r="A76" s="129"/>
      <c r="B76" s="306"/>
      <c r="C76" s="299" t="s">
        <v>311</v>
      </c>
      <c r="D76" s="299"/>
      <c r="E76" s="299" t="s">
        <v>431</v>
      </c>
      <c r="F76" s="287" t="s">
        <v>518</v>
      </c>
      <c r="G76" s="134">
        <f>+Bases!D5+1</f>
        <v>1</v>
      </c>
      <c r="H76" s="134">
        <f>G76+1</f>
        <v>2</v>
      </c>
      <c r="I76" s="134">
        <f>H76+1</f>
        <v>3</v>
      </c>
      <c r="J76" s="134">
        <f>I76+1</f>
        <v>4</v>
      </c>
      <c r="K76" s="288">
        <f>J76+1</f>
        <v>5</v>
      </c>
    </row>
    <row r="77" spans="1:11" x14ac:dyDescent="0.25">
      <c r="A77" s="129"/>
      <c r="B77" s="306"/>
      <c r="C77" s="303" t="s">
        <v>318</v>
      </c>
      <c r="D77" s="303"/>
      <c r="G77" s="521">
        <f>+G55</f>
        <v>0</v>
      </c>
      <c r="H77" s="521">
        <f>+H55</f>
        <v>0</v>
      </c>
      <c r="I77" s="521">
        <f>+I55</f>
        <v>0</v>
      </c>
      <c r="J77" s="521">
        <f>+J55</f>
        <v>0</v>
      </c>
      <c r="K77" s="521">
        <f>+K55</f>
        <v>0</v>
      </c>
    </row>
    <row r="78" spans="1:11" x14ac:dyDescent="0.25">
      <c r="A78" s="129"/>
      <c r="B78" s="306"/>
      <c r="C78" s="201" t="s">
        <v>430</v>
      </c>
      <c r="D78" s="538"/>
      <c r="G78" s="369"/>
      <c r="H78" s="373"/>
      <c r="I78" s="373"/>
      <c r="J78" s="373"/>
      <c r="K78" s="373"/>
    </row>
    <row r="79" spans="1:11" x14ac:dyDescent="0.25">
      <c r="A79" s="129"/>
      <c r="B79" s="306"/>
      <c r="C79" s="294" t="s">
        <v>592</v>
      </c>
      <c r="D79" s="294"/>
      <c r="F79" s="368">
        <v>2000000</v>
      </c>
      <c r="G79" s="368">
        <f>F79*11</f>
        <v>22000000</v>
      </c>
      <c r="H79" s="368">
        <f>((F79*Inflacion1)+F79)*12</f>
        <v>24936000</v>
      </c>
      <c r="I79" s="368">
        <f>(H79*Inflacion2)+H79</f>
        <v>25709016</v>
      </c>
      <c r="J79" s="368">
        <f>(I79*Inflacion3)+I79</f>
        <v>26480286.48</v>
      </c>
      <c r="K79" s="368">
        <f>(J79*Inflacion4)+J79</f>
        <v>27274695.0744</v>
      </c>
    </row>
    <row r="80" spans="1:11" x14ac:dyDescent="0.25">
      <c r="A80" s="129"/>
      <c r="B80" s="306"/>
      <c r="C80" s="294" t="s">
        <v>593</v>
      </c>
      <c r="D80" s="294"/>
      <c r="F80" s="368">
        <v>1000000</v>
      </c>
      <c r="G80" s="368">
        <f>F80*11</f>
        <v>11000000</v>
      </c>
      <c r="H80" s="368">
        <f>((F80*Inflacion1)+F80)*12</f>
        <v>12468000</v>
      </c>
      <c r="I80" s="368">
        <f>(H80*Inflacion2)+H80</f>
        <v>12854508</v>
      </c>
      <c r="J80" s="368">
        <f>(I80*Inflacion3)+I80</f>
        <v>13240143.24</v>
      </c>
      <c r="K80" s="368">
        <f>(J80*Inflacion4)+J80</f>
        <v>13637347.5372</v>
      </c>
    </row>
    <row r="81" spans="1:11" x14ac:dyDescent="0.25">
      <c r="A81" s="129"/>
      <c r="B81" s="306"/>
      <c r="C81" s="294"/>
      <c r="D81" s="294"/>
      <c r="F81" s="368"/>
      <c r="G81" s="368"/>
      <c r="H81" s="368"/>
      <c r="I81" s="368"/>
      <c r="J81" s="368"/>
      <c r="K81" s="368"/>
    </row>
    <row r="82" spans="1:11" x14ac:dyDescent="0.25">
      <c r="A82" s="129"/>
      <c r="B82" s="306"/>
      <c r="C82" s="294"/>
      <c r="D82" s="294"/>
      <c r="F82" s="368"/>
      <c r="G82" s="368"/>
      <c r="H82" s="368"/>
      <c r="I82" s="368"/>
      <c r="J82" s="368"/>
      <c r="K82" s="368"/>
    </row>
    <row r="83" spans="1:11" x14ac:dyDescent="0.25">
      <c r="A83" s="129"/>
      <c r="B83" s="306"/>
      <c r="C83" s="294"/>
      <c r="D83" s="294"/>
      <c r="F83" s="368"/>
      <c r="G83" s="368"/>
      <c r="H83" s="368"/>
      <c r="I83" s="368"/>
      <c r="J83" s="368"/>
      <c r="K83" s="368"/>
    </row>
    <row r="84" spans="1:11" x14ac:dyDescent="0.25">
      <c r="A84" s="129"/>
      <c r="B84" s="306"/>
      <c r="C84" s="201" t="s">
        <v>432</v>
      </c>
      <c r="D84" s="538"/>
      <c r="G84" s="369"/>
      <c r="H84" s="369"/>
      <c r="I84" s="373"/>
      <c r="J84" s="373"/>
      <c r="K84" s="373"/>
    </row>
    <row r="85" spans="1:11" x14ac:dyDescent="0.25">
      <c r="A85" s="129"/>
      <c r="B85" s="306"/>
      <c r="C85" s="293"/>
      <c r="D85" s="293"/>
      <c r="E85" s="190"/>
      <c r="G85" s="366">
        <f>+'Precios Ventas'!F37*$E$85</f>
        <v>0</v>
      </c>
      <c r="H85" s="366">
        <f>+'Precios Ventas'!G37*$E$85</f>
        <v>0</v>
      </c>
      <c r="I85" s="366">
        <f>+'Precios Ventas'!H37*$E$85</f>
        <v>0</v>
      </c>
      <c r="J85" s="366">
        <f>+'Precios Ventas'!I37*$E$85</f>
        <v>0</v>
      </c>
      <c r="K85" s="366">
        <f>+'Precios Ventas'!J37*$E$85</f>
        <v>0</v>
      </c>
    </row>
    <row r="86" spans="1:11" x14ac:dyDescent="0.25">
      <c r="A86" s="129"/>
      <c r="B86" s="306"/>
      <c r="C86" s="293"/>
      <c r="D86" s="293"/>
      <c r="E86" s="190"/>
      <c r="G86" s="366">
        <f>+'Precios Ventas'!F37*'Gastos Generales Admon y Ventas'!$E$86</f>
        <v>0</v>
      </c>
      <c r="H86" s="366">
        <f>+'Precios Ventas'!G37*'Gastos Generales Admon y Ventas'!$E$86</f>
        <v>0</v>
      </c>
      <c r="I86" s="366">
        <f>+'Precios Ventas'!H37*'Gastos Generales Admon y Ventas'!$E$86</f>
        <v>0</v>
      </c>
      <c r="J86" s="366">
        <f>+'Precios Ventas'!I37*'Gastos Generales Admon y Ventas'!$E$86</f>
        <v>0</v>
      </c>
      <c r="K86" s="366">
        <f>+'Precios Ventas'!J37*'Gastos Generales Admon y Ventas'!$E$86</f>
        <v>0</v>
      </c>
    </row>
    <row r="87" spans="1:11" x14ac:dyDescent="0.25">
      <c r="A87" s="129"/>
      <c r="B87" s="306"/>
      <c r="C87" s="293"/>
      <c r="D87" s="293"/>
      <c r="E87" s="190"/>
      <c r="G87" s="366">
        <f>+'Precios Ventas'!F37*'Gastos Generales Admon y Ventas'!$E$87</f>
        <v>0</v>
      </c>
      <c r="H87" s="366">
        <f>+'Precios Ventas'!G37*'Gastos Generales Admon y Ventas'!$E$87</f>
        <v>0</v>
      </c>
      <c r="I87" s="366">
        <f>+'Precios Ventas'!H37*'Gastos Generales Admon y Ventas'!$E$87</f>
        <v>0</v>
      </c>
      <c r="J87" s="366">
        <f>+'Precios Ventas'!I37*'Gastos Generales Admon y Ventas'!$E$87</f>
        <v>0</v>
      </c>
      <c r="K87" s="366">
        <f>+'Precios Ventas'!J37*'Gastos Generales Admon y Ventas'!$E$87</f>
        <v>0</v>
      </c>
    </row>
    <row r="88" spans="1:11" x14ac:dyDescent="0.25">
      <c r="A88" s="129"/>
      <c r="B88" s="306"/>
      <c r="C88" s="293"/>
      <c r="D88" s="293"/>
      <c r="E88" s="190"/>
      <c r="G88" s="366">
        <f>+'Precios Ventas'!F37*'Gastos Generales Admon y Ventas'!$E$88</f>
        <v>0</v>
      </c>
      <c r="H88" s="366">
        <f>+'Precios Ventas'!G37*'Gastos Generales Admon y Ventas'!$E$88</f>
        <v>0</v>
      </c>
      <c r="I88" s="366">
        <f>+'Precios Ventas'!H37*'Gastos Generales Admon y Ventas'!$E$88</f>
        <v>0</v>
      </c>
      <c r="J88" s="366">
        <f>+'Precios Ventas'!I37*'Gastos Generales Admon y Ventas'!$E$88</f>
        <v>0</v>
      </c>
      <c r="K88" s="366">
        <f>+'Precios Ventas'!J37*'Gastos Generales Admon y Ventas'!$E$88</f>
        <v>0</v>
      </c>
    </row>
    <row r="89" spans="1:11" ht="13.8" thickBot="1" x14ac:dyDescent="0.3">
      <c r="A89" s="129"/>
      <c r="B89" s="306"/>
      <c r="C89" s="300"/>
      <c r="D89" s="300"/>
      <c r="E89" s="190"/>
      <c r="G89" s="366">
        <f>+'Precios Ventas'!F37*'Gastos Generales Admon y Ventas'!$E$89</f>
        <v>0</v>
      </c>
      <c r="H89" s="366">
        <f>+'Precios Ventas'!G37*'Gastos Generales Admon y Ventas'!$E$89</f>
        <v>0</v>
      </c>
      <c r="I89" s="366">
        <f>+'Precios Ventas'!H37*'Gastos Generales Admon y Ventas'!$E$89</f>
        <v>0</v>
      </c>
      <c r="J89" s="366">
        <f>+'Precios Ventas'!I37*'Gastos Generales Admon y Ventas'!$E$89</f>
        <v>0</v>
      </c>
      <c r="K89" s="366">
        <f>+'Precios Ventas'!J37*'Gastos Generales Admon y Ventas'!$E$89</f>
        <v>0</v>
      </c>
    </row>
    <row r="90" spans="1:11" ht="13.8" thickBot="1" x14ac:dyDescent="0.3">
      <c r="A90" s="129"/>
      <c r="B90" s="306"/>
      <c r="C90" s="301" t="s">
        <v>315</v>
      </c>
      <c r="D90" s="536"/>
      <c r="E90" s="310"/>
      <c r="F90" s="372"/>
      <c r="G90" s="520">
        <f>+G77+G79+G80+G81+G82+G83+G85+G86+G87+G88+G89</f>
        <v>33000000</v>
      </c>
      <c r="H90" s="520">
        <f>+H77+H79+H80+H81+H82+H83+H85+H86+H87+H88+H89</f>
        <v>37404000</v>
      </c>
      <c r="I90" s="520">
        <f>+I77+I79+I80+I81+I82+I83+I85+I86+I87+I88+I89</f>
        <v>38563524</v>
      </c>
      <c r="J90" s="520">
        <f>+J77+J79+J80+J81+J82+J83+J85+J86+J87+J88+J89</f>
        <v>39720429.719999999</v>
      </c>
      <c r="K90" s="520">
        <f>+K77+K79+K80+K81+K82+K83+K85+K86+K87+K88+K89</f>
        <v>40912042.611599997</v>
      </c>
    </row>
    <row r="91" spans="1:11" ht="13.8" thickBot="1" x14ac:dyDescent="0.3">
      <c r="A91" s="129"/>
      <c r="B91" s="307"/>
      <c r="C91" s="309"/>
      <c r="D91" s="309"/>
      <c r="E91" s="308"/>
      <c r="F91" s="308"/>
      <c r="G91" s="308"/>
      <c r="H91" s="308"/>
      <c r="I91" s="308"/>
      <c r="J91" s="308"/>
      <c r="K91" s="308"/>
    </row>
    <row r="92" spans="1:11" x14ac:dyDescent="0.25">
      <c r="A92" s="129"/>
      <c r="B92" s="129"/>
      <c r="C92" s="129"/>
      <c r="D92" s="129"/>
      <c r="E92" s="129"/>
      <c r="F92" s="129"/>
      <c r="G92" s="129"/>
      <c r="H92" s="129"/>
      <c r="I92" s="129"/>
      <c r="J92" s="129"/>
      <c r="K92" s="129"/>
    </row>
  </sheetData>
  <sheetProtection password="CA1B" sheet="1" objects="1" scenarios="1" formatColumns="0" formatRows="0"/>
  <hyperlinks>
    <hyperlink ref="K3" location="Inicio!A1" display="Inicio" xr:uid="{00000000-0004-0000-0600-000000000000}"/>
  </hyperlinks>
  <pageMargins left="0.39370078740157483" right="0.11811023622047245" top="0.98425196850393704" bottom="0.47244094488188981" header="0.54" footer="0.35433070866141736"/>
  <pageSetup orientation="landscape" horizontalDpi="0" verticalDpi="0"/>
  <headerFooter alignWithMargins="0">
    <oddHeader>&amp;C&amp;"Arial,Negrita"&amp;14&amp;A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24">
    <tabColor rgb="FFFFFF00"/>
  </sheetPr>
  <dimension ref="A1:O309"/>
  <sheetViews>
    <sheetView topLeftCell="B85" zoomScale="74" zoomScaleNormal="115" workbookViewId="0">
      <selection activeCell="F138" sqref="F138"/>
    </sheetView>
  </sheetViews>
  <sheetFormatPr baseColWidth="10" defaultColWidth="10.77734375" defaultRowHeight="13.2" zeroHeight="1" x14ac:dyDescent="0.25"/>
  <cols>
    <col min="1" max="1" width="3.21875" customWidth="1"/>
    <col min="2" max="2" width="4" customWidth="1"/>
    <col min="3" max="3" width="56.33203125" customWidth="1"/>
    <col min="4" max="4" width="7.44140625" bestFit="1" customWidth="1"/>
    <col min="5" max="5" width="11.6640625" customWidth="1"/>
    <col min="6" max="6" width="12.6640625" customWidth="1"/>
    <col min="7" max="7" width="11.6640625" customWidth="1"/>
    <col min="8" max="9" width="9.77734375" customWidth="1"/>
    <col min="10" max="11" width="9.6640625" customWidth="1"/>
    <col min="12" max="12" width="11" bestFit="1" customWidth="1"/>
    <col min="13" max="13" width="21.109375" bestFit="1" customWidth="1"/>
    <col min="14" max="14" width="2.33203125" customWidth="1"/>
    <col min="15" max="15" width="10.77734375" hidden="1" customWidth="1"/>
  </cols>
  <sheetData>
    <row r="1" spans="1:14" hidden="1" x14ac:dyDescent="0.25">
      <c r="A1" s="260"/>
      <c r="B1" s="260"/>
      <c r="C1" s="259"/>
      <c r="D1" s="261"/>
      <c r="E1" s="272"/>
      <c r="F1" s="272"/>
      <c r="G1" s="165">
        <v>0</v>
      </c>
      <c r="H1" s="165">
        <v>1</v>
      </c>
      <c r="I1" s="165">
        <v>2</v>
      </c>
      <c r="J1" s="165">
        <v>3</v>
      </c>
      <c r="K1" s="165">
        <v>4</v>
      </c>
      <c r="L1" s="166">
        <v>5</v>
      </c>
    </row>
    <row r="2" spans="1:14" ht="18" thickBot="1" x14ac:dyDescent="0.3">
      <c r="A2" s="225"/>
      <c r="B2" s="226"/>
      <c r="C2" s="225" t="s">
        <v>406</v>
      </c>
      <c r="D2" s="227"/>
      <c r="E2" s="273"/>
      <c r="F2" s="273"/>
      <c r="G2" s="342"/>
      <c r="H2" s="342"/>
      <c r="I2" s="342"/>
      <c r="J2" s="342"/>
      <c r="K2" s="343" t="s">
        <v>350</v>
      </c>
      <c r="L2" s="344"/>
      <c r="M2" s="344"/>
      <c r="N2" s="225"/>
    </row>
    <row r="3" spans="1:14" x14ac:dyDescent="0.25">
      <c r="A3" s="129"/>
      <c r="B3" s="133"/>
      <c r="C3" s="167"/>
      <c r="D3" s="168" t="s">
        <v>305</v>
      </c>
      <c r="E3" s="168" t="s">
        <v>309</v>
      </c>
      <c r="F3" s="168" t="s">
        <v>320</v>
      </c>
      <c r="G3" s="134">
        <f>Bases!D5</f>
        <v>0</v>
      </c>
      <c r="H3" s="134">
        <f>G3+1</f>
        <v>1</v>
      </c>
      <c r="I3" s="134">
        <f>H3+1</f>
        <v>2</v>
      </c>
      <c r="J3" s="134">
        <f>I3+1</f>
        <v>3</v>
      </c>
      <c r="K3" s="134">
        <f>J3+1</f>
        <v>4</v>
      </c>
      <c r="L3" s="134">
        <f>K3+1</f>
        <v>5</v>
      </c>
      <c r="M3" s="134" t="s">
        <v>563</v>
      </c>
      <c r="N3" s="129"/>
    </row>
    <row r="4" spans="1:14" hidden="1" x14ac:dyDescent="0.25">
      <c r="A4" s="129"/>
      <c r="B4" s="138"/>
      <c r="C4" s="69" t="s">
        <v>144</v>
      </c>
      <c r="D4" s="35"/>
      <c r="E4" s="35"/>
      <c r="F4" s="35"/>
      <c r="G4" s="35"/>
      <c r="H4" s="35"/>
      <c r="I4" s="35"/>
      <c r="J4" s="35"/>
      <c r="K4" s="35"/>
      <c r="L4" s="35"/>
      <c r="N4" s="129"/>
    </row>
    <row r="5" spans="1:14" hidden="1" x14ac:dyDescent="0.25">
      <c r="A5" s="129"/>
      <c r="B5" s="138"/>
      <c r="C5" s="181" t="s">
        <v>115</v>
      </c>
      <c r="D5" s="35"/>
      <c r="E5" s="35"/>
      <c r="F5" s="35"/>
      <c r="G5" s="35"/>
      <c r="H5" s="35"/>
      <c r="I5" s="35"/>
      <c r="J5" s="35"/>
      <c r="K5" s="35"/>
      <c r="L5" s="35"/>
      <c r="N5" s="170"/>
    </row>
    <row r="6" spans="1:14" hidden="1" x14ac:dyDescent="0.25">
      <c r="A6" s="187"/>
      <c r="B6" s="186"/>
      <c r="C6" s="176" t="s">
        <v>116</v>
      </c>
      <c r="D6" s="173" t="s">
        <v>3</v>
      </c>
      <c r="E6" s="173"/>
      <c r="F6" s="173"/>
      <c r="G6" s="189">
        <f>G66</f>
        <v>0</v>
      </c>
      <c r="H6" s="189">
        <f>G6+H7</f>
        <v>0</v>
      </c>
      <c r="I6" s="189">
        <f>H6+I7</f>
        <v>0</v>
      </c>
      <c r="J6" s="189">
        <f>I6+J7</f>
        <v>0</v>
      </c>
      <c r="K6" s="189">
        <f>J6+K7</f>
        <v>0</v>
      </c>
      <c r="L6" s="189">
        <f>K6+L7</f>
        <v>0</v>
      </c>
      <c r="N6" s="129"/>
    </row>
    <row r="7" spans="1:14" hidden="1" x14ac:dyDescent="0.25">
      <c r="A7" s="187"/>
      <c r="B7" s="186"/>
      <c r="C7" s="176" t="s">
        <v>12</v>
      </c>
      <c r="D7" s="173" t="s">
        <v>3</v>
      </c>
      <c r="E7" s="198"/>
      <c r="F7" s="198"/>
      <c r="G7" s="193"/>
      <c r="H7" s="189">
        <f>G6*Bases!F$9</f>
        <v>0</v>
      </c>
      <c r="I7" s="189">
        <f>H6*Bases!G$9</f>
        <v>0</v>
      </c>
      <c r="J7" s="189">
        <f>I6*Bases!H$9</f>
        <v>0</v>
      </c>
      <c r="K7" s="189">
        <f>J6*Bases!I$9</f>
        <v>0</v>
      </c>
      <c r="L7" s="189">
        <f>K6*Bases!J$9</f>
        <v>0</v>
      </c>
      <c r="N7" s="129"/>
    </row>
    <row r="8" spans="1:14" hidden="1" x14ac:dyDescent="0.25">
      <c r="A8" s="130"/>
      <c r="B8" s="138"/>
      <c r="C8" s="181" t="s">
        <v>117</v>
      </c>
      <c r="D8" s="35"/>
      <c r="E8" s="35"/>
      <c r="F8" s="35"/>
      <c r="G8" s="36"/>
      <c r="H8" s="36"/>
      <c r="I8" s="36"/>
      <c r="J8" s="36"/>
      <c r="K8" s="36"/>
      <c r="L8" s="36"/>
      <c r="N8" s="187"/>
    </row>
    <row r="9" spans="1:14" hidden="1" x14ac:dyDescent="0.25">
      <c r="A9" s="187"/>
      <c r="B9" s="186"/>
      <c r="C9" s="176" t="s">
        <v>116</v>
      </c>
      <c r="D9" s="173" t="s">
        <v>3</v>
      </c>
      <c r="E9" s="275"/>
      <c r="F9" s="275"/>
      <c r="G9" s="194">
        <f>G67</f>
        <v>0</v>
      </c>
      <c r="H9" s="189">
        <f>G9+H10</f>
        <v>0</v>
      </c>
      <c r="I9" s="189">
        <f>H9+I10</f>
        <v>0</v>
      </c>
      <c r="J9" s="189">
        <f>I9+J10</f>
        <v>0</v>
      </c>
      <c r="K9" s="189">
        <f>J9+K10</f>
        <v>0</v>
      </c>
      <c r="L9" s="189">
        <f>K9+L10</f>
        <v>0</v>
      </c>
      <c r="N9" s="187"/>
    </row>
    <row r="10" spans="1:14" hidden="1" x14ac:dyDescent="0.25">
      <c r="A10" s="187"/>
      <c r="B10" s="186"/>
      <c r="C10" s="176" t="s">
        <v>12</v>
      </c>
      <c r="D10" s="173" t="s">
        <v>3</v>
      </c>
      <c r="E10" s="198"/>
      <c r="F10" s="198"/>
      <c r="G10" s="36"/>
      <c r="H10" s="189">
        <f>G9*Bases!F$9</f>
        <v>0</v>
      </c>
      <c r="I10" s="189">
        <f>H9*Bases!G$9</f>
        <v>0</v>
      </c>
      <c r="J10" s="189">
        <f>I9*Bases!H$9</f>
        <v>0</v>
      </c>
      <c r="K10" s="189">
        <f>J9*Bases!I$9</f>
        <v>0</v>
      </c>
      <c r="L10" s="189">
        <f>K9*Bases!J$9</f>
        <v>0</v>
      </c>
      <c r="N10" s="130"/>
    </row>
    <row r="11" spans="1:14" hidden="1" x14ac:dyDescent="0.25">
      <c r="A11" s="177"/>
      <c r="B11" s="178"/>
      <c r="C11" s="172" t="s">
        <v>13</v>
      </c>
      <c r="D11" s="173" t="s">
        <v>3</v>
      </c>
      <c r="E11" s="198"/>
      <c r="F11" s="198"/>
      <c r="G11" s="36"/>
      <c r="H11" s="189">
        <f>IF(H$1&gt;Bases!$D$35,0,H9/Bases!$D$35)</f>
        <v>0</v>
      </c>
      <c r="I11" s="189">
        <f>IF(I$1&gt;Bases!$D$35,0,I9/Bases!$D$35)</f>
        <v>0</v>
      </c>
      <c r="J11" s="189">
        <f>IF(J$1&gt;Bases!$D$35,0,J9/Bases!$D$35)</f>
        <v>0</v>
      </c>
      <c r="K11" s="189">
        <f>IF(K$1&gt;Bases!$D$35,0,K9/Bases!$D$35)</f>
        <v>0</v>
      </c>
      <c r="L11" s="189">
        <f>IF(L$1&gt;Bases!$D$35,0,L9/Bases!$D$35)</f>
        <v>0</v>
      </c>
      <c r="N11" s="187"/>
    </row>
    <row r="12" spans="1:14" hidden="1" x14ac:dyDescent="0.25">
      <c r="A12" s="187"/>
      <c r="B12" s="186"/>
      <c r="C12" s="176" t="s">
        <v>14</v>
      </c>
      <c r="D12" s="173" t="s">
        <v>3</v>
      </c>
      <c r="E12" s="198"/>
      <c r="F12" s="198"/>
      <c r="G12" s="36"/>
      <c r="H12" s="189">
        <f>G13*Bases!F$9</f>
        <v>0</v>
      </c>
      <c r="I12" s="189">
        <f>H13*Bases!G$9</f>
        <v>0</v>
      </c>
      <c r="J12" s="189">
        <f>I13*Bases!H$9</f>
        <v>0</v>
      </c>
      <c r="K12" s="189">
        <f>J13*Bases!I$9</f>
        <v>0</v>
      </c>
      <c r="L12" s="189">
        <f>K13*Bases!J$9</f>
        <v>0</v>
      </c>
      <c r="N12" s="187"/>
    </row>
    <row r="13" spans="1:14" hidden="1" x14ac:dyDescent="0.25">
      <c r="A13" s="187"/>
      <c r="B13" s="186"/>
      <c r="C13" s="172" t="s">
        <v>15</v>
      </c>
      <c r="D13" s="173" t="s">
        <v>3</v>
      </c>
      <c r="E13" s="198"/>
      <c r="F13" s="198"/>
      <c r="G13" s="36"/>
      <c r="H13" s="189">
        <f>G13+H11+H12</f>
        <v>0</v>
      </c>
      <c r="I13" s="189">
        <f>H13+I11+I12</f>
        <v>0</v>
      </c>
      <c r="J13" s="189">
        <f>I13+J11+J12</f>
        <v>0</v>
      </c>
      <c r="K13" s="189">
        <f>J13+K11+K12</f>
        <v>0</v>
      </c>
      <c r="L13" s="189">
        <f>K13+L11+L12</f>
        <v>0</v>
      </c>
      <c r="N13" s="177"/>
    </row>
    <row r="14" spans="1:14" hidden="1" x14ac:dyDescent="0.25">
      <c r="A14" s="187"/>
      <c r="B14" s="186"/>
      <c r="C14" s="176" t="s">
        <v>16</v>
      </c>
      <c r="D14" s="173" t="s">
        <v>3</v>
      </c>
      <c r="E14" s="198"/>
      <c r="F14" s="198"/>
      <c r="G14" s="36"/>
      <c r="H14" s="189">
        <f>H9-H13</f>
        <v>0</v>
      </c>
      <c r="I14" s="189">
        <f>I9-I13</f>
        <v>0</v>
      </c>
      <c r="J14" s="189">
        <f>J9-J13</f>
        <v>0</v>
      </c>
      <c r="K14" s="189">
        <f>K9-K13</f>
        <v>0</v>
      </c>
      <c r="L14" s="189">
        <f>L9-L13</f>
        <v>0</v>
      </c>
      <c r="N14" s="187"/>
    </row>
    <row r="15" spans="1:14" hidden="1" x14ac:dyDescent="0.25">
      <c r="A15" s="187"/>
      <c r="B15" s="186"/>
      <c r="C15" s="201" t="s">
        <v>291</v>
      </c>
      <c r="D15" s="35"/>
      <c r="E15" s="35"/>
      <c r="F15" s="35"/>
      <c r="G15" s="36"/>
      <c r="H15" s="36"/>
      <c r="I15" s="36"/>
      <c r="J15" s="36"/>
      <c r="K15" s="36"/>
      <c r="L15" s="36"/>
      <c r="N15" s="187"/>
    </row>
    <row r="16" spans="1:14" hidden="1" x14ac:dyDescent="0.25">
      <c r="A16" s="187"/>
      <c r="B16" s="186"/>
      <c r="C16" s="176" t="s">
        <v>116</v>
      </c>
      <c r="D16" s="173" t="s">
        <v>3</v>
      </c>
      <c r="E16" s="275"/>
      <c r="F16" s="275"/>
      <c r="G16" s="194">
        <f>G68</f>
        <v>0</v>
      </c>
      <c r="H16" s="189">
        <f>G16+H17</f>
        <v>0</v>
      </c>
      <c r="I16" s="189">
        <f>H16+I17</f>
        <v>0</v>
      </c>
      <c r="J16" s="189">
        <f>I16+J17</f>
        <v>0</v>
      </c>
      <c r="K16" s="189">
        <f>J16+K17</f>
        <v>0</v>
      </c>
      <c r="L16" s="189">
        <f>K16+L17</f>
        <v>0</v>
      </c>
      <c r="N16" s="187"/>
    </row>
    <row r="17" spans="1:14" hidden="1" x14ac:dyDescent="0.25">
      <c r="A17" s="187"/>
      <c r="B17" s="186"/>
      <c r="C17" s="176" t="s">
        <v>12</v>
      </c>
      <c r="D17" s="173" t="s">
        <v>3</v>
      </c>
      <c r="E17" s="198"/>
      <c r="F17" s="198"/>
      <c r="G17" s="36"/>
      <c r="H17" s="189">
        <f>G16*Bases!F$9</f>
        <v>0</v>
      </c>
      <c r="I17" s="189">
        <f>H16*Bases!G$9</f>
        <v>0</v>
      </c>
      <c r="J17" s="189">
        <f>I16*Bases!H$9</f>
        <v>0</v>
      </c>
      <c r="K17" s="189">
        <f>J16*Bases!I$9</f>
        <v>0</v>
      </c>
      <c r="L17" s="189">
        <f>K16*Bases!J$9</f>
        <v>0</v>
      </c>
      <c r="N17" s="187"/>
    </row>
    <row r="18" spans="1:14" hidden="1" x14ac:dyDescent="0.25">
      <c r="A18" s="187"/>
      <c r="B18" s="186"/>
      <c r="C18" s="172" t="s">
        <v>13</v>
      </c>
      <c r="D18" s="173" t="s">
        <v>3</v>
      </c>
      <c r="E18" s="198"/>
      <c r="F18" s="198"/>
      <c r="G18" s="36"/>
      <c r="H18" s="189">
        <f>IF(H$1&gt;Bases!$D$36,0,H16/Bases!$D$36)</f>
        <v>0</v>
      </c>
      <c r="I18" s="189">
        <f>IF(I$1&gt;Bases!$D$36,0,I16/Bases!$D$36)</f>
        <v>0</v>
      </c>
      <c r="J18" s="189">
        <f>IF(J$1&gt;Bases!$D$36,0,J16/Bases!$D$36)</f>
        <v>0</v>
      </c>
      <c r="K18" s="189">
        <f>IF(K$1&gt;Bases!$D$36,0,K16/Bases!$D$36)</f>
        <v>0</v>
      </c>
      <c r="L18" s="189">
        <f>IF(L$1&gt;Bases!$D$36,0,L16/Bases!$D$36)</f>
        <v>0</v>
      </c>
      <c r="N18" s="187"/>
    </row>
    <row r="19" spans="1:14" hidden="1" x14ac:dyDescent="0.25">
      <c r="A19" s="187"/>
      <c r="B19" s="186"/>
      <c r="C19" s="176" t="s">
        <v>14</v>
      </c>
      <c r="D19" s="173" t="s">
        <v>3</v>
      </c>
      <c r="E19" s="198"/>
      <c r="F19" s="198"/>
      <c r="G19" s="36"/>
      <c r="H19" s="189">
        <f>G20*Bases!F$9</f>
        <v>0</v>
      </c>
      <c r="I19" s="189">
        <f>H20*Bases!G$9</f>
        <v>0</v>
      </c>
      <c r="J19" s="189">
        <f>I20*Bases!H$9</f>
        <v>0</v>
      </c>
      <c r="K19" s="189">
        <f>J20*Bases!I$9</f>
        <v>0</v>
      </c>
      <c r="L19" s="189">
        <f>K20*Bases!J$9</f>
        <v>0</v>
      </c>
      <c r="N19" s="187"/>
    </row>
    <row r="20" spans="1:14" hidden="1" x14ac:dyDescent="0.25">
      <c r="A20" s="187"/>
      <c r="B20" s="186"/>
      <c r="C20" s="172" t="s">
        <v>15</v>
      </c>
      <c r="D20" s="173" t="s">
        <v>3</v>
      </c>
      <c r="E20" s="198"/>
      <c r="F20" s="198"/>
      <c r="G20" s="36"/>
      <c r="H20" s="189">
        <f>G20+H18+H19</f>
        <v>0</v>
      </c>
      <c r="I20" s="189">
        <f>H20+I18+I19</f>
        <v>0</v>
      </c>
      <c r="J20" s="189">
        <f>I20+J18+J19</f>
        <v>0</v>
      </c>
      <c r="K20" s="189">
        <f>J20+K18+K19</f>
        <v>0</v>
      </c>
      <c r="L20" s="189">
        <f>K20+L18+L19</f>
        <v>0</v>
      </c>
      <c r="N20" s="187"/>
    </row>
    <row r="21" spans="1:14" hidden="1" x14ac:dyDescent="0.25">
      <c r="A21" s="187"/>
      <c r="B21" s="186"/>
      <c r="C21" s="176" t="s">
        <v>16</v>
      </c>
      <c r="D21" s="173" t="s">
        <v>3</v>
      </c>
      <c r="E21" s="198"/>
      <c r="F21" s="198"/>
      <c r="G21" s="36"/>
      <c r="H21" s="189">
        <f>H16-H20</f>
        <v>0</v>
      </c>
      <c r="I21" s="189">
        <f>I16-I20</f>
        <v>0</v>
      </c>
      <c r="J21" s="189">
        <f>J16-J20</f>
        <v>0</v>
      </c>
      <c r="K21" s="189">
        <f>K16-K20</f>
        <v>0</v>
      </c>
      <c r="L21" s="189">
        <f>L16-L20</f>
        <v>0</v>
      </c>
      <c r="N21" s="187"/>
    </row>
    <row r="22" spans="1:14" hidden="1" x14ac:dyDescent="0.25">
      <c r="A22" s="130"/>
      <c r="B22" s="138"/>
      <c r="C22" s="181" t="s">
        <v>46</v>
      </c>
      <c r="D22" s="35"/>
      <c r="E22" s="35"/>
      <c r="F22" s="35"/>
      <c r="G22" s="36"/>
      <c r="H22" s="36"/>
      <c r="I22" s="36"/>
      <c r="J22" s="36"/>
      <c r="K22" s="36"/>
      <c r="L22" s="36"/>
      <c r="N22" s="187"/>
    </row>
    <row r="23" spans="1:14" hidden="1" x14ac:dyDescent="0.25">
      <c r="A23" s="187"/>
      <c r="B23" s="186"/>
      <c r="C23" s="176" t="s">
        <v>116</v>
      </c>
      <c r="D23" s="173" t="s">
        <v>3</v>
      </c>
      <c r="E23" s="274"/>
      <c r="F23" s="274"/>
      <c r="G23" s="195">
        <f>G95</f>
        <v>36302393</v>
      </c>
      <c r="H23" s="189">
        <f>G23+H24</f>
        <v>36302393</v>
      </c>
      <c r="I23" s="189">
        <f>H23+I24</f>
        <v>36302393</v>
      </c>
      <c r="J23" s="189">
        <f>I23+J24</f>
        <v>36302393</v>
      </c>
      <c r="K23" s="189">
        <f>J23+K24</f>
        <v>36302393</v>
      </c>
      <c r="L23" s="189">
        <f>K23+L24</f>
        <v>36302393</v>
      </c>
      <c r="N23" s="187"/>
    </row>
    <row r="24" spans="1:14" hidden="1" x14ac:dyDescent="0.25">
      <c r="A24" s="187"/>
      <c r="B24" s="186"/>
      <c r="C24" s="176" t="s">
        <v>12</v>
      </c>
      <c r="D24" s="173" t="s">
        <v>3</v>
      </c>
      <c r="E24" s="198"/>
      <c r="F24" s="198"/>
      <c r="G24" s="36"/>
      <c r="H24" s="189">
        <f>G23*Bases!F$9</f>
        <v>0</v>
      </c>
      <c r="I24" s="189">
        <f>H23*Bases!G$9</f>
        <v>0</v>
      </c>
      <c r="J24" s="189">
        <f>I23*Bases!H$9</f>
        <v>0</v>
      </c>
      <c r="K24" s="189">
        <f>J23*Bases!I$9</f>
        <v>0</v>
      </c>
      <c r="L24" s="189">
        <f>K23*Bases!J$9</f>
        <v>0</v>
      </c>
      <c r="N24" s="130"/>
    </row>
    <row r="25" spans="1:14" hidden="1" x14ac:dyDescent="0.25">
      <c r="A25" s="177"/>
      <c r="B25" s="178"/>
      <c r="C25" s="172" t="s">
        <v>13</v>
      </c>
      <c r="D25" s="173" t="s">
        <v>3</v>
      </c>
      <c r="E25" s="198"/>
      <c r="F25" s="198"/>
      <c r="G25" s="36"/>
      <c r="H25" s="189">
        <f>IF(H$1&gt;Bases!$D$37,0,H23/Bases!$D$37)</f>
        <v>3630239.3</v>
      </c>
      <c r="I25" s="189">
        <f>IF(I$1&gt;Bases!$D$37,0,I23/Bases!$D$37)</f>
        <v>3630239.3</v>
      </c>
      <c r="J25" s="189">
        <f>IF(J$1&gt;Bases!$D$37,0,J23/Bases!$D$37)</f>
        <v>3630239.3</v>
      </c>
      <c r="K25" s="189">
        <f>IF(K$1&gt;Bases!$D$37,0,K23/Bases!$D$37)</f>
        <v>3630239.3</v>
      </c>
      <c r="L25" s="189">
        <f>IF(L$1&gt;Bases!$D$37,0,L23/Bases!$D$37)</f>
        <v>3630239.3</v>
      </c>
      <c r="N25" s="187"/>
    </row>
    <row r="26" spans="1:14" hidden="1" x14ac:dyDescent="0.25">
      <c r="A26" s="187"/>
      <c r="B26" s="186"/>
      <c r="C26" s="176" t="s">
        <v>14</v>
      </c>
      <c r="D26" s="173" t="s">
        <v>3</v>
      </c>
      <c r="E26" s="198"/>
      <c r="F26" s="198"/>
      <c r="G26" s="36"/>
      <c r="H26" s="189">
        <f>G27*Bases!F$9</f>
        <v>0</v>
      </c>
      <c r="I26" s="189">
        <f>H27*Bases!G$9</f>
        <v>0</v>
      </c>
      <c r="J26" s="189">
        <f>I27*Bases!H$9</f>
        <v>0</v>
      </c>
      <c r="K26" s="189">
        <f>J27*Bases!I$9</f>
        <v>0</v>
      </c>
      <c r="L26" s="189">
        <f>K27*Bases!J$9</f>
        <v>0</v>
      </c>
      <c r="N26" s="187"/>
    </row>
    <row r="27" spans="1:14" hidden="1" x14ac:dyDescent="0.25">
      <c r="A27" s="187"/>
      <c r="B27" s="186"/>
      <c r="C27" s="172" t="s">
        <v>17</v>
      </c>
      <c r="D27" s="173" t="s">
        <v>3</v>
      </c>
      <c r="E27" s="198"/>
      <c r="F27" s="198"/>
      <c r="G27" s="36"/>
      <c r="H27" s="189">
        <f>G27+H25+H26</f>
        <v>3630239.3</v>
      </c>
      <c r="I27" s="189">
        <f>H27+I25+I26</f>
        <v>7260478.5999999996</v>
      </c>
      <c r="J27" s="189">
        <f>I27+J25+J26</f>
        <v>10890717.899999999</v>
      </c>
      <c r="K27" s="189">
        <f>J27+K25+K26</f>
        <v>14520957.199999999</v>
      </c>
      <c r="L27" s="189">
        <f>K27+L25+L26</f>
        <v>18151196.5</v>
      </c>
      <c r="N27" s="177"/>
    </row>
    <row r="28" spans="1:14" hidden="1" x14ac:dyDescent="0.25">
      <c r="A28" s="187"/>
      <c r="B28" s="186"/>
      <c r="C28" s="176" t="s">
        <v>16</v>
      </c>
      <c r="D28" s="173" t="s">
        <v>3</v>
      </c>
      <c r="E28" s="198"/>
      <c r="F28" s="198"/>
      <c r="G28" s="36"/>
      <c r="H28" s="189">
        <f>H23-H27</f>
        <v>32672153.699999999</v>
      </c>
      <c r="I28" s="189">
        <f>I23-I27</f>
        <v>29041914.399999999</v>
      </c>
      <c r="J28" s="189">
        <f>J23-J27</f>
        <v>25411675.100000001</v>
      </c>
      <c r="K28" s="189">
        <f>K23-K27</f>
        <v>21781435.800000001</v>
      </c>
      <c r="L28" s="189">
        <f>L23-L27</f>
        <v>18151196.5</v>
      </c>
      <c r="N28" s="187"/>
    </row>
    <row r="29" spans="1:14" hidden="1" x14ac:dyDescent="0.25">
      <c r="A29" s="130"/>
      <c r="B29" s="138"/>
      <c r="C29" s="181" t="s">
        <v>122</v>
      </c>
      <c r="D29" s="35"/>
      <c r="E29" s="35"/>
      <c r="F29" s="35"/>
      <c r="G29" s="36"/>
      <c r="H29" s="36"/>
      <c r="I29" s="36"/>
      <c r="J29" s="36"/>
      <c r="K29" s="36"/>
      <c r="L29" s="36"/>
      <c r="N29" s="187"/>
    </row>
    <row r="30" spans="1:14" hidden="1" x14ac:dyDescent="0.25">
      <c r="A30" s="187"/>
      <c r="B30" s="186"/>
      <c r="C30" s="176" t="s">
        <v>116</v>
      </c>
      <c r="D30" s="173" t="s">
        <v>3</v>
      </c>
      <c r="E30" s="275"/>
      <c r="F30" s="275"/>
      <c r="G30" s="194">
        <f>G107</f>
        <v>1000000</v>
      </c>
      <c r="H30" s="189">
        <f>G30+H31</f>
        <v>1000000</v>
      </c>
      <c r="I30" s="189">
        <f>H30+I31</f>
        <v>1000000</v>
      </c>
      <c r="J30" s="189">
        <f>I30+J31</f>
        <v>1000000</v>
      </c>
      <c r="K30" s="189">
        <f>J30+K31</f>
        <v>1000000</v>
      </c>
      <c r="L30" s="189">
        <f>K30+L31</f>
        <v>1000000</v>
      </c>
      <c r="N30" s="187"/>
    </row>
    <row r="31" spans="1:14" hidden="1" x14ac:dyDescent="0.25">
      <c r="A31" s="187"/>
      <c r="B31" s="186"/>
      <c r="C31" s="176" t="s">
        <v>12</v>
      </c>
      <c r="D31" s="173" t="s">
        <v>3</v>
      </c>
      <c r="E31" s="198"/>
      <c r="F31" s="198"/>
      <c r="G31" s="36"/>
      <c r="H31" s="189">
        <f>G30*Bases!F$9</f>
        <v>0</v>
      </c>
      <c r="I31" s="189">
        <f>H30*Bases!G$9</f>
        <v>0</v>
      </c>
      <c r="J31" s="189">
        <f>I30*Bases!H$9</f>
        <v>0</v>
      </c>
      <c r="K31" s="189">
        <f>J30*Bases!I$9</f>
        <v>0</v>
      </c>
      <c r="L31" s="189">
        <f>K30*Bases!J$9</f>
        <v>0</v>
      </c>
      <c r="N31" s="130"/>
    </row>
    <row r="32" spans="1:14" hidden="1" x14ac:dyDescent="0.25">
      <c r="A32" s="177"/>
      <c r="B32" s="178"/>
      <c r="C32" s="172" t="s">
        <v>13</v>
      </c>
      <c r="D32" s="173" t="s">
        <v>3</v>
      </c>
      <c r="E32" s="198"/>
      <c r="F32" s="198"/>
      <c r="G32" s="36"/>
      <c r="H32" s="189">
        <f>IF(H$1&gt;Bases!$D$38,0,H30/Bases!$D$38)</f>
        <v>100000</v>
      </c>
      <c r="I32" s="189">
        <f>IF(I$1&gt;Bases!$D$38,0,I30/Bases!$D$38)</f>
        <v>100000</v>
      </c>
      <c r="J32" s="189">
        <f>IF(J$1&gt;Bases!$D$38,0,J30/Bases!$D$38)</f>
        <v>100000</v>
      </c>
      <c r="K32" s="189">
        <f>IF(K$1&gt;Bases!$D$38,0,K30/Bases!$D$38)</f>
        <v>100000</v>
      </c>
      <c r="L32" s="189">
        <f>IF(L$1&gt;Bases!$D$38,0,L30/Bases!$D$38)</f>
        <v>100000</v>
      </c>
      <c r="N32" s="187"/>
    </row>
    <row r="33" spans="1:14" hidden="1" x14ac:dyDescent="0.25">
      <c r="A33" s="187"/>
      <c r="B33" s="186"/>
      <c r="C33" s="176" t="s">
        <v>14</v>
      </c>
      <c r="D33" s="173" t="s">
        <v>3</v>
      </c>
      <c r="E33" s="198"/>
      <c r="F33" s="198"/>
      <c r="G33" s="36"/>
      <c r="H33" s="189">
        <f>G34*Bases!F$9</f>
        <v>0</v>
      </c>
      <c r="I33" s="189">
        <f>H34*Bases!G$9</f>
        <v>0</v>
      </c>
      <c r="J33" s="189">
        <f>I34*Bases!H$9</f>
        <v>0</v>
      </c>
      <c r="K33" s="189">
        <f>J34*Bases!I$9</f>
        <v>0</v>
      </c>
      <c r="L33" s="189">
        <f>K34*Bases!J$9</f>
        <v>0</v>
      </c>
      <c r="N33" s="187"/>
    </row>
    <row r="34" spans="1:14" hidden="1" x14ac:dyDescent="0.25">
      <c r="A34" s="187"/>
      <c r="B34" s="186"/>
      <c r="C34" s="172" t="s">
        <v>17</v>
      </c>
      <c r="D34" s="173" t="s">
        <v>3</v>
      </c>
      <c r="E34" s="198"/>
      <c r="F34" s="198"/>
      <c r="G34" s="36"/>
      <c r="H34" s="189">
        <f>G34+H32+H33</f>
        <v>100000</v>
      </c>
      <c r="I34" s="189">
        <f>H34+I32+I33</f>
        <v>200000</v>
      </c>
      <c r="J34" s="189">
        <f>I34+J32+J33</f>
        <v>300000</v>
      </c>
      <c r="K34" s="189">
        <f>J34+K32+K33</f>
        <v>400000</v>
      </c>
      <c r="L34" s="189">
        <f>K34+L32+L33</f>
        <v>500000</v>
      </c>
      <c r="N34" s="177"/>
    </row>
    <row r="35" spans="1:14" hidden="1" x14ac:dyDescent="0.25">
      <c r="A35" s="187"/>
      <c r="B35" s="186"/>
      <c r="C35" s="176" t="s">
        <v>16</v>
      </c>
      <c r="D35" s="173" t="s">
        <v>3</v>
      </c>
      <c r="E35" s="198"/>
      <c r="F35" s="198"/>
      <c r="G35" s="36"/>
      <c r="H35" s="189">
        <f>H30-H34</f>
        <v>900000</v>
      </c>
      <c r="I35" s="189">
        <f>I30-I34</f>
        <v>800000</v>
      </c>
      <c r="J35" s="189">
        <f>J30-J34</f>
        <v>700000</v>
      </c>
      <c r="K35" s="189">
        <f>K30-K34</f>
        <v>600000</v>
      </c>
      <c r="L35" s="189">
        <f>L30-L34</f>
        <v>500000</v>
      </c>
      <c r="N35" s="187"/>
    </row>
    <row r="36" spans="1:14" hidden="1" x14ac:dyDescent="0.25">
      <c r="A36" s="130"/>
      <c r="B36" s="138"/>
      <c r="C36" s="181" t="s">
        <v>119</v>
      </c>
      <c r="D36" s="35"/>
      <c r="E36" s="35"/>
      <c r="F36" s="35"/>
      <c r="G36" s="36"/>
      <c r="H36" s="36"/>
      <c r="I36" s="36"/>
      <c r="J36" s="36"/>
      <c r="K36" s="36"/>
      <c r="L36" s="36"/>
      <c r="N36" s="187"/>
    </row>
    <row r="37" spans="1:14" hidden="1" x14ac:dyDescent="0.25">
      <c r="A37" s="187"/>
      <c r="B37" s="186"/>
      <c r="C37" s="176" t="s">
        <v>116</v>
      </c>
      <c r="D37" s="173" t="s">
        <v>3</v>
      </c>
      <c r="E37" s="275"/>
      <c r="F37" s="275"/>
      <c r="G37" s="194">
        <f>G115</f>
        <v>0</v>
      </c>
      <c r="H37" s="189">
        <f>G37+H38</f>
        <v>0</v>
      </c>
      <c r="I37" s="189">
        <f>H37+I38</f>
        <v>0</v>
      </c>
      <c r="J37" s="189">
        <f>I37+J38</f>
        <v>0</v>
      </c>
      <c r="K37" s="189">
        <f>J37+K38</f>
        <v>0</v>
      </c>
      <c r="L37" s="189">
        <f>K37+L38</f>
        <v>0</v>
      </c>
      <c r="N37" s="187"/>
    </row>
    <row r="38" spans="1:14" hidden="1" x14ac:dyDescent="0.25">
      <c r="A38" s="187"/>
      <c r="B38" s="186"/>
      <c r="C38" s="176" t="s">
        <v>12</v>
      </c>
      <c r="D38" s="173" t="s">
        <v>3</v>
      </c>
      <c r="E38" s="198"/>
      <c r="F38" s="198"/>
      <c r="G38" s="36"/>
      <c r="H38" s="189">
        <f>G37*Bases!F$9</f>
        <v>0</v>
      </c>
      <c r="I38" s="189">
        <f>H37*Bases!G$9</f>
        <v>0</v>
      </c>
      <c r="J38" s="189">
        <f>I37*Bases!H$9</f>
        <v>0</v>
      </c>
      <c r="K38" s="189">
        <f>J37*Bases!I$9</f>
        <v>0</v>
      </c>
      <c r="L38" s="189">
        <f>K37*Bases!J$9</f>
        <v>0</v>
      </c>
      <c r="N38" s="130"/>
    </row>
    <row r="39" spans="1:14" hidden="1" x14ac:dyDescent="0.25">
      <c r="A39" s="177"/>
      <c r="B39" s="178"/>
      <c r="C39" s="172" t="s">
        <v>13</v>
      </c>
      <c r="D39" s="173" t="s">
        <v>3</v>
      </c>
      <c r="E39" s="198"/>
      <c r="F39" s="198"/>
      <c r="G39" s="36"/>
      <c r="H39" s="189">
        <f>IF(H$1&gt;Bases!$D$39,0,H37/Bases!$D$39)</f>
        <v>0</v>
      </c>
      <c r="I39" s="189">
        <f>IF(I$1&gt;Bases!$D$39,0,I37/Bases!$D$39)</f>
        <v>0</v>
      </c>
      <c r="J39" s="189">
        <f>IF(J$1&gt;Bases!$D$39,0,J37/Bases!$D$39)</f>
        <v>0</v>
      </c>
      <c r="K39" s="189">
        <f>IF(K$1&gt;Bases!$D$39,0,K37/Bases!$D$39)</f>
        <v>0</v>
      </c>
      <c r="L39" s="189">
        <f>IF(L$1&gt;Bases!$D$39,0,L37/Bases!$D$39)</f>
        <v>0</v>
      </c>
      <c r="N39" s="187"/>
    </row>
    <row r="40" spans="1:14" hidden="1" x14ac:dyDescent="0.25">
      <c r="A40" s="187"/>
      <c r="B40" s="186"/>
      <c r="C40" s="176" t="s">
        <v>14</v>
      </c>
      <c r="D40" s="173" t="s">
        <v>3</v>
      </c>
      <c r="E40" s="198"/>
      <c r="F40" s="198"/>
      <c r="G40" s="36"/>
      <c r="H40" s="189">
        <f>G41*Bases!F$9</f>
        <v>0</v>
      </c>
      <c r="I40" s="189">
        <f>H41*Bases!G$9</f>
        <v>0</v>
      </c>
      <c r="J40" s="189">
        <f>I41*Bases!H$9</f>
        <v>0</v>
      </c>
      <c r="K40" s="189">
        <f>J41*Bases!I$9</f>
        <v>0</v>
      </c>
      <c r="L40" s="189">
        <f>K41*Bases!J$9</f>
        <v>0</v>
      </c>
      <c r="N40" s="187"/>
    </row>
    <row r="41" spans="1:14" hidden="1" x14ac:dyDescent="0.25">
      <c r="A41" s="187"/>
      <c r="B41" s="186"/>
      <c r="C41" s="172" t="s">
        <v>17</v>
      </c>
      <c r="D41" s="173" t="s">
        <v>3</v>
      </c>
      <c r="E41" s="198"/>
      <c r="F41" s="198"/>
      <c r="G41" s="36"/>
      <c r="H41" s="189">
        <f>G41+H39+H40</f>
        <v>0</v>
      </c>
      <c r="I41" s="189">
        <f>H41+I39+I40</f>
        <v>0</v>
      </c>
      <c r="J41" s="189">
        <f>I41+J39+J40</f>
        <v>0</v>
      </c>
      <c r="K41" s="189">
        <f>J41+K39+K40</f>
        <v>0</v>
      </c>
      <c r="L41" s="189">
        <f>K41+L39+L40</f>
        <v>0</v>
      </c>
      <c r="N41" s="177"/>
    </row>
    <row r="42" spans="1:14" hidden="1" x14ac:dyDescent="0.25">
      <c r="A42" s="187"/>
      <c r="B42" s="186"/>
      <c r="C42" s="176" t="s">
        <v>16</v>
      </c>
      <c r="D42" s="173" t="s">
        <v>3</v>
      </c>
      <c r="E42" s="198"/>
      <c r="F42" s="198"/>
      <c r="G42" s="36"/>
      <c r="H42" s="189">
        <f>H37-H41</f>
        <v>0</v>
      </c>
      <c r="I42" s="189">
        <f>I37-I41</f>
        <v>0</v>
      </c>
      <c r="J42" s="189">
        <f>J37-J41</f>
        <v>0</v>
      </c>
      <c r="K42" s="189">
        <f>K37-K41</f>
        <v>0</v>
      </c>
      <c r="L42" s="189">
        <f>L37-L41</f>
        <v>0</v>
      </c>
      <c r="N42" s="187"/>
    </row>
    <row r="43" spans="1:14" hidden="1" x14ac:dyDescent="0.25">
      <c r="A43" s="130"/>
      <c r="B43" s="138"/>
      <c r="C43" s="181" t="s">
        <v>124</v>
      </c>
      <c r="D43" s="35"/>
      <c r="E43" s="35"/>
      <c r="F43" s="35"/>
      <c r="G43" s="36"/>
      <c r="H43" s="36"/>
      <c r="I43" s="36"/>
      <c r="J43" s="36"/>
      <c r="K43" s="36"/>
      <c r="L43" s="36"/>
      <c r="N43" s="187"/>
    </row>
    <row r="44" spans="1:14" hidden="1" x14ac:dyDescent="0.25">
      <c r="A44" s="187"/>
      <c r="B44" s="186"/>
      <c r="C44" s="176" t="s">
        <v>116</v>
      </c>
      <c r="D44" s="173" t="s">
        <v>3</v>
      </c>
      <c r="E44" s="275"/>
      <c r="F44" s="275"/>
      <c r="G44" s="194">
        <f>G125</f>
        <v>0</v>
      </c>
      <c r="H44" s="189">
        <f>G44+H45</f>
        <v>0</v>
      </c>
      <c r="I44" s="189">
        <f>H44+I45</f>
        <v>0</v>
      </c>
      <c r="J44" s="189">
        <f>I44+J45</f>
        <v>0</v>
      </c>
      <c r="K44" s="189">
        <f>J44+K45</f>
        <v>0</v>
      </c>
      <c r="L44" s="189">
        <f>K44+L45</f>
        <v>0</v>
      </c>
      <c r="N44" s="187"/>
    </row>
    <row r="45" spans="1:14" hidden="1" x14ac:dyDescent="0.25">
      <c r="A45" s="187"/>
      <c r="B45" s="186"/>
      <c r="C45" s="176" t="s">
        <v>12</v>
      </c>
      <c r="D45" s="173" t="s">
        <v>3</v>
      </c>
      <c r="E45" s="198"/>
      <c r="F45" s="198"/>
      <c r="G45" s="36"/>
      <c r="H45" s="189">
        <f>G44*Bases!F$9</f>
        <v>0</v>
      </c>
      <c r="I45" s="189">
        <f>H44*Bases!G$9</f>
        <v>0</v>
      </c>
      <c r="J45" s="189">
        <f>I44*Bases!H$9</f>
        <v>0</v>
      </c>
      <c r="K45" s="189">
        <f>J44*Bases!I$9</f>
        <v>0</v>
      </c>
      <c r="L45" s="189">
        <f>K44*Bases!J$9</f>
        <v>0</v>
      </c>
      <c r="N45" s="130"/>
    </row>
    <row r="46" spans="1:14" hidden="1" x14ac:dyDescent="0.25">
      <c r="A46" s="177"/>
      <c r="B46" s="178"/>
      <c r="C46" s="172" t="s">
        <v>13</v>
      </c>
      <c r="D46" s="173" t="s">
        <v>3</v>
      </c>
      <c r="E46" s="198"/>
      <c r="F46" s="198"/>
      <c r="G46" s="36"/>
      <c r="H46" s="189">
        <f>IF(H$1&gt;Bases!$D$40,0,H44/Bases!$D$40)</f>
        <v>0</v>
      </c>
      <c r="I46" s="189">
        <f>IF(I$1&gt;Bases!$D$40,0,I44/Bases!$D$40)</f>
        <v>0</v>
      </c>
      <c r="J46" s="189">
        <f>IF(J$1&gt;Bases!$D$40,0,J44/Bases!$D$40)</f>
        <v>0</v>
      </c>
      <c r="K46" s="189">
        <f>IF(K$1&gt;Bases!$D$40,0,K44/Bases!$D$40)</f>
        <v>0</v>
      </c>
      <c r="L46" s="189">
        <f>IF(L$1&gt;Bases!$D$40,0,L44/Bases!$D$40)</f>
        <v>0</v>
      </c>
      <c r="N46" s="187"/>
    </row>
    <row r="47" spans="1:14" hidden="1" x14ac:dyDescent="0.25">
      <c r="A47" s="187"/>
      <c r="B47" s="186"/>
      <c r="C47" s="176" t="s">
        <v>14</v>
      </c>
      <c r="D47" s="173" t="s">
        <v>3</v>
      </c>
      <c r="E47" s="198"/>
      <c r="F47" s="198"/>
      <c r="G47" s="36"/>
      <c r="H47" s="189">
        <f>G48*Bases!F$9</f>
        <v>0</v>
      </c>
      <c r="I47" s="189">
        <f>H48*Bases!G$9</f>
        <v>0</v>
      </c>
      <c r="J47" s="189">
        <f>I48*Bases!H$9</f>
        <v>0</v>
      </c>
      <c r="K47" s="189">
        <f>J48*Bases!I$9</f>
        <v>0</v>
      </c>
      <c r="L47" s="189">
        <f>K48*Bases!J$9</f>
        <v>0</v>
      </c>
      <c r="N47" s="187"/>
    </row>
    <row r="48" spans="1:14" hidden="1" x14ac:dyDescent="0.25">
      <c r="A48" s="187"/>
      <c r="B48" s="186"/>
      <c r="C48" s="172" t="s">
        <v>17</v>
      </c>
      <c r="D48" s="173" t="s">
        <v>3</v>
      </c>
      <c r="E48" s="198"/>
      <c r="F48" s="198"/>
      <c r="G48" s="36"/>
      <c r="H48" s="189">
        <f>G48+H46+H47</f>
        <v>0</v>
      </c>
      <c r="I48" s="189">
        <f>H48+I46+I47</f>
        <v>0</v>
      </c>
      <c r="J48" s="189">
        <f>I48+J46+J47</f>
        <v>0</v>
      </c>
      <c r="K48" s="189">
        <f>J48+K46+K47</f>
        <v>0</v>
      </c>
      <c r="L48" s="189">
        <f>K48+L46+L47</f>
        <v>0</v>
      </c>
      <c r="N48" s="177"/>
    </row>
    <row r="49" spans="1:14" hidden="1" x14ac:dyDescent="0.25">
      <c r="A49" s="187"/>
      <c r="B49" s="186"/>
      <c r="C49" s="176" t="s">
        <v>16</v>
      </c>
      <c r="D49" s="173" t="s">
        <v>3</v>
      </c>
      <c r="E49" s="198"/>
      <c r="F49" s="198"/>
      <c r="G49" s="36"/>
      <c r="H49" s="189">
        <f>H44-H48</f>
        <v>0</v>
      </c>
      <c r="I49" s="189">
        <f>I44-I48</f>
        <v>0</v>
      </c>
      <c r="J49" s="189">
        <f>J44-J48</f>
        <v>0</v>
      </c>
      <c r="K49" s="189">
        <f>K44-K48</f>
        <v>0</v>
      </c>
      <c r="L49" s="189">
        <f>L44-L48</f>
        <v>0</v>
      </c>
      <c r="N49" s="187"/>
    </row>
    <row r="50" spans="1:14" hidden="1" x14ac:dyDescent="0.25">
      <c r="A50" s="130"/>
      <c r="B50" s="138"/>
      <c r="C50" s="181" t="s">
        <v>131</v>
      </c>
      <c r="D50" s="35"/>
      <c r="E50" s="35"/>
      <c r="F50" s="35"/>
      <c r="G50" s="36"/>
      <c r="H50" s="36"/>
      <c r="I50" s="36"/>
      <c r="J50" s="36"/>
      <c r="K50" s="36"/>
      <c r="L50" s="36"/>
      <c r="N50" s="187"/>
    </row>
    <row r="51" spans="1:14" hidden="1" x14ac:dyDescent="0.25">
      <c r="A51" s="187"/>
      <c r="B51" s="186"/>
      <c r="C51" s="176" t="s">
        <v>116</v>
      </c>
      <c r="D51" s="173" t="s">
        <v>3</v>
      </c>
      <c r="E51" s="275"/>
      <c r="F51" s="275"/>
      <c r="G51" s="194">
        <f>G127</f>
        <v>0</v>
      </c>
      <c r="H51" s="189">
        <f>G51+H52</f>
        <v>0</v>
      </c>
      <c r="I51" s="189">
        <f>H51+I52</f>
        <v>0</v>
      </c>
      <c r="J51" s="189">
        <f>I51+J52</f>
        <v>0</v>
      </c>
      <c r="K51" s="189">
        <f>J51+K52</f>
        <v>0</v>
      </c>
      <c r="L51" s="189">
        <f>K51+L52</f>
        <v>0</v>
      </c>
      <c r="N51" s="187"/>
    </row>
    <row r="52" spans="1:14" hidden="1" x14ac:dyDescent="0.25">
      <c r="A52" s="187"/>
      <c r="B52" s="186"/>
      <c r="C52" s="176" t="s">
        <v>12</v>
      </c>
      <c r="D52" s="173" t="s">
        <v>3</v>
      </c>
      <c r="E52" s="198"/>
      <c r="F52" s="198"/>
      <c r="G52" s="36"/>
      <c r="H52" s="189">
        <f>G51*Bases!F$9</f>
        <v>0</v>
      </c>
      <c r="I52" s="189">
        <f>H51*Bases!G$9</f>
        <v>0</v>
      </c>
      <c r="J52" s="189">
        <f>I51*Bases!H$9</f>
        <v>0</v>
      </c>
      <c r="K52" s="189">
        <f>J51*Bases!I$9</f>
        <v>0</v>
      </c>
      <c r="L52" s="189">
        <f>K51*Bases!J$9</f>
        <v>0</v>
      </c>
      <c r="N52" s="130"/>
    </row>
    <row r="53" spans="1:14" hidden="1" x14ac:dyDescent="0.25">
      <c r="A53" s="177"/>
      <c r="B53" s="178"/>
      <c r="C53" s="172" t="s">
        <v>159</v>
      </c>
      <c r="D53" s="173" t="s">
        <v>3</v>
      </c>
      <c r="E53" s="198"/>
      <c r="F53" s="198"/>
      <c r="G53" s="36"/>
      <c r="H53" s="189">
        <f>IF(H$1&gt;Bases!$D$41,0,H51/Bases!$D$41)</f>
        <v>0</v>
      </c>
      <c r="I53" s="189">
        <f>IF(I$1&gt;Bases!$D$41,0,I51/Bases!$D$41)</f>
        <v>0</v>
      </c>
      <c r="J53" s="189">
        <f>IF(J$1&gt;Bases!$D$41,0,J51/Bases!$D$41)</f>
        <v>0</v>
      </c>
      <c r="K53" s="189">
        <f>IF(K$1&gt;Bases!$D$41,0,K51/Bases!$D$41)</f>
        <v>0</v>
      </c>
      <c r="L53" s="189">
        <f>IF(L$1&gt;Bases!$D$41,0,L51/Bases!$D$41)</f>
        <v>0</v>
      </c>
      <c r="N53" s="187"/>
    </row>
    <row r="54" spans="1:14" hidden="1" x14ac:dyDescent="0.25">
      <c r="A54" s="187"/>
      <c r="B54" s="186"/>
      <c r="C54" s="176" t="s">
        <v>160</v>
      </c>
      <c r="D54" s="173" t="s">
        <v>3</v>
      </c>
      <c r="E54" s="198"/>
      <c r="F54" s="198"/>
      <c r="G54" s="36"/>
      <c r="H54" s="189">
        <f>G55*Bases!F$9</f>
        <v>0</v>
      </c>
      <c r="I54" s="189">
        <f>H55*Bases!G$9</f>
        <v>0</v>
      </c>
      <c r="J54" s="189">
        <f>I55*Bases!H$9</f>
        <v>0</v>
      </c>
      <c r="K54" s="189">
        <f>J55*Bases!I$9</f>
        <v>0</v>
      </c>
      <c r="L54" s="189">
        <f>K55*Bases!J$9</f>
        <v>0</v>
      </c>
      <c r="N54" s="187"/>
    </row>
    <row r="55" spans="1:14" hidden="1" x14ac:dyDescent="0.25">
      <c r="A55" s="187"/>
      <c r="B55" s="186"/>
      <c r="C55" s="172" t="s">
        <v>161</v>
      </c>
      <c r="D55" s="173" t="s">
        <v>3</v>
      </c>
      <c r="E55" s="198"/>
      <c r="F55" s="198"/>
      <c r="G55" s="36"/>
      <c r="H55" s="189">
        <f>G55+H53+H54</f>
        <v>0</v>
      </c>
      <c r="I55" s="189">
        <f>H55+I53+I54</f>
        <v>0</v>
      </c>
      <c r="J55" s="189">
        <f>I55+J53+J54</f>
        <v>0</v>
      </c>
      <c r="K55" s="189">
        <f>J55+K53+K54</f>
        <v>0</v>
      </c>
      <c r="L55" s="189">
        <f>K55+L53+L54</f>
        <v>0</v>
      </c>
      <c r="N55" s="177"/>
    </row>
    <row r="56" spans="1:14" hidden="1" x14ac:dyDescent="0.25">
      <c r="A56" s="187"/>
      <c r="B56" s="186"/>
      <c r="C56" s="176" t="s">
        <v>16</v>
      </c>
      <c r="D56" s="173" t="s">
        <v>3</v>
      </c>
      <c r="E56" s="198"/>
      <c r="F56" s="198"/>
      <c r="G56" s="36"/>
      <c r="H56" s="189">
        <f>H51-H55</f>
        <v>0</v>
      </c>
      <c r="I56" s="189">
        <f>I51-I55</f>
        <v>0</v>
      </c>
      <c r="J56" s="189">
        <f>J51-J55</f>
        <v>0</v>
      </c>
      <c r="K56" s="189">
        <f>K51-K55</f>
        <v>0</v>
      </c>
      <c r="L56" s="189">
        <f>L51-L55</f>
        <v>0</v>
      </c>
      <c r="N56" s="187"/>
    </row>
    <row r="57" spans="1:14" hidden="1" x14ac:dyDescent="0.25">
      <c r="A57" s="130"/>
      <c r="B57" s="138"/>
      <c r="C57" s="181" t="s">
        <v>132</v>
      </c>
      <c r="D57" s="35"/>
      <c r="E57" s="35"/>
      <c r="F57" s="35"/>
      <c r="G57" s="36"/>
      <c r="H57" s="36"/>
      <c r="I57" s="36"/>
      <c r="J57" s="36"/>
      <c r="K57" s="36"/>
      <c r="L57" s="36"/>
      <c r="N57" s="187"/>
    </row>
    <row r="58" spans="1:14" hidden="1" x14ac:dyDescent="0.25">
      <c r="A58" s="187"/>
      <c r="B58" s="186"/>
      <c r="C58" s="176" t="s">
        <v>116</v>
      </c>
      <c r="D58" s="173" t="s">
        <v>3</v>
      </c>
      <c r="E58" s="274"/>
      <c r="F58" s="274"/>
      <c r="G58" s="195">
        <f>G131</f>
        <v>0</v>
      </c>
      <c r="H58" s="189">
        <f>G58+H59</f>
        <v>0</v>
      </c>
      <c r="I58" s="189">
        <f>H58+I59</f>
        <v>0</v>
      </c>
      <c r="J58" s="189">
        <f>I58+J59</f>
        <v>0</v>
      </c>
      <c r="K58" s="189">
        <f>J58+K59</f>
        <v>0</v>
      </c>
      <c r="L58" s="189">
        <f>K58+L59</f>
        <v>0</v>
      </c>
      <c r="N58" s="187"/>
    </row>
    <row r="59" spans="1:14" hidden="1" x14ac:dyDescent="0.25">
      <c r="A59" s="187"/>
      <c r="B59" s="186"/>
      <c r="C59" s="176" t="s">
        <v>12</v>
      </c>
      <c r="D59" s="173" t="s">
        <v>3</v>
      </c>
      <c r="E59" s="198"/>
      <c r="F59" s="198"/>
      <c r="G59" s="36"/>
      <c r="H59" s="189">
        <f>G58*Bases!F$9</f>
        <v>0</v>
      </c>
      <c r="I59" s="189">
        <f>H58*Bases!G$9</f>
        <v>0</v>
      </c>
      <c r="J59" s="189">
        <f>I58*Bases!H$9</f>
        <v>0</v>
      </c>
      <c r="K59" s="189">
        <f>J58*Bases!I$9</f>
        <v>0</v>
      </c>
      <c r="L59" s="189">
        <f>K58*Bases!J$9</f>
        <v>0</v>
      </c>
      <c r="N59" s="130"/>
    </row>
    <row r="60" spans="1:14" hidden="1" x14ac:dyDescent="0.25">
      <c r="A60" s="177"/>
      <c r="B60" s="178"/>
      <c r="C60" s="172" t="s">
        <v>159</v>
      </c>
      <c r="D60" s="173" t="s">
        <v>3</v>
      </c>
      <c r="E60" s="198"/>
      <c r="F60" s="198"/>
      <c r="G60" s="36"/>
      <c r="H60" s="189">
        <f>IF(H$1&gt;Bases!$D$42,0,H58/Bases!$D$42)</f>
        <v>0</v>
      </c>
      <c r="I60" s="189">
        <f>IF(I$1&gt;Bases!$D$42,0,I58/Bases!$D$42)</f>
        <v>0</v>
      </c>
      <c r="J60" s="189">
        <f>IF(J$1&gt;Bases!$D$42,0,J58/Bases!$D$42)</f>
        <v>0</v>
      </c>
      <c r="K60" s="189">
        <f>IF(K$1&gt;Bases!$D$42,0,K58/Bases!$D$42)</f>
        <v>0</v>
      </c>
      <c r="L60" s="189">
        <f>IF(L$1&gt;Bases!$D$42,0,L58/Bases!$D$42)</f>
        <v>0</v>
      </c>
      <c r="N60" s="187"/>
    </row>
    <row r="61" spans="1:14" hidden="1" x14ac:dyDescent="0.25">
      <c r="A61" s="187"/>
      <c r="B61" s="186"/>
      <c r="C61" s="176" t="s">
        <v>160</v>
      </c>
      <c r="D61" s="173" t="s">
        <v>3</v>
      </c>
      <c r="E61" s="198"/>
      <c r="F61" s="198"/>
      <c r="G61" s="36"/>
      <c r="H61" s="189">
        <f>G62*Bases!F$9</f>
        <v>0</v>
      </c>
      <c r="I61" s="189">
        <f>H62*Bases!G$9</f>
        <v>0</v>
      </c>
      <c r="J61" s="189">
        <f>I62*Bases!H$9</f>
        <v>0</v>
      </c>
      <c r="K61" s="189">
        <f>J62*Bases!I$9</f>
        <v>0</v>
      </c>
      <c r="L61" s="189">
        <f>K62*Bases!J$9</f>
        <v>0</v>
      </c>
      <c r="N61" s="187"/>
    </row>
    <row r="62" spans="1:14" hidden="1" x14ac:dyDescent="0.25">
      <c r="A62" s="187"/>
      <c r="B62" s="186"/>
      <c r="C62" s="172" t="s">
        <v>161</v>
      </c>
      <c r="D62" s="173" t="s">
        <v>3</v>
      </c>
      <c r="E62" s="198"/>
      <c r="F62" s="198"/>
      <c r="G62" s="36"/>
      <c r="H62" s="189">
        <f>G62+H60+H61</f>
        <v>0</v>
      </c>
      <c r="I62" s="189">
        <f>H62+I60+I61</f>
        <v>0</v>
      </c>
      <c r="J62" s="189">
        <f>I62+J60+J61</f>
        <v>0</v>
      </c>
      <c r="K62" s="189">
        <f>J62+K60+K61</f>
        <v>0</v>
      </c>
      <c r="L62" s="189">
        <f>K62+L60+L61</f>
        <v>0</v>
      </c>
      <c r="N62" s="177"/>
    </row>
    <row r="63" spans="1:14" hidden="1" x14ac:dyDescent="0.25">
      <c r="A63" s="187"/>
      <c r="B63" s="186"/>
      <c r="C63" s="176" t="s">
        <v>16</v>
      </c>
      <c r="D63" s="173" t="s">
        <v>3</v>
      </c>
      <c r="E63" s="198"/>
      <c r="F63" s="198"/>
      <c r="G63" s="36"/>
      <c r="H63" s="189">
        <f>H58-H62</f>
        <v>0</v>
      </c>
      <c r="I63" s="189">
        <f>I58-I62</f>
        <v>0</v>
      </c>
      <c r="J63" s="189">
        <f>J58-J62</f>
        <v>0</v>
      </c>
      <c r="K63" s="189">
        <f>K58-K62</f>
        <v>0</v>
      </c>
      <c r="L63" s="189">
        <f>L58-L62</f>
        <v>0</v>
      </c>
      <c r="N63" s="187"/>
    </row>
    <row r="64" spans="1:14" x14ac:dyDescent="0.25">
      <c r="A64" s="129"/>
      <c r="B64" s="138"/>
      <c r="C64" s="69" t="s">
        <v>378</v>
      </c>
      <c r="D64" s="35"/>
      <c r="E64" s="35"/>
      <c r="F64" s="35"/>
      <c r="G64" s="35"/>
      <c r="H64" s="35"/>
      <c r="I64" s="35"/>
      <c r="J64" s="35"/>
      <c r="K64" s="35"/>
      <c r="L64" s="35"/>
      <c r="N64" s="187"/>
    </row>
    <row r="65" spans="1:15" x14ac:dyDescent="0.25">
      <c r="A65" s="129"/>
      <c r="B65" s="138"/>
      <c r="C65" s="69" t="s">
        <v>321</v>
      </c>
      <c r="D65" s="35"/>
      <c r="E65" s="35"/>
      <c r="F65" s="35"/>
      <c r="G65" s="35"/>
      <c r="H65" s="35"/>
      <c r="I65" s="35"/>
      <c r="J65" s="35"/>
      <c r="K65" s="35"/>
      <c r="L65" s="35"/>
      <c r="N65" s="187"/>
    </row>
    <row r="66" spans="1:15" x14ac:dyDescent="0.25">
      <c r="A66" s="177"/>
      <c r="B66" s="178"/>
      <c r="C66" s="533" t="s">
        <v>115</v>
      </c>
      <c r="D66" s="348"/>
      <c r="E66" s="348"/>
      <c r="F66" s="348"/>
      <c r="G66" s="348"/>
      <c r="H66" s="348"/>
      <c r="I66" s="348"/>
      <c r="J66" s="348"/>
      <c r="K66" s="348"/>
      <c r="L66" s="348"/>
      <c r="M66" s="348"/>
      <c r="N66" s="129"/>
    </row>
    <row r="67" spans="1:15" x14ac:dyDescent="0.25">
      <c r="A67" s="177"/>
      <c r="B67" s="178"/>
      <c r="C67" s="533" t="s">
        <v>117</v>
      </c>
      <c r="D67" s="348"/>
      <c r="E67" s="348"/>
      <c r="F67" s="348"/>
      <c r="G67" s="348"/>
      <c r="H67" s="348"/>
      <c r="I67" s="348"/>
      <c r="J67" s="348"/>
      <c r="K67" s="348"/>
      <c r="L67" s="348"/>
      <c r="M67" s="348"/>
      <c r="N67" s="129"/>
      <c r="O67" t="s">
        <v>556</v>
      </c>
    </row>
    <row r="68" spans="1:15" x14ac:dyDescent="0.25">
      <c r="A68" s="177"/>
      <c r="B68" s="178"/>
      <c r="C68" s="533" t="s">
        <v>291</v>
      </c>
      <c r="D68" s="348"/>
      <c r="E68" s="348"/>
      <c r="F68" s="348"/>
      <c r="G68" s="348"/>
      <c r="H68" s="348"/>
      <c r="I68" s="348"/>
      <c r="J68" s="348"/>
      <c r="K68" s="348"/>
      <c r="L68" s="348"/>
      <c r="M68" s="348"/>
      <c r="N68" s="177"/>
      <c r="O68" t="s">
        <v>555</v>
      </c>
    </row>
    <row r="69" spans="1:15" x14ac:dyDescent="0.25">
      <c r="A69" s="177"/>
      <c r="B69" s="178"/>
      <c r="C69" s="181" t="s">
        <v>323</v>
      </c>
      <c r="D69" s="367"/>
      <c r="E69" s="367"/>
      <c r="F69" s="367"/>
      <c r="G69" s="366">
        <f t="shared" ref="G69:L69" si="0">SUM(G66:G68)</f>
        <v>0</v>
      </c>
      <c r="H69" s="366">
        <f t="shared" si="0"/>
        <v>0</v>
      </c>
      <c r="I69" s="366">
        <f t="shared" si="0"/>
        <v>0</v>
      </c>
      <c r="J69" s="366">
        <f t="shared" si="0"/>
        <v>0</v>
      </c>
      <c r="K69" s="366">
        <f t="shared" si="0"/>
        <v>0</v>
      </c>
      <c r="L69" s="366">
        <f t="shared" si="0"/>
        <v>0</v>
      </c>
      <c r="M69" s="366"/>
      <c r="N69" s="177"/>
      <c r="O69" t="s">
        <v>557</v>
      </c>
    </row>
    <row r="70" spans="1:15" x14ac:dyDescent="0.25">
      <c r="A70" s="177"/>
      <c r="B70" s="178"/>
      <c r="C70" s="69" t="s">
        <v>322</v>
      </c>
      <c r="D70" s="173"/>
      <c r="E70" s="173"/>
      <c r="F70" s="173"/>
      <c r="G70" s="319"/>
      <c r="H70" s="319"/>
      <c r="I70" s="319"/>
      <c r="J70" s="319"/>
      <c r="K70" s="319"/>
      <c r="L70" s="319"/>
      <c r="M70" s="319"/>
      <c r="N70" s="177"/>
      <c r="O70" t="s">
        <v>271</v>
      </c>
    </row>
    <row r="71" spans="1:15" x14ac:dyDescent="0.25">
      <c r="A71" s="177"/>
      <c r="B71" s="178"/>
      <c r="C71" s="293" t="s">
        <v>583</v>
      </c>
      <c r="D71" s="348" t="s">
        <v>594</v>
      </c>
      <c r="E71" s="348">
        <v>1</v>
      </c>
      <c r="F71" s="348">
        <v>8103420</v>
      </c>
      <c r="G71" s="348">
        <f>+F71*E71</f>
        <v>8103420</v>
      </c>
      <c r="H71" s="348"/>
      <c r="I71" s="348"/>
      <c r="J71" s="348"/>
      <c r="K71" s="348"/>
      <c r="L71" s="348"/>
      <c r="M71" s="348" t="s">
        <v>555</v>
      </c>
      <c r="N71" s="177"/>
    </row>
    <row r="72" spans="1:15" x14ac:dyDescent="0.25">
      <c r="A72" s="177"/>
      <c r="B72" s="178"/>
      <c r="C72" s="293" t="s">
        <v>595</v>
      </c>
      <c r="D72" s="348" t="s">
        <v>305</v>
      </c>
      <c r="E72" s="348">
        <v>1</v>
      </c>
      <c r="F72" s="348">
        <v>405171</v>
      </c>
      <c r="G72" s="348">
        <f>+F72*E72</f>
        <v>405171</v>
      </c>
      <c r="H72" s="348"/>
      <c r="I72" s="348"/>
      <c r="J72" s="348"/>
      <c r="K72" s="348"/>
      <c r="L72" s="348"/>
      <c r="M72" s="348" t="s">
        <v>555</v>
      </c>
      <c r="N72" s="177"/>
    </row>
    <row r="73" spans="1:15" x14ac:dyDescent="0.25">
      <c r="A73" s="177"/>
      <c r="B73" s="178"/>
      <c r="C73" s="293" t="s">
        <v>586</v>
      </c>
      <c r="D73" s="348" t="s">
        <v>305</v>
      </c>
      <c r="E73" s="348">
        <v>1</v>
      </c>
      <c r="F73" s="348">
        <v>8535602</v>
      </c>
      <c r="G73" s="348">
        <f>+F73</f>
        <v>8535602</v>
      </c>
      <c r="H73" s="348"/>
      <c r="I73" s="348"/>
      <c r="J73" s="348"/>
      <c r="K73" s="348"/>
      <c r="L73" s="348"/>
      <c r="M73" s="348" t="s">
        <v>555</v>
      </c>
      <c r="N73" s="177"/>
    </row>
    <row r="74" spans="1:15" x14ac:dyDescent="0.25">
      <c r="A74" s="177"/>
      <c r="B74" s="178"/>
      <c r="C74" s="522" t="s">
        <v>588</v>
      </c>
      <c r="D74" s="522" t="s">
        <v>305</v>
      </c>
      <c r="E74" s="522">
        <v>1</v>
      </c>
      <c r="F74" s="522">
        <v>5752500</v>
      </c>
      <c r="G74" s="522">
        <f t="shared" ref="G74:G75" si="1">+F74</f>
        <v>5752500</v>
      </c>
      <c r="H74" s="348"/>
      <c r="I74" s="348"/>
      <c r="J74" s="348"/>
      <c r="K74" s="348"/>
      <c r="L74" s="348"/>
      <c r="M74" s="348" t="s">
        <v>555</v>
      </c>
      <c r="N74" s="177"/>
    </row>
    <row r="75" spans="1:15" x14ac:dyDescent="0.25">
      <c r="A75" s="177"/>
      <c r="B75" s="178"/>
      <c r="C75" s="293" t="s">
        <v>596</v>
      </c>
      <c r="D75" s="348" t="s">
        <v>305</v>
      </c>
      <c r="E75" s="348">
        <v>1</v>
      </c>
      <c r="F75" s="348">
        <v>13505700</v>
      </c>
      <c r="G75" s="348">
        <f t="shared" si="1"/>
        <v>13505700</v>
      </c>
      <c r="H75" s="348"/>
      <c r="I75" s="348"/>
      <c r="J75" s="348"/>
      <c r="K75" s="348"/>
      <c r="L75" s="348"/>
      <c r="M75" s="348" t="s">
        <v>557</v>
      </c>
      <c r="N75" s="177"/>
    </row>
    <row r="76" spans="1:15" x14ac:dyDescent="0.25">
      <c r="A76" s="177"/>
      <c r="B76" s="178"/>
      <c r="C76" s="293"/>
      <c r="D76" s="348"/>
      <c r="E76" s="348"/>
      <c r="F76" s="348"/>
      <c r="G76" s="348"/>
      <c r="H76" s="348"/>
      <c r="I76" s="348"/>
      <c r="J76" s="348"/>
      <c r="K76" s="348"/>
      <c r="L76" s="348"/>
      <c r="M76" s="348"/>
      <c r="N76" s="177"/>
    </row>
    <row r="77" spans="1:15" x14ac:dyDescent="0.25">
      <c r="A77" s="177"/>
      <c r="B77" s="178"/>
      <c r="C77" s="293"/>
      <c r="D77" s="348"/>
      <c r="E77" s="348"/>
      <c r="F77" s="348"/>
      <c r="G77" s="348"/>
      <c r="H77" s="348"/>
      <c r="I77" s="348"/>
      <c r="J77" s="348"/>
      <c r="K77" s="348"/>
      <c r="L77" s="348"/>
      <c r="M77" s="348"/>
      <c r="N77" s="177"/>
    </row>
    <row r="78" spans="1:15" x14ac:dyDescent="0.25">
      <c r="A78" s="177"/>
      <c r="B78" s="178"/>
      <c r="C78" s="293"/>
      <c r="D78" s="348"/>
      <c r="E78" s="348"/>
      <c r="F78" s="348"/>
      <c r="G78" s="348"/>
      <c r="H78" s="348"/>
      <c r="I78" s="348"/>
      <c r="J78" s="348"/>
      <c r="K78" s="348"/>
      <c r="L78" s="348"/>
      <c r="M78" s="348"/>
      <c r="N78" s="177"/>
    </row>
    <row r="79" spans="1:15" x14ac:dyDescent="0.25">
      <c r="A79" s="177"/>
      <c r="B79" s="178"/>
      <c r="C79" s="293"/>
      <c r="D79" s="348"/>
      <c r="E79" s="348"/>
      <c r="F79" s="348"/>
      <c r="G79" s="348"/>
      <c r="H79" s="348"/>
      <c r="I79" s="348"/>
      <c r="J79" s="348"/>
      <c r="K79" s="348"/>
      <c r="L79" s="348"/>
      <c r="M79" s="348"/>
      <c r="N79" s="177"/>
    </row>
    <row r="80" spans="1:15" x14ac:dyDescent="0.25">
      <c r="A80" s="177"/>
      <c r="B80" s="178"/>
      <c r="C80" s="293"/>
      <c r="D80" s="348"/>
      <c r="E80" s="348"/>
      <c r="F80" s="348"/>
      <c r="G80" s="348"/>
      <c r="H80" s="348"/>
      <c r="I80" s="348"/>
      <c r="J80" s="348"/>
      <c r="K80" s="348"/>
      <c r="L80" s="348"/>
      <c r="M80" s="348"/>
      <c r="N80" s="177"/>
    </row>
    <row r="81" spans="1:14" x14ac:dyDescent="0.25">
      <c r="A81" s="177"/>
      <c r="B81" s="178"/>
      <c r="C81" s="293"/>
      <c r="D81" s="348"/>
      <c r="E81" s="348"/>
      <c r="F81" s="348"/>
      <c r="G81" s="348"/>
      <c r="H81" s="348"/>
      <c r="I81" s="348"/>
      <c r="J81" s="348"/>
      <c r="K81" s="348"/>
      <c r="L81" s="348"/>
      <c r="M81" s="348"/>
      <c r="N81" s="177"/>
    </row>
    <row r="82" spans="1:14" x14ac:dyDescent="0.25">
      <c r="A82" s="177"/>
      <c r="B82" s="178"/>
      <c r="C82" s="293"/>
      <c r="D82" s="348"/>
      <c r="E82" s="348"/>
      <c r="F82" s="348"/>
      <c r="G82" s="348"/>
      <c r="H82" s="348"/>
      <c r="I82" s="348"/>
      <c r="J82" s="348"/>
      <c r="K82" s="348"/>
      <c r="L82" s="348"/>
      <c r="M82" s="348"/>
      <c r="N82" s="177"/>
    </row>
    <row r="83" spans="1:14" x14ac:dyDescent="0.25">
      <c r="A83" s="177"/>
      <c r="B83" s="178"/>
      <c r="C83" s="293"/>
      <c r="D83" s="348"/>
      <c r="E83" s="348"/>
      <c r="F83" s="348"/>
      <c r="G83" s="348"/>
      <c r="H83" s="348"/>
      <c r="I83" s="348"/>
      <c r="J83" s="348"/>
      <c r="K83" s="348"/>
      <c r="L83" s="348"/>
      <c r="M83" s="348"/>
      <c r="N83" s="177"/>
    </row>
    <row r="84" spans="1:14" x14ac:dyDescent="0.25">
      <c r="A84" s="177"/>
      <c r="B84" s="178"/>
      <c r="C84" s="293"/>
      <c r="D84" s="348"/>
      <c r="E84" s="348"/>
      <c r="F84" s="348"/>
      <c r="G84" s="348"/>
      <c r="H84" s="348"/>
      <c r="I84" s="348"/>
      <c r="J84" s="348"/>
      <c r="K84" s="348"/>
      <c r="L84" s="348"/>
      <c r="M84" s="348"/>
      <c r="N84" s="177"/>
    </row>
    <row r="85" spans="1:14" x14ac:dyDescent="0.25">
      <c r="A85" s="177"/>
      <c r="B85" s="178"/>
      <c r="C85" s="293"/>
      <c r="D85" s="348"/>
      <c r="E85" s="348"/>
      <c r="F85" s="348"/>
      <c r="G85" s="348"/>
      <c r="H85" s="348"/>
      <c r="I85" s="348"/>
      <c r="J85" s="348"/>
      <c r="K85" s="348"/>
      <c r="L85" s="348"/>
      <c r="M85" s="348"/>
      <c r="N85" s="177"/>
    </row>
    <row r="86" spans="1:14" x14ac:dyDescent="0.25">
      <c r="A86" s="177"/>
      <c r="B86" s="178"/>
      <c r="C86" s="293"/>
      <c r="D86" s="348"/>
      <c r="E86" s="348"/>
      <c r="F86" s="348"/>
      <c r="G86" s="348"/>
      <c r="H86" s="348"/>
      <c r="I86" s="348"/>
      <c r="J86" s="348"/>
      <c r="K86" s="348"/>
      <c r="L86" s="348"/>
      <c r="M86" s="348"/>
      <c r="N86" s="177"/>
    </row>
    <row r="87" spans="1:14" x14ac:dyDescent="0.25">
      <c r="A87" s="177"/>
      <c r="B87" s="178"/>
      <c r="C87" s="293"/>
      <c r="D87" s="348"/>
      <c r="E87" s="348"/>
      <c r="F87" s="348"/>
      <c r="G87" s="348"/>
      <c r="H87" s="348"/>
      <c r="I87" s="348"/>
      <c r="J87" s="348"/>
      <c r="K87" s="348"/>
      <c r="L87" s="348"/>
      <c r="M87" s="348"/>
      <c r="N87" s="129"/>
    </row>
    <row r="88" spans="1:14" x14ac:dyDescent="0.25">
      <c r="A88" s="177"/>
      <c r="B88" s="178"/>
      <c r="C88" s="293"/>
      <c r="D88" s="348"/>
      <c r="E88" s="348"/>
      <c r="F88" s="348"/>
      <c r="G88" s="348"/>
      <c r="H88" s="348"/>
      <c r="I88" s="348"/>
      <c r="J88" s="348"/>
      <c r="K88" s="348"/>
      <c r="L88" s="348"/>
      <c r="M88" s="348"/>
      <c r="N88" s="129"/>
    </row>
    <row r="89" spans="1:14" x14ac:dyDescent="0.25">
      <c r="A89" s="177"/>
      <c r="B89" s="178"/>
      <c r="C89" s="293"/>
      <c r="D89" s="348"/>
      <c r="E89" s="348"/>
      <c r="F89" s="348"/>
      <c r="G89" s="348"/>
      <c r="H89" s="348"/>
      <c r="I89" s="348"/>
      <c r="J89" s="348"/>
      <c r="K89" s="348"/>
      <c r="L89" s="348"/>
      <c r="M89" s="348"/>
      <c r="N89" s="170"/>
    </row>
    <row r="90" spans="1:14" x14ac:dyDescent="0.25">
      <c r="A90" s="177"/>
      <c r="B90" s="178"/>
      <c r="C90" s="293"/>
      <c r="D90" s="348"/>
      <c r="E90" s="348"/>
      <c r="F90" s="348"/>
      <c r="G90" s="348"/>
      <c r="H90" s="348"/>
      <c r="I90" s="348"/>
      <c r="J90" s="348"/>
      <c r="K90" s="348"/>
      <c r="L90" s="348"/>
      <c r="M90" s="348"/>
      <c r="N90" s="129"/>
    </row>
    <row r="91" spans="1:14" x14ac:dyDescent="0.25">
      <c r="A91" s="177"/>
      <c r="B91" s="178"/>
      <c r="C91" s="293"/>
      <c r="D91" s="348"/>
      <c r="E91" s="348"/>
      <c r="F91" s="348"/>
      <c r="G91" s="348"/>
      <c r="H91" s="348"/>
      <c r="I91" s="348"/>
      <c r="J91" s="348"/>
      <c r="K91" s="348"/>
      <c r="L91" s="348"/>
      <c r="M91" s="348"/>
      <c r="N91" s="129"/>
    </row>
    <row r="92" spans="1:14" x14ac:dyDescent="0.25">
      <c r="A92" s="177"/>
      <c r="B92" s="178"/>
      <c r="C92" s="293"/>
      <c r="D92" s="348"/>
      <c r="E92" s="348"/>
      <c r="F92" s="348"/>
      <c r="G92" s="348"/>
      <c r="H92" s="348"/>
      <c r="I92" s="348"/>
      <c r="J92" s="348"/>
      <c r="K92" s="348"/>
      <c r="L92" s="348"/>
      <c r="M92" s="348"/>
      <c r="N92" s="187"/>
    </row>
    <row r="93" spans="1:14" x14ac:dyDescent="0.25">
      <c r="A93" s="177"/>
      <c r="B93" s="178"/>
      <c r="C93" s="293"/>
      <c r="D93" s="348"/>
      <c r="E93" s="348"/>
      <c r="F93" s="348"/>
      <c r="G93" s="348"/>
      <c r="H93" s="348"/>
      <c r="I93" s="348"/>
      <c r="J93" s="348"/>
      <c r="K93" s="348"/>
      <c r="L93" s="348"/>
      <c r="M93" s="348"/>
      <c r="N93" s="187"/>
    </row>
    <row r="94" spans="1:14" x14ac:dyDescent="0.25">
      <c r="A94" s="177"/>
      <c r="B94" s="178"/>
      <c r="C94" s="293"/>
      <c r="D94" s="348"/>
      <c r="E94" s="348"/>
      <c r="F94" s="348"/>
      <c r="G94" s="348"/>
      <c r="H94" s="348"/>
      <c r="I94" s="348"/>
      <c r="J94" s="348"/>
      <c r="K94" s="348"/>
      <c r="L94" s="348"/>
      <c r="M94" s="348"/>
      <c r="N94" s="130"/>
    </row>
    <row r="95" spans="1:14" x14ac:dyDescent="0.25">
      <c r="A95" s="177"/>
      <c r="B95" s="178"/>
      <c r="C95" s="181" t="s">
        <v>324</v>
      </c>
      <c r="D95" s="367"/>
      <c r="E95" s="367"/>
      <c r="F95" s="367"/>
      <c r="G95" s="366">
        <f t="shared" ref="G95:L95" si="2">SUM(G71:G94)</f>
        <v>36302393</v>
      </c>
      <c r="H95" s="366">
        <f t="shared" si="2"/>
        <v>0</v>
      </c>
      <c r="I95" s="366">
        <f t="shared" si="2"/>
        <v>0</v>
      </c>
      <c r="J95" s="366">
        <f t="shared" si="2"/>
        <v>0</v>
      </c>
      <c r="K95" s="366">
        <f t="shared" si="2"/>
        <v>0</v>
      </c>
      <c r="L95" s="366">
        <f t="shared" si="2"/>
        <v>0</v>
      </c>
      <c r="M95" s="366"/>
      <c r="N95" s="187"/>
    </row>
    <row r="96" spans="1:14" x14ac:dyDescent="0.25">
      <c r="A96" s="177"/>
      <c r="B96" s="178"/>
      <c r="C96" s="69" t="s">
        <v>122</v>
      </c>
      <c r="D96" s="173"/>
      <c r="E96" s="173"/>
      <c r="F96" s="173"/>
      <c r="G96" s="319"/>
      <c r="H96" s="319"/>
      <c r="I96" s="319"/>
      <c r="J96" s="319"/>
      <c r="K96" s="319"/>
      <c r="L96" s="319"/>
      <c r="M96" s="319"/>
      <c r="N96" s="187"/>
    </row>
    <row r="97" spans="1:14" x14ac:dyDescent="0.25">
      <c r="A97" s="177"/>
      <c r="B97" s="178"/>
      <c r="C97" s="293" t="s">
        <v>597</v>
      </c>
      <c r="D97" s="348" t="s">
        <v>305</v>
      </c>
      <c r="E97" s="348">
        <v>1</v>
      </c>
      <c r="F97" s="348">
        <v>1000000</v>
      </c>
      <c r="G97" s="348">
        <f>+F97*E97</f>
        <v>1000000</v>
      </c>
      <c r="H97" s="348"/>
      <c r="I97" s="348"/>
      <c r="J97" s="348"/>
      <c r="K97" s="348"/>
      <c r="L97" s="348"/>
      <c r="M97" s="348" t="s">
        <v>555</v>
      </c>
      <c r="N97" s="177"/>
    </row>
    <row r="98" spans="1:14" x14ac:dyDescent="0.25">
      <c r="A98" s="177"/>
      <c r="B98" s="178"/>
      <c r="C98" s="293"/>
      <c r="D98" s="348"/>
      <c r="E98" s="348"/>
      <c r="F98" s="348"/>
      <c r="G98" s="348"/>
      <c r="H98" s="348"/>
      <c r="I98" s="348"/>
      <c r="J98" s="348"/>
      <c r="K98" s="348"/>
      <c r="L98" s="348"/>
      <c r="M98" s="348"/>
      <c r="N98" s="187"/>
    </row>
    <row r="99" spans="1:14" x14ac:dyDescent="0.25">
      <c r="A99" s="177"/>
      <c r="B99" s="178"/>
      <c r="C99" s="293"/>
      <c r="D99" s="348"/>
      <c r="E99" s="348"/>
      <c r="F99" s="348"/>
      <c r="G99" s="348"/>
      <c r="H99" s="348"/>
      <c r="I99" s="348"/>
      <c r="J99" s="348"/>
      <c r="K99" s="348"/>
      <c r="L99" s="348"/>
      <c r="M99" s="348"/>
      <c r="N99" s="187"/>
    </row>
    <row r="100" spans="1:14" x14ac:dyDescent="0.25">
      <c r="A100" s="177"/>
      <c r="B100" s="178"/>
      <c r="C100" s="293"/>
      <c r="D100" s="348"/>
      <c r="E100" s="348"/>
      <c r="F100" s="348"/>
      <c r="G100" s="348"/>
      <c r="H100" s="348"/>
      <c r="I100" s="348"/>
      <c r="J100" s="348"/>
      <c r="K100" s="348"/>
      <c r="L100" s="348"/>
      <c r="M100" s="348"/>
      <c r="N100" s="187"/>
    </row>
    <row r="101" spans="1:14" x14ac:dyDescent="0.25">
      <c r="A101" s="177"/>
      <c r="B101" s="178"/>
      <c r="C101" s="293"/>
      <c r="D101" s="348"/>
      <c r="E101" s="348"/>
      <c r="F101" s="348"/>
      <c r="G101" s="348"/>
      <c r="H101" s="348"/>
      <c r="I101" s="348"/>
      <c r="J101" s="348"/>
      <c r="K101" s="348"/>
      <c r="L101" s="348"/>
      <c r="M101" s="348"/>
      <c r="N101" s="187"/>
    </row>
    <row r="102" spans="1:14" x14ac:dyDescent="0.25">
      <c r="A102" s="177"/>
      <c r="B102" s="178"/>
      <c r="C102" s="293"/>
      <c r="D102" s="348"/>
      <c r="E102" s="348"/>
      <c r="F102" s="348"/>
      <c r="G102" s="348"/>
      <c r="H102" s="348"/>
      <c r="I102" s="348"/>
      <c r="J102" s="348"/>
      <c r="K102" s="348"/>
      <c r="L102" s="348"/>
      <c r="M102" s="348"/>
      <c r="N102" s="187"/>
    </row>
    <row r="103" spans="1:14" x14ac:dyDescent="0.25">
      <c r="A103" s="177"/>
      <c r="B103" s="178"/>
      <c r="C103" s="293"/>
      <c r="D103" s="348"/>
      <c r="E103" s="348"/>
      <c r="F103" s="348"/>
      <c r="G103" s="348"/>
      <c r="H103" s="348"/>
      <c r="I103" s="348"/>
      <c r="J103" s="348"/>
      <c r="K103" s="348"/>
      <c r="L103" s="348"/>
      <c r="M103" s="348"/>
      <c r="N103" s="187"/>
    </row>
    <row r="104" spans="1:14" x14ac:dyDescent="0.25">
      <c r="A104" s="177"/>
      <c r="B104" s="178"/>
      <c r="C104" s="293"/>
      <c r="D104" s="348"/>
      <c r="E104" s="348"/>
      <c r="F104" s="348"/>
      <c r="G104" s="348"/>
      <c r="H104" s="348"/>
      <c r="I104" s="348"/>
      <c r="J104" s="348"/>
      <c r="K104" s="348"/>
      <c r="L104" s="348"/>
      <c r="M104" s="348"/>
      <c r="N104" s="187"/>
    </row>
    <row r="105" spans="1:14" x14ac:dyDescent="0.25">
      <c r="A105" s="177"/>
      <c r="B105" s="178"/>
      <c r="C105" s="293"/>
      <c r="D105" s="348"/>
      <c r="E105" s="348"/>
      <c r="F105" s="348"/>
      <c r="G105" s="348"/>
      <c r="H105" s="348"/>
      <c r="I105" s="348"/>
      <c r="J105" s="348"/>
      <c r="K105" s="348"/>
      <c r="L105" s="348"/>
      <c r="M105" s="348"/>
      <c r="N105" s="187"/>
    </row>
    <row r="106" spans="1:14" x14ac:dyDescent="0.25">
      <c r="A106" s="177"/>
      <c r="B106" s="178"/>
      <c r="C106" s="293"/>
      <c r="D106" s="348"/>
      <c r="E106" s="348"/>
      <c r="F106" s="348"/>
      <c r="G106" s="348"/>
      <c r="H106" s="348"/>
      <c r="I106" s="348"/>
      <c r="J106" s="348"/>
      <c r="K106" s="348"/>
      <c r="L106" s="348"/>
      <c r="M106" s="348"/>
      <c r="N106" s="187"/>
    </row>
    <row r="107" spans="1:14" x14ac:dyDescent="0.25">
      <c r="A107" s="177"/>
      <c r="B107" s="178"/>
      <c r="C107" s="181" t="s">
        <v>325</v>
      </c>
      <c r="D107" s="367"/>
      <c r="E107" s="367"/>
      <c r="F107" s="367"/>
      <c r="G107" s="366">
        <f t="shared" ref="G107:L107" si="3">SUM(G97:G106)</f>
        <v>1000000</v>
      </c>
      <c r="H107" s="366">
        <f t="shared" si="3"/>
        <v>0</v>
      </c>
      <c r="I107" s="366">
        <f t="shared" si="3"/>
        <v>0</v>
      </c>
      <c r="J107" s="366">
        <f t="shared" si="3"/>
        <v>0</v>
      </c>
      <c r="K107" s="366">
        <f t="shared" si="3"/>
        <v>0</v>
      </c>
      <c r="L107" s="366">
        <f t="shared" si="3"/>
        <v>0</v>
      </c>
      <c r="M107" s="366"/>
      <c r="N107" s="187"/>
    </row>
    <row r="108" spans="1:14" x14ac:dyDescent="0.25">
      <c r="A108" s="177"/>
      <c r="B108" s="178"/>
      <c r="C108" s="69" t="s">
        <v>326</v>
      </c>
      <c r="D108" s="173"/>
      <c r="E108" s="173"/>
      <c r="F108" s="173"/>
      <c r="G108" s="319"/>
      <c r="H108" s="319"/>
      <c r="I108" s="319"/>
      <c r="J108" s="319"/>
      <c r="K108" s="319"/>
      <c r="L108" s="319"/>
      <c r="M108" s="319"/>
      <c r="N108" s="130"/>
    </row>
    <row r="109" spans="1:14" x14ac:dyDescent="0.25">
      <c r="A109" s="177"/>
      <c r="B109" s="178"/>
      <c r="C109" s="293"/>
      <c r="D109" s="348"/>
      <c r="E109" s="348"/>
      <c r="F109" s="348"/>
      <c r="G109" s="348"/>
      <c r="H109" s="348"/>
      <c r="I109" s="348"/>
      <c r="J109" s="348"/>
      <c r="K109" s="348"/>
      <c r="L109" s="348"/>
      <c r="M109" s="348"/>
      <c r="N109" s="187"/>
    </row>
    <row r="110" spans="1:14" x14ac:dyDescent="0.25">
      <c r="A110" s="177"/>
      <c r="B110" s="178"/>
      <c r="C110" s="293"/>
      <c r="D110" s="348"/>
      <c r="E110" s="348"/>
      <c r="F110" s="348"/>
      <c r="G110" s="348"/>
      <c r="H110" s="348"/>
      <c r="I110" s="348"/>
      <c r="J110" s="348"/>
      <c r="K110" s="348"/>
      <c r="L110" s="348"/>
      <c r="M110" s="348"/>
      <c r="N110" s="187"/>
    </row>
    <row r="111" spans="1:14" x14ac:dyDescent="0.25">
      <c r="A111" s="177"/>
      <c r="B111" s="178"/>
      <c r="C111" s="293"/>
      <c r="D111" s="348"/>
      <c r="E111" s="348"/>
      <c r="F111" s="348"/>
      <c r="G111" s="348"/>
      <c r="H111" s="348"/>
      <c r="I111" s="348"/>
      <c r="J111" s="348"/>
      <c r="K111" s="348"/>
      <c r="L111" s="348"/>
      <c r="M111" s="348"/>
      <c r="N111" s="177"/>
    </row>
    <row r="112" spans="1:14" x14ac:dyDescent="0.25">
      <c r="A112" s="177"/>
      <c r="B112" s="178"/>
      <c r="C112" s="293"/>
      <c r="D112" s="348"/>
      <c r="E112" s="348"/>
      <c r="F112" s="348"/>
      <c r="G112" s="348"/>
      <c r="H112" s="348"/>
      <c r="I112" s="348"/>
      <c r="J112" s="348"/>
      <c r="K112" s="348"/>
      <c r="L112" s="348"/>
      <c r="M112" s="348"/>
      <c r="N112" s="187"/>
    </row>
    <row r="113" spans="1:14" x14ac:dyDescent="0.25">
      <c r="A113" s="177"/>
      <c r="B113" s="178"/>
      <c r="C113" s="293"/>
      <c r="D113" s="348"/>
      <c r="E113" s="348"/>
      <c r="F113" s="348"/>
      <c r="G113" s="348"/>
      <c r="H113" s="348"/>
      <c r="I113" s="348"/>
      <c r="J113" s="348"/>
      <c r="K113" s="348"/>
      <c r="L113" s="348"/>
      <c r="M113" s="348"/>
      <c r="N113" s="187"/>
    </row>
    <row r="114" spans="1:14" x14ac:dyDescent="0.25">
      <c r="A114" s="177"/>
      <c r="B114" s="178"/>
      <c r="C114" s="293"/>
      <c r="D114" s="348"/>
      <c r="E114" s="348"/>
      <c r="F114" s="348"/>
      <c r="G114" s="348"/>
      <c r="H114" s="348"/>
      <c r="I114" s="348"/>
      <c r="J114" s="348"/>
      <c r="K114" s="348"/>
      <c r="L114" s="348"/>
      <c r="M114" s="348"/>
      <c r="N114" s="187"/>
    </row>
    <row r="115" spans="1:14" x14ac:dyDescent="0.25">
      <c r="A115" s="177"/>
      <c r="B115" s="178"/>
      <c r="C115" s="181"/>
      <c r="D115" s="367"/>
      <c r="E115" s="367"/>
      <c r="F115" s="367"/>
      <c r="G115" s="366">
        <f t="shared" ref="G115:L115" si="4">SUM(G109:G114)</f>
        <v>0</v>
      </c>
      <c r="H115" s="366">
        <f t="shared" si="4"/>
        <v>0</v>
      </c>
      <c r="I115" s="366">
        <f t="shared" si="4"/>
        <v>0</v>
      </c>
      <c r="J115" s="366">
        <f t="shared" si="4"/>
        <v>0</v>
      </c>
      <c r="K115" s="366">
        <f t="shared" si="4"/>
        <v>0</v>
      </c>
      <c r="L115" s="366">
        <f t="shared" si="4"/>
        <v>0</v>
      </c>
      <c r="M115" s="366"/>
      <c r="N115" s="130"/>
    </row>
    <row r="116" spans="1:14" x14ac:dyDescent="0.25">
      <c r="A116" s="177"/>
      <c r="B116" s="178"/>
      <c r="C116" s="69" t="s">
        <v>337</v>
      </c>
      <c r="D116" s="173"/>
      <c r="E116" s="173"/>
      <c r="F116" s="173"/>
      <c r="G116" s="319"/>
      <c r="H116" s="319"/>
      <c r="I116" s="319"/>
      <c r="J116" s="319"/>
      <c r="K116" s="319"/>
      <c r="L116" s="319"/>
      <c r="M116" s="319"/>
      <c r="N116" s="187"/>
    </row>
    <row r="117" spans="1:14" x14ac:dyDescent="0.25">
      <c r="A117" s="177"/>
      <c r="B117" s="178"/>
      <c r="C117" s="293"/>
      <c r="D117" s="348"/>
      <c r="E117" s="348"/>
      <c r="F117" s="348"/>
      <c r="G117" s="348"/>
      <c r="H117" s="348"/>
      <c r="I117" s="348"/>
      <c r="J117" s="348"/>
      <c r="K117" s="348"/>
      <c r="L117" s="348"/>
      <c r="M117" s="348"/>
      <c r="N117" s="187"/>
    </row>
    <row r="118" spans="1:14" x14ac:dyDescent="0.25">
      <c r="A118" s="177"/>
      <c r="B118" s="178"/>
      <c r="C118" s="293"/>
      <c r="D118" s="348"/>
      <c r="E118" s="348"/>
      <c r="F118" s="348"/>
      <c r="G118" s="348"/>
      <c r="H118" s="348"/>
      <c r="I118" s="348"/>
      <c r="J118" s="348"/>
      <c r="K118" s="348"/>
      <c r="L118" s="348"/>
      <c r="M118" s="348"/>
      <c r="N118" s="177"/>
    </row>
    <row r="119" spans="1:14" x14ac:dyDescent="0.25">
      <c r="A119" s="177"/>
      <c r="B119" s="178"/>
      <c r="C119" s="293"/>
      <c r="D119" s="348"/>
      <c r="E119" s="348"/>
      <c r="F119" s="348"/>
      <c r="G119" s="348"/>
      <c r="H119" s="348"/>
      <c r="I119" s="348"/>
      <c r="J119" s="348"/>
      <c r="K119" s="348"/>
      <c r="L119" s="348"/>
      <c r="M119" s="348"/>
      <c r="N119" s="187"/>
    </row>
    <row r="120" spans="1:14" x14ac:dyDescent="0.25">
      <c r="A120" s="177"/>
      <c r="B120" s="178"/>
      <c r="C120" s="293"/>
      <c r="D120" s="348"/>
      <c r="E120" s="348"/>
      <c r="F120" s="348"/>
      <c r="G120" s="348"/>
      <c r="H120" s="348"/>
      <c r="I120" s="348"/>
      <c r="J120" s="348"/>
      <c r="K120" s="348"/>
      <c r="L120" s="348"/>
      <c r="M120" s="348"/>
      <c r="N120" s="187"/>
    </row>
    <row r="121" spans="1:14" x14ac:dyDescent="0.25">
      <c r="A121" s="177"/>
      <c r="B121" s="178"/>
      <c r="C121" s="293"/>
      <c r="D121" s="348"/>
      <c r="E121" s="348"/>
      <c r="F121" s="348"/>
      <c r="G121" s="348"/>
      <c r="H121" s="348"/>
      <c r="I121" s="348"/>
      <c r="J121" s="348"/>
      <c r="K121" s="348"/>
      <c r="L121" s="348"/>
      <c r="M121" s="348"/>
      <c r="N121" s="187"/>
    </row>
    <row r="122" spans="1:14" x14ac:dyDescent="0.25">
      <c r="A122" s="177"/>
      <c r="B122" s="178"/>
      <c r="C122" s="293"/>
      <c r="D122" s="348"/>
      <c r="E122" s="348"/>
      <c r="F122" s="348"/>
      <c r="G122" s="348"/>
      <c r="H122" s="348"/>
      <c r="I122" s="348"/>
      <c r="J122" s="348"/>
      <c r="K122" s="348"/>
      <c r="L122" s="348"/>
      <c r="M122" s="348"/>
      <c r="N122" s="130"/>
    </row>
    <row r="123" spans="1:14" x14ac:dyDescent="0.25">
      <c r="A123" s="177"/>
      <c r="B123" s="178"/>
      <c r="C123" s="293"/>
      <c r="D123" s="348"/>
      <c r="E123" s="348"/>
      <c r="F123" s="348"/>
      <c r="G123" s="348"/>
      <c r="H123" s="348"/>
      <c r="I123" s="348"/>
      <c r="J123" s="348"/>
      <c r="K123" s="348"/>
      <c r="L123" s="348"/>
      <c r="M123" s="348"/>
      <c r="N123" s="187"/>
    </row>
    <row r="124" spans="1:14" x14ac:dyDescent="0.25">
      <c r="A124" s="177"/>
      <c r="B124" s="178"/>
      <c r="C124" s="293"/>
      <c r="D124" s="348"/>
      <c r="E124" s="348"/>
      <c r="F124" s="348"/>
      <c r="G124" s="348"/>
      <c r="H124" s="348"/>
      <c r="I124" s="348"/>
      <c r="J124" s="348"/>
      <c r="K124" s="348"/>
      <c r="L124" s="348"/>
      <c r="M124" s="348"/>
      <c r="N124" s="187"/>
    </row>
    <row r="125" spans="1:14" ht="13.8" thickBot="1" x14ac:dyDescent="0.3">
      <c r="A125" s="177"/>
      <c r="B125" s="178"/>
      <c r="C125" s="201" t="s">
        <v>407</v>
      </c>
      <c r="D125" s="367"/>
      <c r="E125" s="367"/>
      <c r="F125" s="367"/>
      <c r="G125" s="366">
        <f t="shared" ref="G125:L125" si="5">SUM(G117:G124)</f>
        <v>0</v>
      </c>
      <c r="H125" s="366">
        <f t="shared" si="5"/>
        <v>0</v>
      </c>
      <c r="I125" s="366">
        <f t="shared" si="5"/>
        <v>0</v>
      </c>
      <c r="J125" s="366">
        <f t="shared" si="5"/>
        <v>0</v>
      </c>
      <c r="K125" s="366">
        <f t="shared" si="5"/>
        <v>0</v>
      </c>
      <c r="L125" s="366">
        <f t="shared" si="5"/>
        <v>0</v>
      </c>
      <c r="N125" s="177"/>
    </row>
    <row r="126" spans="1:14" ht="13.8" hidden="1" thickBot="1" x14ac:dyDescent="0.3">
      <c r="A126" s="177"/>
      <c r="B126" s="178"/>
      <c r="C126" s="69" t="s">
        <v>158</v>
      </c>
      <c r="D126" s="173"/>
      <c r="E126" s="173"/>
      <c r="F126" s="173"/>
      <c r="G126" s="319"/>
      <c r="H126" s="319"/>
      <c r="I126" s="319"/>
      <c r="J126" s="319"/>
      <c r="K126" s="319"/>
      <c r="L126" s="319"/>
    </row>
    <row r="127" spans="1:14" ht="13.8" hidden="1" thickBot="1" x14ac:dyDescent="0.3">
      <c r="A127" s="177"/>
      <c r="B127" s="178"/>
      <c r="C127" s="196"/>
      <c r="D127" s="340"/>
      <c r="E127" s="340"/>
      <c r="F127" s="340"/>
      <c r="G127" s="340">
        <v>0</v>
      </c>
      <c r="H127" s="340">
        <v>0</v>
      </c>
      <c r="I127" s="340">
        <v>0</v>
      </c>
      <c r="J127" s="340">
        <v>0</v>
      </c>
      <c r="K127" s="340">
        <v>0</v>
      </c>
      <c r="L127" s="340">
        <v>0</v>
      </c>
    </row>
    <row r="128" spans="1:14" ht="13.8" hidden="1" thickBot="1" x14ac:dyDescent="0.3">
      <c r="A128" s="177"/>
      <c r="B128" s="178"/>
      <c r="C128" s="201" t="s">
        <v>338</v>
      </c>
      <c r="D128" s="173"/>
      <c r="E128" s="173"/>
      <c r="F128" s="173"/>
      <c r="G128" s="319">
        <f t="shared" ref="G128:L128" si="6">SUM(G127)</f>
        <v>0</v>
      </c>
      <c r="H128" s="319">
        <f t="shared" si="6"/>
        <v>0</v>
      </c>
      <c r="I128" s="319">
        <f t="shared" si="6"/>
        <v>0</v>
      </c>
      <c r="J128" s="319">
        <f t="shared" si="6"/>
        <v>0</v>
      </c>
      <c r="K128" s="319">
        <f t="shared" si="6"/>
        <v>0</v>
      </c>
      <c r="L128" s="319">
        <f t="shared" si="6"/>
        <v>0</v>
      </c>
    </row>
    <row r="129" spans="1:14" ht="13.8" hidden="1" thickBot="1" x14ac:dyDescent="0.3">
      <c r="A129" s="177"/>
      <c r="B129" s="178"/>
      <c r="C129" s="69" t="s">
        <v>132</v>
      </c>
      <c r="D129" s="173"/>
      <c r="E129" s="173"/>
      <c r="F129" s="173"/>
      <c r="G129" s="319"/>
      <c r="H129" s="319"/>
      <c r="I129" s="319"/>
      <c r="J129" s="319"/>
      <c r="K129" s="319"/>
      <c r="L129" s="319"/>
    </row>
    <row r="130" spans="1:14" ht="13.8" hidden="1" thickBot="1" x14ac:dyDescent="0.3">
      <c r="A130" s="177"/>
      <c r="B130" s="178"/>
      <c r="C130" s="196"/>
      <c r="D130" s="340"/>
      <c r="E130" s="340"/>
      <c r="F130" s="340"/>
      <c r="G130" s="340">
        <v>0</v>
      </c>
      <c r="H130" s="340">
        <v>0</v>
      </c>
      <c r="I130" s="340">
        <v>0</v>
      </c>
      <c r="J130" s="340">
        <v>0</v>
      </c>
      <c r="K130" s="340">
        <v>0</v>
      </c>
      <c r="L130" s="340">
        <v>0</v>
      </c>
    </row>
    <row r="131" spans="1:14" ht="13.8" hidden="1" thickBot="1" x14ac:dyDescent="0.3">
      <c r="A131" s="177"/>
      <c r="B131" s="178"/>
      <c r="C131" s="201" t="s">
        <v>339</v>
      </c>
      <c r="D131" s="173"/>
      <c r="E131" s="173"/>
      <c r="F131" s="173"/>
      <c r="G131" s="319">
        <f t="shared" ref="G131:L131" si="7">SUM(G130)</f>
        <v>0</v>
      </c>
      <c r="H131" s="319">
        <f t="shared" si="7"/>
        <v>0</v>
      </c>
      <c r="I131" s="319">
        <f t="shared" si="7"/>
        <v>0</v>
      </c>
      <c r="J131" s="319">
        <f t="shared" si="7"/>
        <v>0</v>
      </c>
      <c r="K131" s="319">
        <f t="shared" si="7"/>
        <v>0</v>
      </c>
      <c r="L131" s="319">
        <f t="shared" si="7"/>
        <v>0</v>
      </c>
    </row>
    <row r="132" spans="1:14" ht="18.75" customHeight="1" thickBot="1" x14ac:dyDescent="0.3">
      <c r="A132" s="177"/>
      <c r="B132" s="178"/>
      <c r="C132" s="312" t="s">
        <v>327</v>
      </c>
      <c r="D132" s="173"/>
      <c r="E132" s="173"/>
      <c r="F132" s="275"/>
      <c r="G132" s="374">
        <f t="shared" ref="G132:L132" si="8">+G66+G67+G68+G95+G107+G115+G125+G128+G131</f>
        <v>37302393</v>
      </c>
      <c r="H132" s="374">
        <f t="shared" si="8"/>
        <v>0</v>
      </c>
      <c r="I132" s="374">
        <f t="shared" si="8"/>
        <v>0</v>
      </c>
      <c r="J132" s="374">
        <f t="shared" si="8"/>
        <v>0</v>
      </c>
      <c r="K132" s="374">
        <f t="shared" si="8"/>
        <v>0</v>
      </c>
      <c r="L132" s="558">
        <f t="shared" si="8"/>
        <v>0</v>
      </c>
      <c r="N132" s="187"/>
    </row>
    <row r="133" spans="1:14" x14ac:dyDescent="0.25">
      <c r="A133" s="187"/>
      <c r="B133" s="186"/>
      <c r="C133" s="311"/>
      <c r="D133" s="173"/>
      <c r="E133" s="173"/>
      <c r="F133" s="173"/>
      <c r="G133" s="173"/>
      <c r="H133" s="173"/>
      <c r="I133" s="173"/>
      <c r="J133" s="173"/>
      <c r="K133" s="173"/>
      <c r="L133" s="173"/>
      <c r="N133" s="130"/>
    </row>
    <row r="134" spans="1:14" ht="18" customHeight="1" x14ac:dyDescent="0.25">
      <c r="A134" s="187"/>
      <c r="B134" s="138"/>
      <c r="C134" s="312" t="s">
        <v>329</v>
      </c>
      <c r="D134" s="173"/>
      <c r="E134" s="173"/>
      <c r="F134" s="173"/>
      <c r="G134" s="173"/>
      <c r="H134" s="173"/>
      <c r="I134" s="173"/>
      <c r="J134" s="36"/>
      <c r="K134" s="173"/>
      <c r="L134" s="173"/>
      <c r="N134" s="187"/>
    </row>
    <row r="135" spans="1:14" x14ac:dyDescent="0.25">
      <c r="A135" s="187"/>
      <c r="B135" s="138"/>
      <c r="C135" s="211" t="s">
        <v>331</v>
      </c>
      <c r="D135" s="183"/>
      <c r="E135" s="183"/>
      <c r="F135" s="348"/>
      <c r="G135" s="348"/>
      <c r="H135" s="319"/>
      <c r="I135" s="319"/>
      <c r="J135" s="319"/>
      <c r="K135" s="319"/>
      <c r="L135" s="319"/>
      <c r="N135" s="187"/>
    </row>
    <row r="136" spans="1:14" x14ac:dyDescent="0.25">
      <c r="A136" s="187"/>
      <c r="B136" s="138"/>
      <c r="C136" s="211" t="s">
        <v>332</v>
      </c>
      <c r="D136" s="183"/>
      <c r="E136" s="183"/>
      <c r="F136" s="348"/>
      <c r="G136" s="348"/>
      <c r="H136" s="319"/>
      <c r="I136" s="319"/>
      <c r="J136" s="319"/>
      <c r="K136" s="319"/>
      <c r="L136" s="319"/>
      <c r="N136" s="177"/>
    </row>
    <row r="137" spans="1:14" x14ac:dyDescent="0.25">
      <c r="A137" s="187"/>
      <c r="B137" s="138"/>
      <c r="C137" s="211" t="s">
        <v>277</v>
      </c>
      <c r="D137" s="183"/>
      <c r="E137" s="183"/>
      <c r="F137" s="348"/>
      <c r="G137" s="348"/>
      <c r="H137" s="319"/>
      <c r="I137" s="319"/>
      <c r="J137" s="319"/>
      <c r="K137" s="319"/>
      <c r="L137" s="319"/>
      <c r="N137" s="187"/>
    </row>
    <row r="138" spans="1:14" x14ac:dyDescent="0.25">
      <c r="A138" s="187"/>
      <c r="B138" s="138"/>
      <c r="C138" s="211" t="s">
        <v>289</v>
      </c>
      <c r="D138" s="183" t="s">
        <v>572</v>
      </c>
      <c r="E138" s="183">
        <v>4</v>
      </c>
      <c r="F138" s="348">
        <v>1000000</v>
      </c>
      <c r="G138" s="348">
        <f t="shared" ref="G138:G144" si="9">E138*F138</f>
        <v>4000000</v>
      </c>
      <c r="H138" s="319"/>
      <c r="I138" s="319"/>
      <c r="J138" s="319"/>
      <c r="K138" s="319"/>
      <c r="L138" s="319"/>
      <c r="N138" s="187"/>
    </row>
    <row r="139" spans="1:14" x14ac:dyDescent="0.25">
      <c r="A139" s="187"/>
      <c r="B139" s="138"/>
      <c r="C139" s="211" t="s">
        <v>426</v>
      </c>
      <c r="D139" s="183"/>
      <c r="E139" s="183"/>
      <c r="F139" s="348"/>
      <c r="G139" s="348"/>
      <c r="H139" s="319"/>
      <c r="I139" s="319"/>
      <c r="J139" s="319"/>
      <c r="K139" s="319"/>
      <c r="L139" s="319"/>
      <c r="N139" s="187"/>
    </row>
    <row r="140" spans="1:14" x14ac:dyDescent="0.25">
      <c r="A140" s="187"/>
      <c r="B140" s="138"/>
      <c r="C140" s="211" t="s">
        <v>428</v>
      </c>
      <c r="D140" s="183" t="s">
        <v>572</v>
      </c>
      <c r="E140" s="183">
        <v>4</v>
      </c>
      <c r="F140" s="348">
        <f>+('Gastos Generales Admon y Ventas'!G31/12)</f>
        <v>2286141</v>
      </c>
      <c r="G140" s="348">
        <f>E140*F140</f>
        <v>9144564</v>
      </c>
      <c r="H140" s="319"/>
      <c r="I140" s="319"/>
      <c r="J140" s="319"/>
      <c r="K140" s="319"/>
      <c r="L140" s="319"/>
      <c r="N140" s="130"/>
    </row>
    <row r="141" spans="1:14" x14ac:dyDescent="0.25">
      <c r="A141" s="187"/>
      <c r="B141" s="138"/>
      <c r="C141" s="211" t="s">
        <v>427</v>
      </c>
      <c r="D141" s="183" t="s">
        <v>572</v>
      </c>
      <c r="E141" s="183">
        <v>4</v>
      </c>
      <c r="F141" s="348">
        <f>+('Gastos Generales Admon y Ventas'!G46/12)</f>
        <v>3212000</v>
      </c>
      <c r="G141" s="348">
        <f>E141*F141</f>
        <v>12848000</v>
      </c>
      <c r="H141" s="319"/>
      <c r="I141" s="319"/>
      <c r="J141" s="319"/>
      <c r="K141" s="319"/>
      <c r="L141" s="319"/>
      <c r="N141" s="187"/>
    </row>
    <row r="142" spans="1:14" x14ac:dyDescent="0.25">
      <c r="A142" s="187"/>
      <c r="B142" s="138"/>
      <c r="C142" s="211" t="s">
        <v>334</v>
      </c>
      <c r="D142" s="183" t="s">
        <v>572</v>
      </c>
      <c r="E142" s="183">
        <v>4</v>
      </c>
      <c r="F142" s="348">
        <v>300000</v>
      </c>
      <c r="G142" s="348">
        <f t="shared" si="9"/>
        <v>1200000</v>
      </c>
      <c r="H142" s="319"/>
      <c r="I142" s="319"/>
      <c r="J142" s="319"/>
      <c r="K142" s="319"/>
      <c r="L142" s="319"/>
      <c r="N142" s="187"/>
    </row>
    <row r="143" spans="1:14" x14ac:dyDescent="0.25">
      <c r="A143" s="187"/>
      <c r="B143" s="138"/>
      <c r="C143" s="211" t="s">
        <v>330</v>
      </c>
      <c r="D143" s="183" t="s">
        <v>572</v>
      </c>
      <c r="E143" s="183">
        <v>4</v>
      </c>
      <c r="F143" s="348">
        <v>100000</v>
      </c>
      <c r="G143" s="348">
        <f t="shared" si="9"/>
        <v>400000</v>
      </c>
      <c r="H143" s="319"/>
      <c r="I143" s="319"/>
      <c r="J143" s="319"/>
      <c r="K143" s="319"/>
      <c r="L143" s="319"/>
      <c r="N143" s="177"/>
    </row>
    <row r="144" spans="1:14" x14ac:dyDescent="0.25">
      <c r="A144" s="187"/>
      <c r="B144" s="138"/>
      <c r="C144" s="211" t="s">
        <v>312</v>
      </c>
      <c r="D144" s="183" t="s">
        <v>572</v>
      </c>
      <c r="E144" s="183">
        <v>1</v>
      </c>
      <c r="F144" s="348">
        <v>200000</v>
      </c>
      <c r="G144" s="348">
        <f t="shared" si="9"/>
        <v>200000</v>
      </c>
      <c r="H144" s="319"/>
      <c r="I144" s="319"/>
      <c r="J144" s="319"/>
      <c r="K144" s="319"/>
      <c r="L144" s="319"/>
      <c r="N144" s="187"/>
    </row>
    <row r="145" spans="1:14" x14ac:dyDescent="0.25">
      <c r="A145" s="187"/>
      <c r="B145" s="138"/>
      <c r="C145" s="211" t="s">
        <v>333</v>
      </c>
      <c r="D145" s="183"/>
      <c r="E145" s="183"/>
      <c r="F145" s="348"/>
      <c r="G145" s="348"/>
      <c r="H145" s="319"/>
      <c r="I145" s="319"/>
      <c r="J145" s="319"/>
      <c r="K145" s="319"/>
      <c r="L145" s="319"/>
      <c r="N145" s="187"/>
    </row>
    <row r="146" spans="1:14" x14ac:dyDescent="0.25">
      <c r="A146" s="187"/>
      <c r="B146" s="138"/>
      <c r="C146" s="211" t="s">
        <v>335</v>
      </c>
      <c r="D146" s="183"/>
      <c r="E146" s="183"/>
      <c r="F146" s="348"/>
      <c r="G146" s="348"/>
      <c r="H146" s="319"/>
      <c r="I146" s="319"/>
      <c r="J146" s="319"/>
      <c r="K146" s="319"/>
      <c r="L146" s="319"/>
      <c r="N146" s="187"/>
    </row>
    <row r="147" spans="1:14" x14ac:dyDescent="0.25">
      <c r="A147" s="187"/>
      <c r="B147" s="138"/>
      <c r="C147" s="211" t="s">
        <v>345</v>
      </c>
      <c r="D147" s="183" t="s">
        <v>572</v>
      </c>
      <c r="E147" s="183">
        <v>3</v>
      </c>
      <c r="F147" s="348">
        <f>+('Gastos Generales Admon y Ventas'!F68/3)+('Gastos Generales Admon y Ventas'!F69/3)+'Gastos Generales Admon y Ventas'!F79+'Gastos Generales Admon y Ventas'!F80</f>
        <v>3666666.6666666665</v>
      </c>
      <c r="G147" s="348">
        <f>E147*F147</f>
        <v>11000000</v>
      </c>
      <c r="H147" s="319"/>
      <c r="I147" s="319"/>
      <c r="J147" s="319"/>
      <c r="K147" s="319"/>
      <c r="L147" s="319"/>
      <c r="N147" s="130"/>
    </row>
    <row r="148" spans="1:14" x14ac:dyDescent="0.25">
      <c r="A148" s="187"/>
      <c r="B148" s="138"/>
      <c r="C148" s="211" t="s">
        <v>336</v>
      </c>
      <c r="D148" s="183"/>
      <c r="E148" s="183"/>
      <c r="F148" s="348"/>
      <c r="G148" s="348"/>
      <c r="H148" s="319"/>
      <c r="I148" s="319"/>
      <c r="J148" s="319"/>
      <c r="K148" s="319"/>
      <c r="L148" s="319"/>
      <c r="N148" s="187"/>
    </row>
    <row r="149" spans="1:14" x14ac:dyDescent="0.25">
      <c r="A149" s="187"/>
      <c r="B149" s="138"/>
      <c r="C149" s="201" t="s">
        <v>348</v>
      </c>
      <c r="D149" s="220"/>
      <c r="E149" s="220"/>
      <c r="F149" s="220"/>
      <c r="G149" s="220"/>
      <c r="H149" s="319"/>
      <c r="I149" s="319"/>
      <c r="J149" s="319"/>
      <c r="K149" s="319"/>
      <c r="L149" s="319"/>
      <c r="N149" s="187"/>
    </row>
    <row r="150" spans="1:14" x14ac:dyDescent="0.25">
      <c r="A150" s="187"/>
      <c r="B150" s="138"/>
      <c r="C150" s="293" t="s">
        <v>576</v>
      </c>
      <c r="D150" s="348" t="s">
        <v>574</v>
      </c>
      <c r="E150" s="348">
        <v>1524</v>
      </c>
      <c r="F150" s="348">
        <v>0</v>
      </c>
      <c r="G150" s="348">
        <f>+F150*E150</f>
        <v>0</v>
      </c>
      <c r="H150" s="319"/>
      <c r="I150" s="319"/>
      <c r="J150" s="319"/>
      <c r="K150" s="319"/>
      <c r="L150" s="319"/>
      <c r="N150" s="177"/>
    </row>
    <row r="151" spans="1:14" x14ac:dyDescent="0.25">
      <c r="A151" s="187"/>
      <c r="B151" s="138"/>
      <c r="C151" s="293"/>
      <c r="D151" s="348"/>
      <c r="E151" s="348"/>
      <c r="F151" s="348"/>
      <c r="G151" s="348"/>
      <c r="H151" s="319"/>
      <c r="I151" s="319"/>
      <c r="J151" s="319"/>
      <c r="K151" s="319"/>
      <c r="L151" s="319"/>
      <c r="N151" s="177"/>
    </row>
    <row r="152" spans="1:14" x14ac:dyDescent="0.25">
      <c r="A152" s="187"/>
      <c r="B152" s="138"/>
      <c r="C152" s="293"/>
      <c r="D152" s="348"/>
      <c r="E152" s="348"/>
      <c r="F152" s="348"/>
      <c r="G152" s="348"/>
      <c r="H152" s="319"/>
      <c r="I152" s="319"/>
      <c r="J152" s="319"/>
      <c r="K152" s="319"/>
      <c r="L152" s="319"/>
      <c r="N152" s="187"/>
    </row>
    <row r="153" spans="1:14" x14ac:dyDescent="0.25">
      <c r="A153" s="187"/>
      <c r="B153" s="138"/>
      <c r="C153" s="293"/>
      <c r="D153" s="348"/>
      <c r="E153" s="348"/>
      <c r="F153" s="348"/>
      <c r="G153" s="348"/>
      <c r="H153" s="319"/>
      <c r="I153" s="319"/>
      <c r="J153" s="319"/>
      <c r="K153" s="319"/>
      <c r="L153" s="319"/>
      <c r="N153" s="177"/>
    </row>
    <row r="154" spans="1:14" x14ac:dyDescent="0.25">
      <c r="A154" s="187"/>
      <c r="B154" s="138"/>
      <c r="C154" s="293"/>
      <c r="D154" s="348"/>
      <c r="E154" s="348"/>
      <c r="F154" s="348"/>
      <c r="G154" s="348"/>
      <c r="H154" s="319"/>
      <c r="I154" s="319"/>
      <c r="J154" s="319"/>
      <c r="K154" s="319"/>
      <c r="L154" s="319"/>
      <c r="N154" s="187"/>
    </row>
    <row r="155" spans="1:14" x14ac:dyDescent="0.25">
      <c r="A155" s="187"/>
      <c r="B155" s="138"/>
      <c r="C155" s="293"/>
      <c r="D155" s="348"/>
      <c r="E155" s="348"/>
      <c r="F155" s="348"/>
      <c r="G155" s="348"/>
      <c r="H155" s="319"/>
      <c r="I155" s="319"/>
      <c r="J155" s="319"/>
      <c r="K155" s="319"/>
      <c r="L155" s="319"/>
      <c r="N155" s="187"/>
    </row>
    <row r="156" spans="1:14" x14ac:dyDescent="0.25">
      <c r="A156" s="187"/>
      <c r="B156" s="138"/>
      <c r="C156" s="293"/>
      <c r="D156" s="348"/>
      <c r="E156" s="348"/>
      <c r="F156" s="348"/>
      <c r="G156" s="348"/>
      <c r="H156" s="319"/>
      <c r="I156" s="319"/>
      <c r="J156" s="319"/>
      <c r="K156" s="319"/>
      <c r="L156" s="319"/>
      <c r="N156" s="187"/>
    </row>
    <row r="157" spans="1:14" x14ac:dyDescent="0.25">
      <c r="A157" s="187"/>
      <c r="B157" s="138"/>
      <c r="C157" s="293"/>
      <c r="D157" s="348"/>
      <c r="E157" s="348"/>
      <c r="F157" s="348"/>
      <c r="G157" s="348"/>
      <c r="H157" s="319"/>
      <c r="I157" s="319"/>
      <c r="J157" s="319"/>
      <c r="K157" s="319"/>
      <c r="L157" s="319"/>
      <c r="N157" s="130"/>
    </row>
    <row r="158" spans="1:14" x14ac:dyDescent="0.25">
      <c r="A158" s="187"/>
      <c r="B158" s="138"/>
      <c r="C158" s="293"/>
      <c r="D158" s="348"/>
      <c r="E158" s="348"/>
      <c r="F158" s="348"/>
      <c r="G158" s="348"/>
      <c r="H158" s="319"/>
      <c r="I158" s="319"/>
      <c r="J158" s="319"/>
      <c r="K158" s="319"/>
      <c r="L158" s="319"/>
      <c r="N158" s="187"/>
    </row>
    <row r="159" spans="1:14" x14ac:dyDescent="0.25">
      <c r="A159" s="187"/>
      <c r="B159" s="138"/>
      <c r="C159" s="211" t="s">
        <v>349</v>
      </c>
      <c r="D159" s="220"/>
      <c r="E159" s="220"/>
      <c r="F159" s="220"/>
      <c r="G159" s="361">
        <f>SUM(G150:G158)</f>
        <v>0</v>
      </c>
      <c r="H159" s="319"/>
      <c r="I159" s="319"/>
      <c r="J159" s="319"/>
      <c r="K159" s="319"/>
      <c r="L159" s="319"/>
      <c r="N159" s="187"/>
    </row>
    <row r="160" spans="1:14" x14ac:dyDescent="0.25">
      <c r="A160" s="187"/>
      <c r="B160" s="138"/>
      <c r="C160" s="201" t="s">
        <v>379</v>
      </c>
      <c r="D160" s="220"/>
      <c r="E160" s="220"/>
      <c r="F160" s="220"/>
      <c r="G160" s="220"/>
      <c r="H160" s="319"/>
      <c r="I160" s="319"/>
      <c r="J160" s="319"/>
      <c r="K160" s="319"/>
      <c r="L160" s="319"/>
      <c r="N160" s="177"/>
    </row>
    <row r="161" spans="1:14" x14ac:dyDescent="0.25">
      <c r="A161" s="187"/>
      <c r="B161" s="138"/>
      <c r="C161" s="293"/>
      <c r="D161" s="348"/>
      <c r="E161" s="348"/>
      <c r="F161" s="375"/>
      <c r="G161" s="348"/>
      <c r="H161" s="319"/>
      <c r="I161" s="319"/>
      <c r="J161" s="319"/>
      <c r="K161" s="319"/>
      <c r="L161" s="319"/>
      <c r="N161" s="187"/>
    </row>
    <row r="162" spans="1:14" x14ac:dyDescent="0.25">
      <c r="A162" s="187"/>
      <c r="B162" s="138"/>
      <c r="C162" s="293"/>
      <c r="D162" s="348"/>
      <c r="E162" s="348"/>
      <c r="F162" s="375"/>
      <c r="G162" s="348"/>
      <c r="H162" s="319"/>
      <c r="I162" s="319"/>
      <c r="J162" s="319"/>
      <c r="K162" s="319"/>
      <c r="L162" s="319"/>
      <c r="N162" s="187"/>
    </row>
    <row r="163" spans="1:14" x14ac:dyDescent="0.25">
      <c r="A163" s="187"/>
      <c r="B163" s="138"/>
      <c r="C163" s="293"/>
      <c r="D163" s="348"/>
      <c r="E163" s="348"/>
      <c r="F163" s="375"/>
      <c r="G163" s="348"/>
      <c r="H163" s="319"/>
      <c r="I163" s="319"/>
      <c r="J163" s="319"/>
      <c r="K163" s="319"/>
      <c r="L163" s="319"/>
      <c r="N163" s="187"/>
    </row>
    <row r="164" spans="1:14" x14ac:dyDescent="0.25">
      <c r="A164" s="187"/>
      <c r="B164" s="138"/>
      <c r="C164" s="293"/>
      <c r="D164" s="348"/>
      <c r="E164" s="348"/>
      <c r="F164" s="375"/>
      <c r="G164" s="348"/>
      <c r="H164" s="319"/>
      <c r="I164" s="319"/>
      <c r="J164" s="319"/>
      <c r="K164" s="319"/>
      <c r="L164" s="319"/>
      <c r="N164" s="130"/>
    </row>
    <row r="165" spans="1:14" x14ac:dyDescent="0.25">
      <c r="A165" s="187"/>
      <c r="B165" s="138"/>
      <c r="C165" s="293"/>
      <c r="D165" s="348"/>
      <c r="E165" s="348"/>
      <c r="F165" s="375"/>
      <c r="G165" s="348"/>
      <c r="H165" s="319"/>
      <c r="I165" s="319"/>
      <c r="J165" s="319"/>
      <c r="K165" s="319"/>
      <c r="L165" s="319"/>
      <c r="N165" s="187"/>
    </row>
    <row r="166" spans="1:14" ht="13.8" thickBot="1" x14ac:dyDescent="0.3">
      <c r="A166" s="187"/>
      <c r="B166" s="138"/>
      <c r="C166" s="211" t="s">
        <v>347</v>
      </c>
      <c r="D166" s="220"/>
      <c r="E166" s="220"/>
      <c r="F166" s="320"/>
      <c r="G166" s="361">
        <f>SUM(G161:G165)</f>
        <v>0</v>
      </c>
      <c r="H166" s="319"/>
      <c r="I166" s="319"/>
      <c r="J166" s="319"/>
      <c r="K166" s="319"/>
      <c r="L166" s="319"/>
      <c r="N166" s="187"/>
    </row>
    <row r="167" spans="1:14" ht="18.75" customHeight="1" thickBot="1" x14ac:dyDescent="0.3">
      <c r="A167" s="187"/>
      <c r="B167" s="138"/>
      <c r="C167" s="312" t="s">
        <v>279</v>
      </c>
      <c r="D167" s="367"/>
      <c r="E167" s="367"/>
      <c r="F167" s="376"/>
      <c r="G167" s="377">
        <f t="shared" ref="G167:L167" si="10">+G135+G136+G137+G138+G139+G140+G141+G142+G143+G144+G145+G146+G147+G148+G159+G166</f>
        <v>38792564</v>
      </c>
      <c r="H167" s="378">
        <f t="shared" si="10"/>
        <v>0</v>
      </c>
      <c r="I167" s="378">
        <f t="shared" si="10"/>
        <v>0</v>
      </c>
      <c r="J167" s="378">
        <f t="shared" si="10"/>
        <v>0</v>
      </c>
      <c r="K167" s="378">
        <f t="shared" si="10"/>
        <v>0</v>
      </c>
      <c r="L167" s="378">
        <f t="shared" si="10"/>
        <v>0</v>
      </c>
      <c r="N167" s="177"/>
    </row>
    <row r="168" spans="1:14" ht="0.75" customHeight="1" x14ac:dyDescent="0.25">
      <c r="A168" s="187"/>
      <c r="B168" s="138"/>
      <c r="C168" s="176" t="s">
        <v>193</v>
      </c>
      <c r="D168" s="173"/>
      <c r="E168" s="198"/>
      <c r="F168" s="198"/>
      <c r="G168" s="36"/>
      <c r="H168" s="341">
        <f>G167-H167</f>
        <v>38792564</v>
      </c>
      <c r="I168" s="341">
        <f>H167-I167</f>
        <v>0</v>
      </c>
      <c r="J168" s="341">
        <f>I167-J167</f>
        <v>0</v>
      </c>
      <c r="K168" s="341">
        <f>J167-K167</f>
        <v>0</v>
      </c>
      <c r="L168" s="341">
        <f>K167-L167</f>
        <v>0</v>
      </c>
      <c r="N168" s="177"/>
    </row>
    <row r="169" spans="1:14" x14ac:dyDescent="0.25">
      <c r="A169" s="187"/>
      <c r="B169" s="186"/>
      <c r="C169" s="311"/>
      <c r="D169" s="198"/>
      <c r="E169" s="198"/>
      <c r="F169" s="198"/>
      <c r="G169" s="36"/>
      <c r="H169" s="258"/>
      <c r="I169" s="258"/>
      <c r="J169" s="258"/>
      <c r="K169" s="258"/>
      <c r="L169" s="258"/>
      <c r="N169" s="177"/>
    </row>
    <row r="170" spans="1:14" x14ac:dyDescent="0.25">
      <c r="A170" s="187"/>
      <c r="B170" s="138"/>
      <c r="C170" s="201" t="s">
        <v>177</v>
      </c>
      <c r="D170" s="173"/>
      <c r="E170" s="173"/>
      <c r="F170" s="173"/>
      <c r="G170" s="36"/>
      <c r="H170" s="36"/>
      <c r="I170" s="36"/>
      <c r="J170" s="36"/>
      <c r="K170" s="36"/>
      <c r="L170" s="36"/>
      <c r="N170" s="187"/>
    </row>
    <row r="171" spans="1:14" x14ac:dyDescent="0.25">
      <c r="A171" s="187"/>
      <c r="B171" s="186"/>
      <c r="C171" s="211" t="s">
        <v>177</v>
      </c>
      <c r="D171" s="367"/>
      <c r="E171" s="367"/>
      <c r="F171" s="367"/>
      <c r="G171" s="361"/>
      <c r="H171" s="348"/>
      <c r="I171" s="348"/>
      <c r="J171" s="348"/>
      <c r="K171" s="348"/>
      <c r="L171" s="348"/>
      <c r="N171" s="187"/>
    </row>
    <row r="172" spans="1:14" hidden="1" x14ac:dyDescent="0.25">
      <c r="A172" s="187"/>
      <c r="B172" s="186"/>
      <c r="C172" s="197" t="s">
        <v>178</v>
      </c>
      <c r="D172" s="173"/>
      <c r="E172" s="173"/>
      <c r="F172" s="173"/>
      <c r="G172" s="173"/>
      <c r="H172" s="189">
        <f>H171-G171</f>
        <v>0</v>
      </c>
      <c r="I172" s="189">
        <f>I171-H171</f>
        <v>0</v>
      </c>
      <c r="J172" s="189">
        <f>J171-I171</f>
        <v>0</v>
      </c>
      <c r="K172" s="189">
        <f>K171-J171</f>
        <v>0</v>
      </c>
      <c r="L172" s="189">
        <f>L171-K171</f>
        <v>0</v>
      </c>
      <c r="N172" s="187"/>
    </row>
    <row r="173" spans="1:14" ht="13.8" thickBot="1" x14ac:dyDescent="0.3">
      <c r="A173" s="187"/>
      <c r="B173" s="142"/>
      <c r="C173" s="203"/>
      <c r="D173" s="204"/>
      <c r="E173" s="204"/>
      <c r="F173" s="204"/>
      <c r="G173" s="144"/>
      <c r="H173" s="144"/>
      <c r="I173" s="144"/>
      <c r="J173" s="144"/>
      <c r="K173" s="144"/>
      <c r="L173" s="144"/>
      <c r="M173" s="309"/>
      <c r="N173" s="130"/>
    </row>
    <row r="174" spans="1:14" x14ac:dyDescent="0.25">
      <c r="A174" s="129"/>
      <c r="B174" s="129"/>
      <c r="C174" s="205"/>
      <c r="D174" s="206"/>
      <c r="E174" s="206"/>
      <c r="F174" s="206"/>
      <c r="G174" s="130"/>
      <c r="H174" s="130"/>
      <c r="I174" s="130"/>
      <c r="J174" s="130"/>
      <c r="K174" s="130"/>
      <c r="L174" s="130"/>
      <c r="M174" s="130"/>
      <c r="N174" s="187"/>
    </row>
    <row r="175" spans="1:14" hidden="1" x14ac:dyDescent="0.25">
      <c r="A175" s="129"/>
      <c r="B175" s="34"/>
      <c r="C175" s="207"/>
      <c r="D175" s="208"/>
      <c r="E175" s="208"/>
      <c r="F175" s="208"/>
      <c r="G175" s="36"/>
      <c r="H175" s="36"/>
      <c r="I175" s="36"/>
      <c r="J175" s="36"/>
      <c r="K175" s="36"/>
      <c r="L175" s="36"/>
      <c r="N175" s="187"/>
    </row>
    <row r="176" spans="1:14" hidden="1" x14ac:dyDescent="0.25">
      <c r="A176" s="34"/>
      <c r="B176" s="34"/>
      <c r="C176" s="207"/>
      <c r="D176" s="208"/>
      <c r="E176" s="208"/>
      <c r="F176" s="208"/>
      <c r="G176" s="36"/>
      <c r="H176" s="36"/>
      <c r="I176" s="36"/>
      <c r="J176" s="36"/>
      <c r="K176" s="36"/>
      <c r="L176" s="36"/>
      <c r="N176" s="177"/>
    </row>
    <row r="177" spans="1:12" hidden="1" x14ac:dyDescent="0.25">
      <c r="A177" s="34"/>
      <c r="B177" s="34"/>
      <c r="C177" s="207"/>
      <c r="D177" s="208"/>
      <c r="E177" s="208"/>
      <c r="F177" s="208"/>
      <c r="G177" s="36"/>
      <c r="H177" s="36"/>
      <c r="I177" s="36"/>
      <c r="J177" s="36"/>
      <c r="K177" s="36"/>
      <c r="L177" s="36"/>
    </row>
    <row r="178" spans="1:12" hidden="1" x14ac:dyDescent="0.25">
      <c r="A178" s="34"/>
      <c r="B178" s="34"/>
      <c r="C178" s="207"/>
      <c r="D178" s="208"/>
      <c r="E178" s="208"/>
      <c r="F178" s="208"/>
      <c r="G178" s="36"/>
      <c r="H178" s="36"/>
      <c r="I178" s="36"/>
      <c r="J178" s="36"/>
      <c r="K178" s="36"/>
      <c r="L178" s="36"/>
    </row>
    <row r="179" spans="1:12" hidden="1" x14ac:dyDescent="0.25">
      <c r="A179" s="34"/>
      <c r="B179" s="34"/>
      <c r="C179" s="207"/>
      <c r="D179" s="208"/>
      <c r="E179" s="208"/>
      <c r="F179" s="208"/>
      <c r="G179" s="36"/>
      <c r="H179" s="36"/>
      <c r="I179" s="36"/>
      <c r="J179" s="36"/>
      <c r="K179" s="36"/>
      <c r="L179" s="36"/>
    </row>
    <row r="180" spans="1:12" hidden="1" x14ac:dyDescent="0.25">
      <c r="A180" s="34"/>
      <c r="B180" s="34"/>
      <c r="C180" s="207"/>
      <c r="D180" s="208"/>
      <c r="E180" s="208"/>
      <c r="F180" s="208"/>
      <c r="G180" s="36"/>
      <c r="H180" s="36"/>
      <c r="I180" s="36"/>
      <c r="J180" s="36"/>
      <c r="K180" s="36"/>
      <c r="L180" s="36"/>
    </row>
    <row r="181" spans="1:12" hidden="1" x14ac:dyDescent="0.25">
      <c r="A181" s="34"/>
      <c r="B181" s="34"/>
      <c r="C181" s="207"/>
      <c r="D181" s="208"/>
      <c r="E181" s="208"/>
      <c r="F181" s="208"/>
      <c r="G181" s="36"/>
      <c r="H181" s="36"/>
      <c r="I181" s="36"/>
      <c r="J181" s="36"/>
      <c r="K181" s="36"/>
      <c r="L181" s="36"/>
    </row>
    <row r="182" spans="1:12" hidden="1" x14ac:dyDescent="0.25">
      <c r="A182" s="34"/>
      <c r="B182" s="34"/>
      <c r="C182" s="207"/>
      <c r="D182" s="208"/>
      <c r="E182" s="208"/>
      <c r="F182" s="208"/>
      <c r="G182" s="36"/>
      <c r="H182" s="36"/>
      <c r="I182" s="36"/>
      <c r="J182" s="36"/>
      <c r="K182" s="36"/>
      <c r="L182" s="36"/>
    </row>
    <row r="183" spans="1:12" hidden="1" x14ac:dyDescent="0.25">
      <c r="A183" s="34"/>
      <c r="B183" s="34"/>
      <c r="C183" s="207"/>
      <c r="D183" s="208"/>
      <c r="E183" s="208"/>
      <c r="F183" s="208"/>
      <c r="G183" s="36"/>
      <c r="H183" s="36"/>
      <c r="I183" s="36"/>
      <c r="J183" s="36"/>
      <c r="K183" s="36"/>
      <c r="L183" s="36"/>
    </row>
    <row r="184" spans="1:12" hidden="1" x14ac:dyDescent="0.25">
      <c r="A184" s="34"/>
      <c r="B184" s="34"/>
      <c r="C184" s="207"/>
      <c r="D184" s="208"/>
      <c r="E184" s="208"/>
      <c r="F184" s="208"/>
      <c r="G184" s="36"/>
      <c r="H184" s="36"/>
      <c r="I184" s="36"/>
      <c r="J184" s="36"/>
      <c r="K184" s="36"/>
      <c r="L184" s="36"/>
    </row>
    <row r="185" spans="1:12" hidden="1" x14ac:dyDescent="0.25">
      <c r="A185" s="34"/>
      <c r="B185" s="34"/>
      <c r="C185" s="207"/>
      <c r="D185" s="208"/>
      <c r="E185" s="208"/>
      <c r="F185" s="208"/>
      <c r="G185" s="36"/>
      <c r="H185" s="36"/>
      <c r="I185" s="36"/>
      <c r="J185" s="36"/>
      <c r="K185" s="36"/>
      <c r="L185" s="36"/>
    </row>
    <row r="186" spans="1:12" hidden="1" x14ac:dyDescent="0.25">
      <c r="A186" s="34"/>
      <c r="B186" s="34"/>
      <c r="C186" s="207"/>
      <c r="D186" s="208"/>
      <c r="E186" s="208"/>
      <c r="F186" s="208"/>
      <c r="G186" s="36"/>
      <c r="H186" s="36"/>
      <c r="I186" s="36"/>
      <c r="J186" s="36"/>
      <c r="K186" s="36"/>
      <c r="L186" s="36"/>
    </row>
    <row r="187" spans="1:12" hidden="1" x14ac:dyDescent="0.25">
      <c r="A187" s="34"/>
      <c r="B187" s="34"/>
      <c r="C187" s="207"/>
      <c r="D187" s="208"/>
      <c r="E187" s="208"/>
      <c r="F187" s="208"/>
      <c r="G187" s="36"/>
      <c r="H187" s="36"/>
      <c r="I187" s="36"/>
      <c r="J187" s="36"/>
      <c r="K187" s="36"/>
      <c r="L187" s="36"/>
    </row>
    <row r="188" spans="1:12" hidden="1" x14ac:dyDescent="0.25">
      <c r="A188" s="34"/>
      <c r="B188" s="34"/>
      <c r="C188" s="207"/>
      <c r="D188" s="208"/>
      <c r="E188" s="208"/>
      <c r="F188" s="208"/>
      <c r="G188" s="36"/>
      <c r="H188" s="36"/>
      <c r="I188" s="36"/>
      <c r="J188" s="36"/>
      <c r="K188" s="36"/>
      <c r="L188" s="36"/>
    </row>
    <row r="189" spans="1:12" hidden="1" x14ac:dyDescent="0.25">
      <c r="A189" s="34"/>
      <c r="B189" s="34"/>
      <c r="C189" s="207"/>
      <c r="D189" s="208"/>
      <c r="E189" s="208"/>
      <c r="F189" s="208"/>
      <c r="G189" s="36"/>
      <c r="H189" s="36"/>
      <c r="I189" s="36"/>
      <c r="J189" s="36"/>
      <c r="K189" s="36"/>
      <c r="L189" s="36"/>
    </row>
    <row r="190" spans="1:12" hidden="1" x14ac:dyDescent="0.25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</row>
    <row r="191" spans="1:12" hidden="1" x14ac:dyDescent="0.25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</row>
    <row r="192" spans="1:12" hidden="1" x14ac:dyDescent="0.25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</row>
    <row r="193" spans="1:12" hidden="1" x14ac:dyDescent="0.25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</row>
    <row r="194" spans="1:12" hidden="1" x14ac:dyDescent="0.25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</row>
    <row r="195" spans="1:12" hidden="1" x14ac:dyDescent="0.25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</row>
    <row r="196" spans="1:12" hidden="1" x14ac:dyDescent="0.25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</row>
    <row r="197" spans="1:12" hidden="1" x14ac:dyDescent="0.25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</row>
    <row r="198" spans="1:12" hidden="1" x14ac:dyDescent="0.25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</row>
    <row r="199" spans="1:12" hidden="1" x14ac:dyDescent="0.25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</row>
    <row r="200" spans="1:12" hidden="1" x14ac:dyDescent="0.25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</row>
    <row r="201" spans="1:12" hidden="1" x14ac:dyDescent="0.25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</row>
    <row r="202" spans="1:12" hidden="1" x14ac:dyDescent="0.25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</row>
    <row r="203" spans="1:12" hidden="1" x14ac:dyDescent="0.25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</row>
    <row r="204" spans="1:12" hidden="1" x14ac:dyDescent="0.25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</row>
    <row r="205" spans="1:12" hidden="1" x14ac:dyDescent="0.25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</row>
    <row r="206" spans="1:12" hidden="1" x14ac:dyDescent="0.25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</row>
    <row r="207" spans="1:12" hidden="1" x14ac:dyDescent="0.25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</row>
    <row r="208" spans="1:12" hidden="1" x14ac:dyDescent="0.25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</row>
    <row r="209" spans="1:12" hidden="1" x14ac:dyDescent="0.25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</row>
    <row r="210" spans="1:12" hidden="1" x14ac:dyDescent="0.25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</row>
    <row r="211" spans="1:12" hidden="1" x14ac:dyDescent="0.25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</row>
    <row r="212" spans="1:12" hidden="1" x14ac:dyDescent="0.25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</row>
    <row r="213" spans="1:12" hidden="1" x14ac:dyDescent="0.25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</row>
    <row r="214" spans="1:12" hidden="1" x14ac:dyDescent="0.25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</row>
    <row r="215" spans="1:12" hidden="1" x14ac:dyDescent="0.25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</row>
    <row r="216" spans="1:12" hidden="1" x14ac:dyDescent="0.25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</row>
    <row r="217" spans="1:12" hidden="1" x14ac:dyDescent="0.25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</row>
    <row r="218" spans="1:12" hidden="1" x14ac:dyDescent="0.25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</row>
    <row r="219" spans="1:12" hidden="1" x14ac:dyDescent="0.25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</row>
    <row r="220" spans="1:12" hidden="1" x14ac:dyDescent="0.25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</row>
    <row r="221" spans="1:12" hidden="1" x14ac:dyDescent="0.25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</row>
    <row r="222" spans="1:12" hidden="1" x14ac:dyDescent="0.25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</row>
    <row r="223" spans="1:12" hidden="1" x14ac:dyDescent="0.25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</row>
    <row r="224" spans="1:12" hidden="1" x14ac:dyDescent="0.25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</row>
    <row r="225" spans="1:12" hidden="1" x14ac:dyDescent="0.25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</row>
    <row r="226" spans="1:12" hidden="1" x14ac:dyDescent="0.25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</row>
    <row r="227" spans="1:12" hidden="1" x14ac:dyDescent="0.25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</row>
    <row r="228" spans="1:12" hidden="1" x14ac:dyDescent="0.25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</row>
    <row r="229" spans="1:12" hidden="1" x14ac:dyDescent="0.25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</row>
    <row r="230" spans="1:12" hidden="1" x14ac:dyDescent="0.25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</row>
    <row r="231" spans="1:12" hidden="1" x14ac:dyDescent="0.25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</row>
    <row r="232" spans="1:12" hidden="1" x14ac:dyDescent="0.25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</row>
    <row r="233" spans="1:12" hidden="1" x14ac:dyDescent="0.25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</row>
    <row r="234" spans="1:12" hidden="1" x14ac:dyDescent="0.25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</row>
    <row r="235" spans="1:12" hidden="1" x14ac:dyDescent="0.25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</row>
    <row r="236" spans="1:12" hidden="1" x14ac:dyDescent="0.25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</row>
    <row r="237" spans="1:12" hidden="1" x14ac:dyDescent="0.25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</row>
    <row r="238" spans="1:12" hidden="1" x14ac:dyDescent="0.25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</row>
    <row r="239" spans="1:12" hidden="1" x14ac:dyDescent="0.25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</row>
    <row r="240" spans="1:12" hidden="1" x14ac:dyDescent="0.25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</row>
    <row r="241" spans="1:12" hidden="1" x14ac:dyDescent="0.25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</row>
    <row r="242" spans="1:12" hidden="1" x14ac:dyDescent="0.25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</row>
    <row r="243" spans="1:12" hidden="1" x14ac:dyDescent="0.25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</row>
    <row r="244" spans="1:12" hidden="1" x14ac:dyDescent="0.25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</row>
    <row r="245" spans="1:12" hidden="1" x14ac:dyDescent="0.25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</row>
    <row r="246" spans="1:12" hidden="1" x14ac:dyDescent="0.25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</row>
    <row r="247" spans="1:12" hidden="1" x14ac:dyDescent="0.25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</row>
    <row r="248" spans="1:12" hidden="1" x14ac:dyDescent="0.25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</row>
    <row r="249" spans="1:12" hidden="1" x14ac:dyDescent="0.25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</row>
    <row r="250" spans="1:12" hidden="1" x14ac:dyDescent="0.25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</row>
    <row r="251" spans="1:12" hidden="1" x14ac:dyDescent="0.25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</row>
    <row r="252" spans="1:12" hidden="1" x14ac:dyDescent="0.25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</row>
    <row r="253" spans="1:12" hidden="1" x14ac:dyDescent="0.25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</row>
    <row r="254" spans="1:12" hidden="1" x14ac:dyDescent="0.25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</row>
    <row r="255" spans="1:12" hidden="1" x14ac:dyDescent="0.25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</row>
    <row r="256" spans="1:12" hidden="1" x14ac:dyDescent="0.25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</row>
    <row r="257" spans="1:12" hidden="1" x14ac:dyDescent="0.25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</row>
    <row r="258" spans="1:12" hidden="1" x14ac:dyDescent="0.25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</row>
    <row r="259" spans="1:12" hidden="1" x14ac:dyDescent="0.25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</row>
    <row r="260" spans="1:12" hidden="1" x14ac:dyDescent="0.25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</row>
    <row r="261" spans="1:12" hidden="1" x14ac:dyDescent="0.25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</row>
    <row r="262" spans="1:12" hidden="1" x14ac:dyDescent="0.25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</row>
    <row r="263" spans="1:12" hidden="1" x14ac:dyDescent="0.25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</row>
    <row r="264" spans="1:12" hidden="1" x14ac:dyDescent="0.25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</row>
    <row r="265" spans="1:12" hidden="1" x14ac:dyDescent="0.25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</row>
    <row r="266" spans="1:12" hidden="1" x14ac:dyDescent="0.25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</row>
    <row r="267" spans="1:12" hidden="1" x14ac:dyDescent="0.25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</row>
    <row r="268" spans="1:12" hidden="1" x14ac:dyDescent="0.25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</row>
    <row r="269" spans="1:12" hidden="1" x14ac:dyDescent="0.25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</row>
    <row r="270" spans="1:12" hidden="1" x14ac:dyDescent="0.25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</row>
    <row r="271" spans="1:12" hidden="1" x14ac:dyDescent="0.25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</row>
    <row r="272" spans="1:12" hidden="1" x14ac:dyDescent="0.25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</row>
    <row r="273" spans="1:12" hidden="1" x14ac:dyDescent="0.25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</row>
    <row r="274" spans="1:12" hidden="1" x14ac:dyDescent="0.25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</row>
    <row r="275" spans="1:12" hidden="1" x14ac:dyDescent="0.25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</row>
    <row r="276" spans="1:12" hidden="1" x14ac:dyDescent="0.25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</row>
    <row r="277" spans="1:12" hidden="1" x14ac:dyDescent="0.25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</row>
    <row r="278" spans="1:12" hidden="1" x14ac:dyDescent="0.25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</row>
    <row r="279" spans="1:12" hidden="1" x14ac:dyDescent="0.25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</row>
    <row r="280" spans="1:12" hidden="1" x14ac:dyDescent="0.25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</row>
    <row r="281" spans="1:12" hidden="1" x14ac:dyDescent="0.25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</row>
    <row r="282" spans="1:12" hidden="1" x14ac:dyDescent="0.25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</row>
    <row r="283" spans="1:12" hidden="1" x14ac:dyDescent="0.25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</row>
    <row r="284" spans="1:12" hidden="1" x14ac:dyDescent="0.25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</row>
    <row r="285" spans="1:12" hidden="1" x14ac:dyDescent="0.25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</row>
    <row r="286" spans="1:12" hidden="1" x14ac:dyDescent="0.25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</row>
    <row r="287" spans="1:12" hidden="1" x14ac:dyDescent="0.25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</row>
    <row r="288" spans="1:12" hidden="1" x14ac:dyDescent="0.25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</row>
    <row r="289" spans="1:12" hidden="1" x14ac:dyDescent="0.25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</row>
    <row r="290" spans="1:12" hidden="1" x14ac:dyDescent="0.25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</row>
    <row r="291" spans="1:12" hidden="1" x14ac:dyDescent="0.25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</row>
    <row r="292" spans="1:12" hidden="1" x14ac:dyDescent="0.25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</row>
    <row r="293" spans="1:12" hidden="1" x14ac:dyDescent="0.25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</row>
    <row r="294" spans="1:12" hidden="1" x14ac:dyDescent="0.25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</row>
    <row r="295" spans="1:12" hidden="1" x14ac:dyDescent="0.25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</row>
    <row r="296" spans="1:12" hidden="1" x14ac:dyDescent="0.25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</row>
    <row r="297" spans="1:12" hidden="1" x14ac:dyDescent="0.25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</row>
    <row r="298" spans="1:12" hidden="1" x14ac:dyDescent="0.25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</row>
    <row r="299" spans="1:12" hidden="1" x14ac:dyDescent="0.25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</row>
    <row r="300" spans="1:12" hidden="1" x14ac:dyDescent="0.25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</row>
    <row r="301" spans="1:12" hidden="1" x14ac:dyDescent="0.25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</row>
    <row r="302" spans="1:12" hidden="1" x14ac:dyDescent="0.25">
      <c r="A302" s="34"/>
      <c r="B302" s="34"/>
      <c r="C302" s="34"/>
      <c r="D302" s="208"/>
      <c r="E302" s="208"/>
      <c r="F302" s="208"/>
      <c r="G302" s="34"/>
      <c r="H302" s="34"/>
      <c r="I302" s="34"/>
      <c r="J302" s="34"/>
      <c r="K302" s="34"/>
      <c r="L302" s="34"/>
    </row>
    <row r="303" spans="1:12" hidden="1" x14ac:dyDescent="0.25">
      <c r="A303" s="34"/>
      <c r="B303" s="34"/>
      <c r="C303" s="34"/>
      <c r="D303" s="208"/>
      <c r="E303" s="208"/>
      <c r="F303" s="208"/>
      <c r="G303" s="34"/>
      <c r="H303" s="34"/>
      <c r="I303" s="34"/>
      <c r="J303" s="34"/>
      <c r="K303" s="34"/>
      <c r="L303" s="34"/>
    </row>
    <row r="304" spans="1:12" hidden="1" x14ac:dyDescent="0.25">
      <c r="A304" s="34"/>
      <c r="B304" s="34"/>
      <c r="C304" s="34"/>
      <c r="D304" s="208"/>
      <c r="E304" s="208"/>
      <c r="F304" s="208"/>
      <c r="G304" s="34"/>
      <c r="H304" s="34"/>
      <c r="I304" s="34"/>
      <c r="J304" s="34"/>
      <c r="K304" s="34"/>
      <c r="L304" s="34"/>
    </row>
    <row r="305" spans="1:12" hidden="1" x14ac:dyDescent="0.25">
      <c r="A305" s="34"/>
      <c r="B305" s="34"/>
      <c r="C305" s="34"/>
      <c r="D305" s="208"/>
      <c r="E305" s="208"/>
      <c r="F305" s="208"/>
      <c r="G305" s="34"/>
      <c r="H305" s="34"/>
      <c r="I305" s="34"/>
      <c r="J305" s="34"/>
      <c r="K305" s="34"/>
      <c r="L305" s="34"/>
    </row>
    <row r="306" spans="1:12" hidden="1" x14ac:dyDescent="0.25">
      <c r="A306" s="34"/>
      <c r="B306" s="34"/>
      <c r="C306" s="34"/>
      <c r="D306" s="209" t="s">
        <v>244</v>
      </c>
      <c r="E306" s="209"/>
      <c r="F306" s="209"/>
      <c r="G306" s="34"/>
      <c r="H306" s="34"/>
      <c r="I306" s="34"/>
      <c r="J306" s="34"/>
      <c r="K306" s="34"/>
      <c r="L306" s="34"/>
    </row>
    <row r="307" spans="1:12" hidden="1" x14ac:dyDescent="0.25">
      <c r="A307" s="34"/>
      <c r="B307" s="34"/>
      <c r="C307" s="207"/>
      <c r="D307" s="208"/>
      <c r="E307" s="208"/>
      <c r="F307" s="208"/>
      <c r="G307" s="36"/>
      <c r="H307" s="36"/>
      <c r="I307" s="36"/>
      <c r="J307" s="36"/>
      <c r="K307" s="36"/>
      <c r="L307" s="36"/>
    </row>
    <row r="308" spans="1:12" hidden="1" x14ac:dyDescent="0.25">
      <c r="A308" s="34"/>
    </row>
    <row r="309" spans="1:12" x14ac:dyDescent="0.25"/>
  </sheetData>
  <sheetProtection password="CA1B" sheet="1" formatColumns="0" formatRows="0"/>
  <dataValidations count="1">
    <dataValidation type="list" allowBlank="1" showInputMessage="1" showErrorMessage="1" sqref="M117:M124 M97:M106 M109:M114 M71:M94 M66:M68 M6:M63" xr:uid="{00000000-0002-0000-0700-000000000000}">
      <formula1>$O$67:$O$70</formula1>
    </dataValidation>
  </dataValidations>
  <hyperlinks>
    <hyperlink ref="K2" location="Inicio!A1" display="Inicio" xr:uid="{00000000-0004-0000-0700-000000000000}"/>
  </hyperlinks>
  <pageMargins left="0.31496062992125984" right="0.11811023622047245" top="0.98425196850393704" bottom="0.98425196850393704" header="0.47244094488188981" footer="0.31496062992125984"/>
  <pageSetup scale="95" orientation="landscape" horizontalDpi="0" verticalDpi="0"/>
  <headerFooter alignWithMargins="0">
    <oddHeader>&amp;C&amp;"Arial,Negrita"&amp;14&amp;A</oddHeader>
  </headerFooter>
  <rowBreaks count="1" manualBreakCount="1">
    <brk id="95" max="16383" man="1"/>
  </rowBreaks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25">
    <tabColor rgb="FFFFFF00"/>
  </sheetPr>
  <dimension ref="A1:J37"/>
  <sheetViews>
    <sheetView topLeftCell="A38" zoomScale="128" zoomScaleNormal="128" workbookViewId="0">
      <selection activeCell="D46" sqref="D46"/>
    </sheetView>
  </sheetViews>
  <sheetFormatPr baseColWidth="10" defaultColWidth="0" defaultRowHeight="13.2" x14ac:dyDescent="0.25"/>
  <cols>
    <col min="1" max="2" width="2.6640625" customWidth="1"/>
    <col min="3" max="3" width="54.33203125" customWidth="1"/>
    <col min="4" max="4" width="20.77734375" customWidth="1"/>
    <col min="5" max="10" width="11.44140625" customWidth="1"/>
  </cols>
  <sheetData>
    <row r="1" spans="1:10" ht="18" thickBot="1" x14ac:dyDescent="0.3">
      <c r="A1" s="260"/>
      <c r="B1" s="260"/>
      <c r="C1" s="225" t="s">
        <v>406</v>
      </c>
      <c r="D1" s="226"/>
      <c r="E1" s="226"/>
      <c r="F1" s="225"/>
      <c r="G1" s="226"/>
      <c r="H1" s="226"/>
      <c r="I1" s="226"/>
      <c r="J1" s="226"/>
    </row>
    <row r="2" spans="1:10" ht="18" thickBot="1" x14ac:dyDescent="0.3">
      <c r="A2" s="225"/>
      <c r="B2" s="226"/>
      <c r="C2" s="96"/>
      <c r="D2" s="96"/>
      <c r="E2" s="210"/>
      <c r="F2" s="210"/>
      <c r="G2" s="210"/>
      <c r="H2" s="210"/>
      <c r="I2" s="210"/>
      <c r="J2" s="210"/>
    </row>
    <row r="3" spans="1:10" ht="17.399999999999999" x14ac:dyDescent="0.25">
      <c r="A3" s="80"/>
      <c r="B3" s="86"/>
      <c r="C3" s="329" t="s">
        <v>350</v>
      </c>
      <c r="D3" s="1"/>
      <c r="E3" s="134">
        <f>Bases!D5</f>
        <v>0</v>
      </c>
      <c r="F3" s="134">
        <f>E3+1</f>
        <v>1</v>
      </c>
      <c r="G3" s="134">
        <f>F3+1</f>
        <v>2</v>
      </c>
      <c r="H3" s="134">
        <f>G3+1</f>
        <v>3</v>
      </c>
      <c r="I3" s="134">
        <f>H3+1</f>
        <v>4</v>
      </c>
      <c r="J3" s="134">
        <f>I3+1</f>
        <v>5</v>
      </c>
    </row>
    <row r="4" spans="1:10" x14ac:dyDescent="0.25">
      <c r="A4" s="129"/>
      <c r="B4" s="182"/>
    </row>
    <row r="5" spans="1:10" x14ac:dyDescent="0.25">
      <c r="A5" s="129"/>
      <c r="B5" s="138"/>
      <c r="C5" s="69" t="s">
        <v>142</v>
      </c>
      <c r="D5" s="35"/>
      <c r="E5" s="36"/>
      <c r="F5" s="34"/>
      <c r="G5" s="34"/>
      <c r="H5" s="34"/>
      <c r="I5" s="34"/>
      <c r="J5" s="34"/>
    </row>
    <row r="6" spans="1:10" x14ac:dyDescent="0.25">
      <c r="A6" s="129"/>
      <c r="B6" s="138"/>
      <c r="C6" s="181" t="s">
        <v>6</v>
      </c>
      <c r="D6" s="384" t="s">
        <v>408</v>
      </c>
      <c r="E6" s="353"/>
      <c r="F6" s="353"/>
      <c r="G6" s="353"/>
      <c r="H6" s="353"/>
      <c r="I6" s="353"/>
      <c r="J6" s="353"/>
    </row>
    <row r="7" spans="1:10" s="522" customFormat="1" x14ac:dyDescent="0.25">
      <c r="A7" s="129"/>
      <c r="B7" s="138"/>
      <c r="C7" s="176" t="s">
        <v>143</v>
      </c>
      <c r="D7" s="232" t="s">
        <v>7</v>
      </c>
      <c r="E7" s="353"/>
      <c r="F7" s="348">
        <v>0</v>
      </c>
      <c r="G7" s="348">
        <v>0</v>
      </c>
      <c r="H7" s="348">
        <v>0</v>
      </c>
      <c r="I7" s="348">
        <v>0</v>
      </c>
      <c r="J7" s="348">
        <v>0</v>
      </c>
    </row>
    <row r="8" spans="1:10" x14ac:dyDescent="0.25">
      <c r="A8" s="129"/>
      <c r="B8" s="138"/>
      <c r="C8" s="176" t="s">
        <v>112</v>
      </c>
      <c r="D8" s="173" t="s">
        <v>3</v>
      </c>
      <c r="E8" s="523">
        <f>F8</f>
        <v>0</v>
      </c>
      <c r="F8" s="357">
        <f>'Precios Ventas'!F37*F7/360</f>
        <v>0</v>
      </c>
      <c r="G8" s="357">
        <f>'Precios Ventas'!G37*G7/360</f>
        <v>0</v>
      </c>
      <c r="H8" s="357">
        <f>'Precios Ventas'!H37*H7/360</f>
        <v>0</v>
      </c>
      <c r="I8" s="357">
        <f>'Precios Ventas'!I37*I7/360</f>
        <v>0</v>
      </c>
      <c r="J8" s="357">
        <f>'Precios Ventas'!J37*J7/360</f>
        <v>0</v>
      </c>
    </row>
    <row r="9" spans="1:10" x14ac:dyDescent="0.25">
      <c r="A9" s="129"/>
      <c r="B9" s="138"/>
      <c r="C9" s="176" t="s">
        <v>113</v>
      </c>
      <c r="D9" s="173" t="s">
        <v>3</v>
      </c>
      <c r="E9" s="353"/>
      <c r="F9" s="357">
        <f>E8-F8</f>
        <v>0</v>
      </c>
      <c r="G9" s="357">
        <f>F8-G8</f>
        <v>0</v>
      </c>
      <c r="H9" s="357">
        <f>G8-H8</f>
        <v>0</v>
      </c>
      <c r="I9" s="357">
        <f>H8-I8</f>
        <v>0</v>
      </c>
      <c r="J9" s="357">
        <f>I8-J8</f>
        <v>0</v>
      </c>
    </row>
    <row r="10" spans="1:10" x14ac:dyDescent="0.25">
      <c r="A10" s="129"/>
      <c r="B10" s="138"/>
      <c r="C10" s="176" t="s">
        <v>125</v>
      </c>
      <c r="D10" s="173" t="s">
        <v>0</v>
      </c>
      <c r="E10" s="352"/>
      <c r="F10" s="379">
        <v>0</v>
      </c>
      <c r="G10" s="379">
        <v>0</v>
      </c>
      <c r="H10" s="379">
        <v>0</v>
      </c>
      <c r="I10" s="379">
        <v>0</v>
      </c>
      <c r="J10" s="379">
        <v>0</v>
      </c>
    </row>
    <row r="11" spans="1:10" x14ac:dyDescent="0.25">
      <c r="A11" s="129"/>
      <c r="B11" s="138"/>
      <c r="C11" s="176" t="s">
        <v>125</v>
      </c>
      <c r="D11" s="191" t="s">
        <v>3</v>
      </c>
      <c r="E11" s="352"/>
      <c r="F11" s="380">
        <f>F10*F8</f>
        <v>0</v>
      </c>
      <c r="G11" s="380">
        <f>G10*G8</f>
        <v>0</v>
      </c>
      <c r="H11" s="380">
        <f>H10*H8</f>
        <v>0</v>
      </c>
      <c r="I11" s="380">
        <f>I10*I8</f>
        <v>0</v>
      </c>
      <c r="J11" s="380">
        <f>J10*J8</f>
        <v>0</v>
      </c>
    </row>
    <row r="12" spans="1:10" x14ac:dyDescent="0.25">
      <c r="A12" s="129"/>
      <c r="B12" s="138"/>
      <c r="C12" s="176" t="s">
        <v>128</v>
      </c>
      <c r="D12" s="191" t="s">
        <v>3</v>
      </c>
      <c r="E12" s="352"/>
      <c r="F12" s="380">
        <f>F11-E11</f>
        <v>0</v>
      </c>
      <c r="G12" s="380">
        <f>G11-F11</f>
        <v>0</v>
      </c>
      <c r="H12" s="380">
        <f>H11-G11</f>
        <v>0</v>
      </c>
      <c r="I12" s="380">
        <f>I11-H11</f>
        <v>0</v>
      </c>
      <c r="J12" s="380">
        <f>J11-I11</f>
        <v>0</v>
      </c>
    </row>
    <row r="13" spans="1:10" x14ac:dyDescent="0.25">
      <c r="A13" s="129"/>
      <c r="B13" s="138"/>
      <c r="C13" s="181" t="s">
        <v>141</v>
      </c>
      <c r="D13" s="35"/>
      <c r="E13" s="353"/>
      <c r="F13" s="353"/>
      <c r="G13" s="353"/>
      <c r="H13" s="353"/>
      <c r="I13" s="353"/>
      <c r="J13" s="381"/>
    </row>
    <row r="14" spans="1:10" x14ac:dyDescent="0.25">
      <c r="A14" s="129"/>
      <c r="B14" s="138"/>
      <c r="C14" s="202" t="s">
        <v>461</v>
      </c>
      <c r="D14" s="248" t="s">
        <v>383</v>
      </c>
      <c r="E14" s="353"/>
      <c r="F14" s="348">
        <v>60</v>
      </c>
      <c r="G14" s="348">
        <v>60</v>
      </c>
      <c r="H14" s="348">
        <v>60</v>
      </c>
      <c r="I14" s="348">
        <v>60</v>
      </c>
      <c r="J14" s="348">
        <v>60</v>
      </c>
    </row>
    <row r="15" spans="1:10" x14ac:dyDescent="0.25">
      <c r="A15" s="177"/>
      <c r="B15" s="178"/>
      <c r="C15" s="202" t="s">
        <v>462</v>
      </c>
      <c r="D15" s="173" t="s">
        <v>3</v>
      </c>
      <c r="E15" s="523">
        <f>+F15</f>
        <v>21697998.320337303</v>
      </c>
      <c r="F15" s="357">
        <f>F14*Producción!F23/360</f>
        <v>21697998.320337303</v>
      </c>
      <c r="G15" s="357">
        <f>G14*Producción!G23/360</f>
        <v>39667639.850760914</v>
      </c>
      <c r="H15" s="357">
        <f>H14*Producción!H23/360</f>
        <v>40878063.783084504</v>
      </c>
      <c r="I15" s="357">
        <f>I14*Producción!I23/360</f>
        <v>60295375.616212487</v>
      </c>
      <c r="J15" s="357">
        <f>J14*Producción!J23/360</f>
        <v>62085585.68819885</v>
      </c>
    </row>
    <row r="16" spans="1:10" x14ac:dyDescent="0.25">
      <c r="A16" s="177"/>
      <c r="B16" s="178"/>
      <c r="C16" s="202" t="s">
        <v>463</v>
      </c>
      <c r="D16" s="173" t="s">
        <v>3</v>
      </c>
      <c r="E16" s="353"/>
      <c r="F16" s="357">
        <f>E15-F15</f>
        <v>0</v>
      </c>
      <c r="G16" s="357">
        <f>F15-G15</f>
        <v>-17969641.530423611</v>
      </c>
      <c r="H16" s="357">
        <f>G15-H15</f>
        <v>-1210423.9323235899</v>
      </c>
      <c r="I16" s="357">
        <f>H15-I15</f>
        <v>-19417311.833127983</v>
      </c>
      <c r="J16" s="357">
        <f>I15-J15</f>
        <v>-1790210.0719863623</v>
      </c>
    </row>
    <row r="17" spans="1:10" hidden="1" x14ac:dyDescent="0.25">
      <c r="A17" s="129"/>
      <c r="B17" s="138"/>
      <c r="C17" s="176"/>
      <c r="D17" s="248"/>
      <c r="E17" s="353"/>
      <c r="F17" s="348"/>
      <c r="G17" s="348"/>
      <c r="H17" s="348"/>
      <c r="I17" s="348"/>
      <c r="J17" s="348"/>
    </row>
    <row r="18" spans="1:10" hidden="1" x14ac:dyDescent="0.25">
      <c r="A18" s="177"/>
      <c r="B18" s="178"/>
      <c r="C18" s="176"/>
      <c r="D18" s="173"/>
      <c r="E18" s="524"/>
      <c r="F18" s="357"/>
      <c r="G18" s="357"/>
      <c r="H18" s="357"/>
      <c r="I18" s="357"/>
      <c r="J18" s="357"/>
    </row>
    <row r="19" spans="1:10" hidden="1" x14ac:dyDescent="0.25">
      <c r="A19" s="177"/>
      <c r="B19" s="178"/>
      <c r="C19" s="176"/>
      <c r="D19" s="173"/>
      <c r="E19" s="353"/>
      <c r="F19" s="357"/>
      <c r="G19" s="357"/>
      <c r="H19" s="357"/>
      <c r="I19" s="357"/>
      <c r="J19" s="357"/>
    </row>
    <row r="20" spans="1:10" hidden="1" x14ac:dyDescent="0.25">
      <c r="A20" s="129"/>
      <c r="B20" s="138"/>
      <c r="C20" s="176"/>
      <c r="D20" s="248"/>
      <c r="E20" s="353"/>
      <c r="F20" s="348"/>
      <c r="G20" s="348"/>
      <c r="H20" s="348"/>
      <c r="I20" s="348"/>
      <c r="J20" s="348"/>
    </row>
    <row r="21" spans="1:10" hidden="1" x14ac:dyDescent="0.25">
      <c r="A21" s="177"/>
      <c r="B21" s="178"/>
      <c r="C21" s="176"/>
      <c r="D21" s="173"/>
      <c r="E21" s="524"/>
      <c r="F21" s="357"/>
      <c r="G21" s="357"/>
      <c r="H21" s="357"/>
      <c r="I21" s="357"/>
      <c r="J21" s="357"/>
    </row>
    <row r="22" spans="1:10" hidden="1" x14ac:dyDescent="0.25">
      <c r="A22" s="129"/>
      <c r="B22" s="138"/>
      <c r="C22" s="176"/>
      <c r="D22" s="173"/>
      <c r="E22" s="353"/>
      <c r="F22" s="357"/>
      <c r="G22" s="357"/>
      <c r="H22" s="357"/>
      <c r="I22" s="357"/>
      <c r="J22" s="357"/>
    </row>
    <row r="23" spans="1:10" x14ac:dyDescent="0.25">
      <c r="A23" s="129"/>
      <c r="B23" s="138"/>
      <c r="C23" s="176" t="s">
        <v>176</v>
      </c>
      <c r="D23" s="173" t="s">
        <v>3</v>
      </c>
      <c r="E23" s="524">
        <f>+E15+E18+E21</f>
        <v>21697998.320337303</v>
      </c>
      <c r="F23" s="357">
        <f>F15+F18+F21</f>
        <v>21697998.320337303</v>
      </c>
      <c r="G23" s="357">
        <f>G15+G18+G21</f>
        <v>39667639.850760914</v>
      </c>
      <c r="H23" s="357">
        <f>H15+H18+H21</f>
        <v>40878063.783084504</v>
      </c>
      <c r="I23" s="357">
        <f>I15+I18+I21</f>
        <v>60295375.616212487</v>
      </c>
      <c r="J23" s="357">
        <f>J15+J18+J21</f>
        <v>62085585.68819885</v>
      </c>
    </row>
    <row r="24" spans="1:10" x14ac:dyDescent="0.25">
      <c r="A24" s="129"/>
      <c r="B24" s="138"/>
      <c r="C24" s="181" t="s">
        <v>415</v>
      </c>
      <c r="D24" s="35"/>
      <c r="E24" s="353"/>
      <c r="F24" s="353"/>
      <c r="G24" s="353"/>
      <c r="H24" s="353"/>
      <c r="I24" s="353"/>
      <c r="J24" s="353"/>
    </row>
    <row r="25" spans="1:10" x14ac:dyDescent="0.25">
      <c r="A25" s="129"/>
      <c r="B25" s="138"/>
      <c r="C25" s="176" t="s">
        <v>415</v>
      </c>
      <c r="D25" s="173" t="s">
        <v>3</v>
      </c>
      <c r="E25" s="353"/>
      <c r="F25" s="348">
        <v>0</v>
      </c>
      <c r="G25" s="348">
        <v>0</v>
      </c>
      <c r="H25" s="348">
        <v>0</v>
      </c>
      <c r="I25" s="348">
        <v>0</v>
      </c>
      <c r="J25" s="348">
        <v>0</v>
      </c>
    </row>
    <row r="26" spans="1:10" x14ac:dyDescent="0.25">
      <c r="A26" s="177"/>
      <c r="B26" s="178"/>
      <c r="C26" s="176" t="s">
        <v>416</v>
      </c>
      <c r="D26" s="173" t="s">
        <v>3</v>
      </c>
      <c r="E26" s="353"/>
      <c r="F26" s="357">
        <f>F25-E25</f>
        <v>0</v>
      </c>
      <c r="G26" s="357">
        <f>G25-F25</f>
        <v>0</v>
      </c>
      <c r="H26" s="357">
        <f>H25-G25</f>
        <v>0</v>
      </c>
      <c r="I26" s="357">
        <f>I25-H25</f>
        <v>0</v>
      </c>
      <c r="J26" s="357">
        <f>J25-I25</f>
        <v>0</v>
      </c>
    </row>
    <row r="27" spans="1:10" x14ac:dyDescent="0.25">
      <c r="A27" s="129"/>
      <c r="B27" s="138"/>
      <c r="C27" s="176"/>
      <c r="D27" s="173"/>
      <c r="E27" s="353"/>
      <c r="F27" s="357"/>
      <c r="G27" s="357"/>
      <c r="H27" s="357"/>
      <c r="I27" s="357"/>
      <c r="J27" s="357"/>
    </row>
    <row r="28" spans="1:10" x14ac:dyDescent="0.25">
      <c r="A28" s="129"/>
      <c r="B28" s="138"/>
      <c r="C28" s="181" t="s">
        <v>19</v>
      </c>
      <c r="D28" s="35"/>
      <c r="E28" s="353"/>
      <c r="F28" s="353"/>
      <c r="G28" s="353"/>
      <c r="H28" s="353"/>
      <c r="I28" s="353"/>
      <c r="J28" s="381"/>
    </row>
    <row r="29" spans="1:10" x14ac:dyDescent="0.25">
      <c r="A29" s="187"/>
      <c r="B29" s="186"/>
      <c r="C29" s="176" t="s">
        <v>184</v>
      </c>
      <c r="D29" s="173" t="s">
        <v>7</v>
      </c>
      <c r="E29" s="353"/>
      <c r="F29" s="348">
        <v>0</v>
      </c>
      <c r="G29" s="348">
        <v>0</v>
      </c>
      <c r="H29" s="348">
        <v>0</v>
      </c>
      <c r="I29" s="348">
        <v>0</v>
      </c>
      <c r="J29" s="348">
        <v>0</v>
      </c>
    </row>
    <row r="30" spans="1:10" x14ac:dyDescent="0.25">
      <c r="A30" s="177"/>
      <c r="B30" s="178"/>
      <c r="C30" s="176" t="s">
        <v>184</v>
      </c>
      <c r="D30" s="173" t="s">
        <v>3</v>
      </c>
      <c r="E30" s="523">
        <f>+F30</f>
        <v>0</v>
      </c>
      <c r="F30" s="382">
        <f>Producción!F13*F29/360</f>
        <v>0</v>
      </c>
      <c r="G30" s="382">
        <f>Producción!G13*G29/360</f>
        <v>0</v>
      </c>
      <c r="H30" s="382">
        <f>Producción!H13*H29/360</f>
        <v>0</v>
      </c>
      <c r="I30" s="382">
        <f>Producción!I13*I29/360</f>
        <v>0</v>
      </c>
      <c r="J30" s="382">
        <f>Producción!J13*J29/360</f>
        <v>0</v>
      </c>
    </row>
    <row r="31" spans="1:10" x14ac:dyDescent="0.25">
      <c r="A31" s="177"/>
      <c r="B31" s="178"/>
      <c r="C31" s="176" t="s">
        <v>417</v>
      </c>
      <c r="D31" s="173" t="s">
        <v>3</v>
      </c>
      <c r="E31" s="353"/>
      <c r="F31" s="357">
        <f>F30-E30</f>
        <v>0</v>
      </c>
      <c r="G31" s="357">
        <f>G30-F30</f>
        <v>0</v>
      </c>
      <c r="H31" s="357">
        <f>H30-G30</f>
        <v>0</v>
      </c>
      <c r="I31" s="357">
        <f>I30-H30</f>
        <v>0</v>
      </c>
      <c r="J31" s="357">
        <f>J30-I30</f>
        <v>0</v>
      </c>
    </row>
    <row r="32" spans="1:10" x14ac:dyDescent="0.25">
      <c r="A32" s="177"/>
      <c r="B32" s="178"/>
      <c r="C32" s="176" t="s">
        <v>185</v>
      </c>
      <c r="D32" s="173" t="s">
        <v>3</v>
      </c>
      <c r="E32" s="353"/>
      <c r="F32" s="348">
        <v>0</v>
      </c>
      <c r="G32" s="348">
        <v>0</v>
      </c>
      <c r="H32" s="348">
        <v>0</v>
      </c>
      <c r="I32" s="348">
        <v>0</v>
      </c>
      <c r="J32" s="348">
        <v>0</v>
      </c>
    </row>
    <row r="33" spans="1:10" x14ac:dyDescent="0.25">
      <c r="A33" s="177"/>
      <c r="B33" s="178"/>
      <c r="C33" s="176" t="s">
        <v>418</v>
      </c>
      <c r="D33" s="173" t="s">
        <v>3</v>
      </c>
      <c r="E33" s="353"/>
      <c r="F33" s="357">
        <f>F32-E32</f>
        <v>0</v>
      </c>
      <c r="G33" s="357">
        <f>G32-F32</f>
        <v>0</v>
      </c>
      <c r="H33" s="357">
        <f>H32-G32</f>
        <v>0</v>
      </c>
      <c r="I33" s="357">
        <f>I32-H32</f>
        <v>0</v>
      </c>
      <c r="J33" s="357">
        <f>J32-I32</f>
        <v>0</v>
      </c>
    </row>
    <row r="34" spans="1:10" x14ac:dyDescent="0.25">
      <c r="A34" s="177"/>
      <c r="B34" s="178"/>
      <c r="C34" s="176" t="s">
        <v>133</v>
      </c>
      <c r="D34" s="173" t="s">
        <v>3</v>
      </c>
      <c r="E34" s="353"/>
      <c r="F34" s="348">
        <v>0</v>
      </c>
      <c r="G34" s="348">
        <v>0</v>
      </c>
      <c r="H34" s="348">
        <v>0</v>
      </c>
      <c r="I34" s="348">
        <v>0</v>
      </c>
      <c r="J34" s="348">
        <v>0</v>
      </c>
    </row>
    <row r="35" spans="1:10" x14ac:dyDescent="0.25">
      <c r="A35" s="177"/>
      <c r="B35" s="178"/>
      <c r="C35" s="176" t="s">
        <v>419</v>
      </c>
      <c r="D35" s="173" t="s">
        <v>3</v>
      </c>
      <c r="E35" s="353"/>
      <c r="F35" s="357">
        <f>F34-E34</f>
        <v>0</v>
      </c>
      <c r="G35" s="357">
        <f>G34-F34</f>
        <v>0</v>
      </c>
      <c r="H35" s="357">
        <f>H34-G34</f>
        <v>0</v>
      </c>
      <c r="I35" s="357">
        <f>I34-H34</f>
        <v>0</v>
      </c>
      <c r="J35" s="357">
        <f>J34-I34</f>
        <v>0</v>
      </c>
    </row>
    <row r="36" spans="1:10" ht="13.8" thickBot="1" x14ac:dyDescent="0.3">
      <c r="A36" s="129"/>
      <c r="B36" s="142"/>
      <c r="C36" s="203"/>
      <c r="D36" s="204"/>
      <c r="E36" s="383"/>
      <c r="F36" s="383"/>
      <c r="G36" s="383"/>
      <c r="H36" s="383"/>
      <c r="I36" s="383"/>
      <c r="J36" s="383"/>
    </row>
    <row r="37" spans="1:10" x14ac:dyDescent="0.25">
      <c r="A37" s="129"/>
      <c r="B37" s="129"/>
      <c r="C37" s="205"/>
      <c r="D37" s="206"/>
      <c r="E37" s="130"/>
      <c r="F37" s="130"/>
      <c r="G37" s="130"/>
      <c r="H37" s="130"/>
      <c r="I37" s="130"/>
      <c r="J37" s="130"/>
    </row>
  </sheetData>
  <sheetProtection password="CA1B" sheet="1" formatColumns="0" formatRows="0"/>
  <dataValidations count="14">
    <dataValidation allowBlank="1" showInputMessage="1" showErrorMessage="1" promptTitle="Rotación de Cartera" prompt="Días Promedio de Recuperacion de Cartera (En relación al valor total de Ventas del año)" sqref="F7:J7" xr:uid="{00000000-0002-0000-0800-000000000000}"/>
    <dataValidation allowBlank="1" showInputMessage="1" showErrorMessage="1" promptTitle="Otros Pasivos" prompt="Valor Total Anual de Otros Pasivos" sqref="F34:J34" xr:uid="{00000000-0002-0000-0800-000001000000}"/>
    <dataValidation allowBlank="1" showInputMessage="1" showErrorMessage="1" promptTitle="Anticipos y Otras Cuentas por Co" prompt="Valor total anual de Acreedores Varios" sqref="F32:J32" xr:uid="{00000000-0002-0000-0800-000002000000}"/>
    <dataValidation allowBlank="1" showInputMessage="1" showErrorMessage="1" promptTitle="Cuentas por Pagar Proveedores" prompt="Valor inicial de Cuentas por Pagar a Proveedores" sqref="E30" xr:uid="{00000000-0002-0000-0800-000003000000}"/>
    <dataValidation allowBlank="1" showInputMessage="1" showErrorMessage="1" promptTitle="Días de Cuentas por Pagar" prompt="Días de Cuentas por Pagar a Proveedores (respecto del total de Mano de Obra y Materia Prima)_x000a_" sqref="F29:J29" xr:uid="{00000000-0002-0000-0800-000004000000}"/>
    <dataValidation allowBlank="1" showInputMessage="1" showErrorMessage="1" promptTitle="Anticipos y Otras Cuentas por Co" prompt="Valor total anual Anticipos y Otras Cuentas por Cobrar" sqref="F25:J25" xr:uid="{00000000-0002-0000-0800-000005000000}"/>
    <dataValidation allowBlank="1" showInputMessage="1" showErrorMessage="1" promptTitle="Inventario Materia Prima" prompt="Valor inicial del Inventario de Materia Prima Primer Año." sqref="E21" xr:uid="{00000000-0002-0000-0800-000006000000}"/>
    <dataValidation allowBlank="1" showInputMessage="1" showErrorMessage="1" promptTitle="Inventario Producto Proceso" prompt="Valor inicial del Inventario de Producto en Proceso Primer Año." sqref="E18" xr:uid="{00000000-0002-0000-0800-000007000000}"/>
    <dataValidation allowBlank="1" showInputMessage="1" showErrorMessage="1" promptTitle="Días de Inventario MP" prompt="Días de Inventario Materia Prima(en relación al costo de total de Materia Prima)" sqref="F20:J20" xr:uid="{00000000-0002-0000-0800-000008000000}"/>
    <dataValidation allowBlank="1" showInputMessage="1" showErrorMessage="1" promptTitle="Días de Inventario PP" prompt="Días de Inventario Producto en Proceso (en relación del costo de producción)" sqref="F17:J17" xr:uid="{00000000-0002-0000-0800-000009000000}"/>
    <dataValidation allowBlank="1" showInputMessage="1" showErrorMessage="1" promptTitle="Días de Inventario PT" prompt="Días de Inventario Producto Terminado (en relación del costo de producción)" sqref="F14:J14" xr:uid="{00000000-0002-0000-0800-00000A000000}"/>
    <dataValidation allowBlank="1" showInputMessage="1" showErrorMessage="1" promptTitle="Inventario Producto Final" prompt="Valor inicial del Inventario de Producto Final Primer Año." sqref="E15" xr:uid="{00000000-0002-0000-0800-00000B000000}"/>
    <dataValidation allowBlank="1" showInputMessage="1" showErrorMessage="1" promptTitle="% Provisión Cuentas por Cobrar" prompt="% Cuentas por Cobrar a provisionar por ser de dificil cobro o impagables" sqref="F10:J10" xr:uid="{00000000-0002-0000-0800-00000C000000}"/>
    <dataValidation allowBlank="1" showInputMessage="1" showErrorMessage="1" promptTitle="Cuentas por Cobrar" prompt="Valor inicial de las Cuentas por Cobrar Comerciales" sqref="E8" xr:uid="{00000000-0002-0000-0800-00000D000000}"/>
  </dataValidations>
  <hyperlinks>
    <hyperlink ref="C3" location="Inicio!A1" display="Inicio" xr:uid="{00000000-0004-0000-0800-000000000000}"/>
  </hyperlinks>
  <pageMargins left="0.78740157480314965" right="0.11811023622047245" top="0.98425196850393704" bottom="0.47244094488188981" header="0.5" footer="0.31496062992125984"/>
  <pageSetup paperSize="9" scale="95" orientation="landscape" horizontalDpi="0" verticalDpi="0"/>
  <headerFooter alignWithMargins="0">
    <oddHeader>&amp;C&amp;"Arial,Negrita"&amp;14&amp;A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26">
    <tabColor rgb="FFFFFF00"/>
  </sheetPr>
  <dimension ref="A1:L248"/>
  <sheetViews>
    <sheetView showGridLines="0" showOutlineSymbols="0" zoomScale="91" zoomScaleNormal="120" workbookViewId="0">
      <selection activeCell="H100" sqref="H100"/>
    </sheetView>
  </sheetViews>
  <sheetFormatPr baseColWidth="10" defaultColWidth="0" defaultRowHeight="13.2" zeroHeight="1" outlineLevelRow="1" x14ac:dyDescent="0.25"/>
  <cols>
    <col min="1" max="1" width="2.44140625" customWidth="1"/>
    <col min="2" max="2" width="2.6640625" customWidth="1"/>
    <col min="3" max="3" width="57.6640625" customWidth="1"/>
    <col min="4" max="4" width="14.21875" customWidth="1"/>
    <col min="5" max="5" width="12.44140625" customWidth="1"/>
    <col min="6" max="7" width="14.44140625" customWidth="1"/>
    <col min="8" max="9" width="14.33203125" customWidth="1"/>
    <col min="10" max="10" width="14.21875" style="36" customWidth="1"/>
    <col min="11" max="12" width="3.44140625" style="34" customWidth="1"/>
    <col min="13" max="16384" width="0" style="34" hidden="1"/>
  </cols>
  <sheetData>
    <row r="1" spans="1:12" ht="18" thickBot="1" x14ac:dyDescent="0.3">
      <c r="C1" s="225" t="s">
        <v>406</v>
      </c>
      <c r="D1" s="226"/>
      <c r="E1" s="226"/>
      <c r="F1" s="225"/>
      <c r="G1" s="226"/>
      <c r="H1" s="226"/>
      <c r="I1" s="226"/>
      <c r="J1" s="226"/>
    </row>
    <row r="2" spans="1:12" ht="18" hidden="1" thickBot="1" x14ac:dyDescent="0.3">
      <c r="A2" s="260"/>
      <c r="B2" s="260"/>
      <c r="C2" s="502"/>
      <c r="D2" s="34"/>
      <c r="E2" s="34">
        <v>0</v>
      </c>
      <c r="F2" s="34">
        <v>1</v>
      </c>
      <c r="G2" s="34">
        <v>2</v>
      </c>
      <c r="H2" s="34">
        <v>3</v>
      </c>
      <c r="I2" s="34">
        <v>4</v>
      </c>
      <c r="J2" s="34">
        <v>5</v>
      </c>
    </row>
    <row r="3" spans="1:12" ht="24.75" customHeight="1" thickBot="1" x14ac:dyDescent="0.3">
      <c r="A3" s="225"/>
      <c r="B3" s="226"/>
      <c r="C3" s="96"/>
      <c r="D3" s="96"/>
      <c r="E3" s="210"/>
      <c r="F3" s="210"/>
      <c r="G3" s="210"/>
      <c r="H3" s="210"/>
      <c r="I3" s="210"/>
      <c r="J3" s="210"/>
      <c r="K3" s="82"/>
    </row>
    <row r="4" spans="1:12" ht="17.399999999999999" x14ac:dyDescent="0.25">
      <c r="A4" s="80"/>
      <c r="B4" s="86"/>
      <c r="C4" s="329" t="s">
        <v>350</v>
      </c>
      <c r="D4" s="1"/>
      <c r="E4" s="134">
        <f>Bases!D5</f>
        <v>0</v>
      </c>
      <c r="F4" s="134">
        <f>E4+1</f>
        <v>1</v>
      </c>
      <c r="G4" s="134">
        <f>F4+1</f>
        <v>2</v>
      </c>
      <c r="H4" s="134">
        <f>G4+1</f>
        <v>3</v>
      </c>
      <c r="I4" s="134">
        <f>H4+1</f>
        <v>4</v>
      </c>
      <c r="J4" s="134">
        <f>I4+1</f>
        <v>5</v>
      </c>
      <c r="K4" s="135"/>
      <c r="L4" s="129"/>
    </row>
    <row r="5" spans="1:12" s="185" customFormat="1" x14ac:dyDescent="0.25">
      <c r="A5" s="129"/>
      <c r="B5" s="182"/>
      <c r="C5"/>
      <c r="D5"/>
      <c r="E5"/>
      <c r="F5"/>
      <c r="G5"/>
      <c r="H5"/>
      <c r="I5"/>
      <c r="J5"/>
      <c r="K5" s="139"/>
      <c r="L5" s="184"/>
    </row>
    <row r="6" spans="1:12" s="180" customFormat="1" hidden="1" x14ac:dyDescent="0.25">
      <c r="A6" s="129"/>
      <c r="B6" s="178"/>
      <c r="C6" s="69" t="s">
        <v>144</v>
      </c>
      <c r="D6" s="35"/>
      <c r="E6" s="35"/>
      <c r="F6" s="35"/>
      <c r="G6" s="35"/>
      <c r="H6" s="35"/>
      <c r="I6" s="35"/>
      <c r="J6" s="35"/>
      <c r="K6" s="139"/>
      <c r="L6" s="177"/>
    </row>
    <row r="7" spans="1:12" s="180" customFormat="1" hidden="1" x14ac:dyDescent="0.25">
      <c r="A7" s="129"/>
      <c r="B7" s="178"/>
      <c r="C7" s="181" t="s">
        <v>115</v>
      </c>
      <c r="D7" s="35"/>
      <c r="E7" s="35"/>
      <c r="F7" s="35"/>
      <c r="G7" s="35"/>
      <c r="H7" s="35"/>
      <c r="I7" s="35"/>
      <c r="J7" s="35"/>
      <c r="K7" s="139"/>
      <c r="L7" s="177"/>
    </row>
    <row r="8" spans="1:12" hidden="1" outlineLevel="1" x14ac:dyDescent="0.25">
      <c r="A8" s="129"/>
      <c r="B8" s="138"/>
      <c r="C8" s="176" t="s">
        <v>116</v>
      </c>
      <c r="D8" s="173" t="s">
        <v>3</v>
      </c>
      <c r="E8" s="313">
        <f>+' Inversiones Fijas y Diferidas'!G66</f>
        <v>0</v>
      </c>
      <c r="F8" s="189">
        <f>E8+F9</f>
        <v>0</v>
      </c>
      <c r="G8" s="189">
        <f>F8+G9</f>
        <v>0</v>
      </c>
      <c r="H8" s="189">
        <f>G8+H9</f>
        <v>0</v>
      </c>
      <c r="I8" s="189">
        <f>H8+I9</f>
        <v>0</v>
      </c>
      <c r="J8" s="189">
        <f>I8+J9</f>
        <v>0</v>
      </c>
      <c r="K8" s="139"/>
      <c r="L8" s="129"/>
    </row>
    <row r="9" spans="1:12" hidden="1" outlineLevel="1" x14ac:dyDescent="0.25">
      <c r="A9" s="129"/>
      <c r="B9" s="138"/>
      <c r="C9" s="176" t="s">
        <v>12</v>
      </c>
      <c r="D9" s="173" t="s">
        <v>3</v>
      </c>
      <c r="E9" s="193"/>
      <c r="F9" s="189">
        <f>E8*Bases!F$9</f>
        <v>0</v>
      </c>
      <c r="G9" s="189">
        <f>F8*Bases!G$9</f>
        <v>0</v>
      </c>
      <c r="H9" s="189">
        <f>G8*Bases!H$9</f>
        <v>0</v>
      </c>
      <c r="I9" s="189">
        <f>H8*Bases!I$9</f>
        <v>0</v>
      </c>
      <c r="J9" s="189">
        <f>I8*Bases!J$9</f>
        <v>0</v>
      </c>
      <c r="K9" s="139"/>
      <c r="L9" s="129"/>
    </row>
    <row r="10" spans="1:12" s="188" customFormat="1" hidden="1" outlineLevel="1" x14ac:dyDescent="0.25">
      <c r="A10" s="187"/>
      <c r="B10" s="186"/>
      <c r="C10" s="181" t="s">
        <v>117</v>
      </c>
      <c r="D10" s="35"/>
      <c r="E10" s="36"/>
      <c r="F10" s="36"/>
      <c r="G10" s="36"/>
      <c r="H10" s="36"/>
      <c r="I10" s="36"/>
      <c r="J10" s="36"/>
      <c r="K10" s="192"/>
      <c r="L10" s="187"/>
    </row>
    <row r="11" spans="1:12" s="188" customFormat="1" hidden="1" outlineLevel="1" x14ac:dyDescent="0.25">
      <c r="A11" s="187"/>
      <c r="B11" s="186"/>
      <c r="C11" s="176" t="s">
        <v>116</v>
      </c>
      <c r="D11" s="173" t="s">
        <v>3</v>
      </c>
      <c r="E11" s="315">
        <f>+' Inversiones Fijas y Diferidas'!G67</f>
        <v>0</v>
      </c>
      <c r="F11" s="189">
        <f>E11+F12</f>
        <v>0</v>
      </c>
      <c r="G11" s="189">
        <f>F11+G12</f>
        <v>0</v>
      </c>
      <c r="H11" s="189">
        <f>G11+H12</f>
        <v>0</v>
      </c>
      <c r="I11" s="189">
        <f>H11+I12</f>
        <v>0</v>
      </c>
      <c r="J11" s="189">
        <f>I11+J12</f>
        <v>0</v>
      </c>
      <c r="K11" s="192"/>
      <c r="L11" s="187"/>
    </row>
    <row r="12" spans="1:12" hidden="1" outlineLevel="1" x14ac:dyDescent="0.25">
      <c r="A12" s="130"/>
      <c r="B12" s="138"/>
      <c r="C12" s="176" t="s">
        <v>12</v>
      </c>
      <c r="D12" s="173" t="s">
        <v>3</v>
      </c>
      <c r="E12" s="36"/>
      <c r="F12" s="189">
        <f>E11*Bases!F$9</f>
        <v>0</v>
      </c>
      <c r="G12" s="189">
        <f>F11*Bases!G$9</f>
        <v>0</v>
      </c>
      <c r="H12" s="189">
        <f>G11*Bases!H$9</f>
        <v>0</v>
      </c>
      <c r="I12" s="189">
        <f>H11*Bases!I$9</f>
        <v>0</v>
      </c>
      <c r="J12" s="189">
        <f>I11*Bases!J$9</f>
        <v>0</v>
      </c>
      <c r="K12" s="137"/>
      <c r="L12" s="129"/>
    </row>
    <row r="13" spans="1:12" s="188" customFormat="1" hidden="1" outlineLevel="1" x14ac:dyDescent="0.25">
      <c r="A13" s="187"/>
      <c r="B13" s="186"/>
      <c r="C13" s="172" t="s">
        <v>13</v>
      </c>
      <c r="D13" s="173" t="s">
        <v>3</v>
      </c>
      <c r="E13" s="36"/>
      <c r="F13" s="313">
        <f>IF(F$2&gt;Bases!$D$35,0,F11/Bases!$D$35)</f>
        <v>0</v>
      </c>
      <c r="G13" s="313">
        <f>IF(G$2&gt;Bases!$D$35,0,G11/Bases!$D$35)</f>
        <v>0</v>
      </c>
      <c r="H13" s="313">
        <f>IF(H$2&gt;Bases!$D$35,0,H11/Bases!$D$35)</f>
        <v>0</v>
      </c>
      <c r="I13" s="313">
        <f>IF(I$2&gt;Bases!$D$35,0,I11/Bases!$D$35)</f>
        <v>0</v>
      </c>
      <c r="J13" s="313">
        <f>IF(J$2&gt;Bases!$D$35,0,J11/Bases!$D$35)</f>
        <v>0</v>
      </c>
      <c r="K13" s="192"/>
      <c r="L13" s="187"/>
    </row>
    <row r="14" spans="1:12" s="188" customFormat="1" hidden="1" outlineLevel="1" x14ac:dyDescent="0.25">
      <c r="A14" s="187"/>
      <c r="B14" s="186"/>
      <c r="C14" s="176" t="s">
        <v>14</v>
      </c>
      <c r="D14" s="173" t="s">
        <v>3</v>
      </c>
      <c r="E14" s="36"/>
      <c r="F14" s="189">
        <f>E15*Bases!F$9</f>
        <v>0</v>
      </c>
      <c r="G14" s="189">
        <f>F15*Bases!G$9</f>
        <v>0</v>
      </c>
      <c r="H14" s="189">
        <f>G15*Bases!H$9</f>
        <v>0</v>
      </c>
      <c r="I14" s="189">
        <f>H15*Bases!I$9</f>
        <v>0</v>
      </c>
      <c r="J14" s="189">
        <f>I15*Bases!J$9</f>
        <v>0</v>
      </c>
      <c r="K14" s="192"/>
      <c r="L14" s="187"/>
    </row>
    <row r="15" spans="1:12" s="180" customFormat="1" hidden="1" outlineLevel="1" x14ac:dyDescent="0.25">
      <c r="A15" s="177"/>
      <c r="B15" s="178"/>
      <c r="C15" s="172" t="s">
        <v>15</v>
      </c>
      <c r="D15" s="173" t="s">
        <v>3</v>
      </c>
      <c r="E15" s="36"/>
      <c r="F15" s="189">
        <f>E15+F13+F14</f>
        <v>0</v>
      </c>
      <c r="G15" s="189">
        <f>F15+G13+G14</f>
        <v>0</v>
      </c>
      <c r="H15" s="189">
        <f>G15+H13+H14</f>
        <v>0</v>
      </c>
      <c r="I15" s="189">
        <f>H15+I13+I14</f>
        <v>0</v>
      </c>
      <c r="J15" s="189">
        <f>I15+J13+J14</f>
        <v>0</v>
      </c>
      <c r="K15" s="179"/>
      <c r="L15" s="177"/>
    </row>
    <row r="16" spans="1:12" s="188" customFormat="1" hidden="1" outlineLevel="1" x14ac:dyDescent="0.25">
      <c r="A16" s="187"/>
      <c r="B16" s="186"/>
      <c r="C16" s="176" t="s">
        <v>16</v>
      </c>
      <c r="D16" s="173" t="s">
        <v>3</v>
      </c>
      <c r="E16" s="36"/>
      <c r="F16" s="189">
        <f>F11-F15</f>
        <v>0</v>
      </c>
      <c r="G16" s="189">
        <f>G11-G15</f>
        <v>0</v>
      </c>
      <c r="H16" s="189">
        <f>H11-H15</f>
        <v>0</v>
      </c>
      <c r="I16" s="189">
        <f>I11-I15</f>
        <v>0</v>
      </c>
      <c r="J16" s="189">
        <f>J11-J15</f>
        <v>0</v>
      </c>
      <c r="K16" s="192"/>
      <c r="L16" s="187"/>
    </row>
    <row r="17" spans="1:12" s="188" customFormat="1" hidden="1" outlineLevel="1" x14ac:dyDescent="0.25">
      <c r="A17" s="187"/>
      <c r="B17" s="186"/>
      <c r="C17" s="201" t="s">
        <v>291</v>
      </c>
      <c r="D17" s="35"/>
      <c r="E17" s="36"/>
      <c r="F17" s="36"/>
      <c r="G17" s="36"/>
      <c r="H17" s="36"/>
      <c r="I17" s="36"/>
      <c r="J17" s="36"/>
      <c r="K17" s="192"/>
      <c r="L17" s="187"/>
    </row>
    <row r="18" spans="1:12" s="188" customFormat="1" hidden="1" outlineLevel="1" x14ac:dyDescent="0.25">
      <c r="A18" s="187"/>
      <c r="B18" s="186"/>
      <c r="C18" s="176" t="s">
        <v>116</v>
      </c>
      <c r="D18" s="173" t="s">
        <v>3</v>
      </c>
      <c r="E18" s="315">
        <f>+' Inversiones Fijas y Diferidas'!G68</f>
        <v>0</v>
      </c>
      <c r="F18" s="189">
        <f>E18+F19</f>
        <v>0</v>
      </c>
      <c r="G18" s="189">
        <f>F18+G19</f>
        <v>0</v>
      </c>
      <c r="H18" s="189">
        <f>G18+H19</f>
        <v>0</v>
      </c>
      <c r="I18" s="189">
        <f>H18+I19</f>
        <v>0</v>
      </c>
      <c r="J18" s="189">
        <f>I18+J19</f>
        <v>0</v>
      </c>
      <c r="K18" s="192"/>
      <c r="L18" s="187"/>
    </row>
    <row r="19" spans="1:12" s="188" customFormat="1" hidden="1" outlineLevel="1" x14ac:dyDescent="0.25">
      <c r="A19" s="187"/>
      <c r="B19" s="186"/>
      <c r="C19" s="176" t="s">
        <v>12</v>
      </c>
      <c r="D19" s="173" t="s">
        <v>3</v>
      </c>
      <c r="E19" s="36"/>
      <c r="F19" s="189">
        <f>E18*Bases!F$9</f>
        <v>0</v>
      </c>
      <c r="G19" s="189">
        <f>F18*Bases!G$9</f>
        <v>0</v>
      </c>
      <c r="H19" s="189">
        <f>G18*Bases!H$9</f>
        <v>0</v>
      </c>
      <c r="I19" s="189">
        <f>H18*Bases!I$9</f>
        <v>0</v>
      </c>
      <c r="J19" s="189">
        <f>I18*Bases!J$9</f>
        <v>0</v>
      </c>
      <c r="K19" s="192"/>
      <c r="L19" s="187"/>
    </row>
    <row r="20" spans="1:12" s="188" customFormat="1" hidden="1" outlineLevel="1" x14ac:dyDescent="0.25">
      <c r="A20" s="187"/>
      <c r="B20" s="186"/>
      <c r="C20" s="172" t="s">
        <v>13</v>
      </c>
      <c r="D20" s="173" t="s">
        <v>3</v>
      </c>
      <c r="E20" s="36"/>
      <c r="F20" s="313">
        <f>IF(F$2&gt;Bases!$D$36,0,F18/Bases!$D$36)</f>
        <v>0</v>
      </c>
      <c r="G20" s="313">
        <f>IF(G$2&gt;Bases!$D$36,0,G18/Bases!$D$36)</f>
        <v>0</v>
      </c>
      <c r="H20" s="313">
        <f>IF(H$2&gt;Bases!$D$36,0,H18/Bases!$D$36)</f>
        <v>0</v>
      </c>
      <c r="I20" s="313">
        <f>IF(I$2&gt;Bases!$D$36,0,I18/Bases!$D$36)</f>
        <v>0</v>
      </c>
      <c r="J20" s="313">
        <f>IF(J$2&gt;Bases!$D$36,0,J18/Bases!$D$36)</f>
        <v>0</v>
      </c>
      <c r="K20" s="192"/>
      <c r="L20" s="187"/>
    </row>
    <row r="21" spans="1:12" s="188" customFormat="1" hidden="1" outlineLevel="1" x14ac:dyDescent="0.25">
      <c r="A21" s="187"/>
      <c r="B21" s="186"/>
      <c r="C21" s="176" t="s">
        <v>14</v>
      </c>
      <c r="D21" s="173" t="s">
        <v>3</v>
      </c>
      <c r="E21" s="36"/>
      <c r="F21" s="189">
        <f>E22*Bases!F$9</f>
        <v>0</v>
      </c>
      <c r="G21" s="189">
        <f>F22*Bases!G$9</f>
        <v>0</v>
      </c>
      <c r="H21" s="189">
        <f>G22*Bases!H$9</f>
        <v>0</v>
      </c>
      <c r="I21" s="189">
        <f>H22*Bases!I$9</f>
        <v>0</v>
      </c>
      <c r="J21" s="189">
        <f>I22*Bases!J$9</f>
        <v>0</v>
      </c>
      <c r="K21" s="192"/>
      <c r="L21" s="187"/>
    </row>
    <row r="22" spans="1:12" s="188" customFormat="1" hidden="1" outlineLevel="1" x14ac:dyDescent="0.25">
      <c r="A22" s="187"/>
      <c r="B22" s="186"/>
      <c r="C22" s="172" t="s">
        <v>15</v>
      </c>
      <c r="D22" s="173" t="s">
        <v>3</v>
      </c>
      <c r="E22" s="36"/>
      <c r="F22" s="189">
        <f>E22+F20+F21</f>
        <v>0</v>
      </c>
      <c r="G22" s="189">
        <f>F22+G20+G21</f>
        <v>0</v>
      </c>
      <c r="H22" s="189">
        <f>G22+H20+H21</f>
        <v>0</v>
      </c>
      <c r="I22" s="189">
        <f>H22+I20+I21</f>
        <v>0</v>
      </c>
      <c r="J22" s="189">
        <f>I22+J20+J21</f>
        <v>0</v>
      </c>
      <c r="K22" s="192"/>
      <c r="L22" s="187"/>
    </row>
    <row r="23" spans="1:12" s="188" customFormat="1" hidden="1" outlineLevel="1" x14ac:dyDescent="0.25">
      <c r="A23" s="187"/>
      <c r="B23" s="186"/>
      <c r="C23" s="176" t="s">
        <v>16</v>
      </c>
      <c r="D23" s="173" t="s">
        <v>3</v>
      </c>
      <c r="E23" s="36"/>
      <c r="F23" s="189">
        <f>F18-F22</f>
        <v>0</v>
      </c>
      <c r="G23" s="189">
        <f>G18-G22</f>
        <v>0</v>
      </c>
      <c r="H23" s="189">
        <f>H18-H22</f>
        <v>0</v>
      </c>
      <c r="I23" s="189">
        <f>I18-I22</f>
        <v>0</v>
      </c>
      <c r="J23" s="189">
        <f>J18-J22</f>
        <v>0</v>
      </c>
      <c r="K23" s="192"/>
      <c r="L23" s="187"/>
    </row>
    <row r="24" spans="1:12" s="188" customFormat="1" hidden="1" outlineLevel="1" x14ac:dyDescent="0.25">
      <c r="A24" s="187"/>
      <c r="B24" s="186"/>
      <c r="C24" s="181" t="s">
        <v>46</v>
      </c>
      <c r="D24" s="35"/>
      <c r="E24" s="36"/>
      <c r="F24" s="36"/>
      <c r="G24" s="36"/>
      <c r="H24" s="36"/>
      <c r="I24" s="36"/>
      <c r="J24" s="36"/>
      <c r="K24" s="192"/>
      <c r="L24" s="187"/>
    </row>
    <row r="25" spans="1:12" s="188" customFormat="1" hidden="1" outlineLevel="1" x14ac:dyDescent="0.25">
      <c r="A25" s="187"/>
      <c r="B25" s="186"/>
      <c r="C25" s="176" t="s">
        <v>116</v>
      </c>
      <c r="D25" s="173" t="s">
        <v>3</v>
      </c>
      <c r="E25" s="314">
        <f>+' Inversiones Fijas y Diferidas'!G95</f>
        <v>36302393</v>
      </c>
      <c r="F25" s="189">
        <f>E25+F26</f>
        <v>36302393</v>
      </c>
      <c r="G25" s="189">
        <f>F25+G26</f>
        <v>36302393</v>
      </c>
      <c r="H25" s="189">
        <f>G25+H26</f>
        <v>36302393</v>
      </c>
      <c r="I25" s="189">
        <f>H25+I26</f>
        <v>36302393</v>
      </c>
      <c r="J25" s="189">
        <f>I25+J26</f>
        <v>36302393</v>
      </c>
      <c r="K25" s="192"/>
      <c r="L25" s="187"/>
    </row>
    <row r="26" spans="1:12" hidden="1" outlineLevel="1" x14ac:dyDescent="0.25">
      <c r="A26" s="130"/>
      <c r="B26" s="138"/>
      <c r="C26" s="176" t="s">
        <v>12</v>
      </c>
      <c r="D26" s="173" t="s">
        <v>3</v>
      </c>
      <c r="E26" s="36"/>
      <c r="F26" s="189">
        <f>E25*Bases!F$9</f>
        <v>0</v>
      </c>
      <c r="G26" s="189">
        <f>F25*Bases!G$9</f>
        <v>0</v>
      </c>
      <c r="H26" s="189">
        <f>G25*Bases!H$9</f>
        <v>0</v>
      </c>
      <c r="I26" s="189">
        <f>H25*Bases!I$9</f>
        <v>0</v>
      </c>
      <c r="J26" s="189">
        <f>I25*Bases!J$9</f>
        <v>0</v>
      </c>
      <c r="K26" s="137"/>
      <c r="L26" s="129"/>
    </row>
    <row r="27" spans="1:12" s="188" customFormat="1" hidden="1" outlineLevel="1" x14ac:dyDescent="0.25">
      <c r="A27" s="187"/>
      <c r="B27" s="186"/>
      <c r="C27" s="172" t="s">
        <v>13</v>
      </c>
      <c r="D27" s="173" t="s">
        <v>3</v>
      </c>
      <c r="E27" s="36"/>
      <c r="F27" s="313">
        <f>IF(F$2&gt;Bases!$D$37,0,F25/Bases!$D$37)</f>
        <v>3630239.3</v>
      </c>
      <c r="G27" s="313">
        <f>IF(G$2&gt;Bases!$D$37,0,G25/Bases!$D$37)</f>
        <v>3630239.3</v>
      </c>
      <c r="H27" s="313">
        <f>IF(H$2&gt;Bases!$D$37,0,H25/Bases!$D$37)</f>
        <v>3630239.3</v>
      </c>
      <c r="I27" s="313">
        <f>IF(I$2&gt;Bases!$D$37,0,I25/Bases!$D$37)</f>
        <v>3630239.3</v>
      </c>
      <c r="J27" s="313">
        <f>IF(J$2&gt;Bases!$D$37,0,J25/Bases!$D$37)</f>
        <v>3630239.3</v>
      </c>
      <c r="K27" s="192"/>
      <c r="L27" s="187"/>
    </row>
    <row r="28" spans="1:12" s="188" customFormat="1" hidden="1" outlineLevel="1" x14ac:dyDescent="0.25">
      <c r="A28" s="187"/>
      <c r="B28" s="186"/>
      <c r="C28" s="176" t="s">
        <v>14</v>
      </c>
      <c r="D28" s="173" t="s">
        <v>3</v>
      </c>
      <c r="E28" s="36"/>
      <c r="F28" s="189">
        <f>E29*Bases!F$9</f>
        <v>0</v>
      </c>
      <c r="G28" s="189">
        <f>F29*Bases!G$9</f>
        <v>0</v>
      </c>
      <c r="H28" s="189">
        <f>G29*Bases!H$9</f>
        <v>0</v>
      </c>
      <c r="I28" s="189">
        <f>H29*Bases!I$9</f>
        <v>0</v>
      </c>
      <c r="J28" s="189">
        <f>I29*Bases!J$9</f>
        <v>0</v>
      </c>
      <c r="K28" s="192"/>
      <c r="L28" s="187"/>
    </row>
    <row r="29" spans="1:12" s="180" customFormat="1" hidden="1" outlineLevel="1" x14ac:dyDescent="0.25">
      <c r="A29" s="177"/>
      <c r="B29" s="178"/>
      <c r="C29" s="172" t="s">
        <v>17</v>
      </c>
      <c r="D29" s="173" t="s">
        <v>3</v>
      </c>
      <c r="E29" s="36"/>
      <c r="F29" s="189">
        <f>E29+F27+F28</f>
        <v>3630239.3</v>
      </c>
      <c r="G29" s="189">
        <f>F29+G27+G28</f>
        <v>7260478.5999999996</v>
      </c>
      <c r="H29" s="189">
        <f>G29+H27+H28</f>
        <v>10890717.899999999</v>
      </c>
      <c r="I29" s="189">
        <f>H29+I27+I28</f>
        <v>14520957.199999999</v>
      </c>
      <c r="J29" s="189">
        <f>I29+J27+J28</f>
        <v>18151196.5</v>
      </c>
      <c r="K29" s="179"/>
      <c r="L29" s="177"/>
    </row>
    <row r="30" spans="1:12" s="188" customFormat="1" hidden="1" outlineLevel="1" x14ac:dyDescent="0.25">
      <c r="A30" s="187"/>
      <c r="B30" s="186"/>
      <c r="C30" s="176" t="s">
        <v>16</v>
      </c>
      <c r="D30" s="173" t="s">
        <v>3</v>
      </c>
      <c r="E30" s="36"/>
      <c r="F30" s="189">
        <f>F25-F29</f>
        <v>32672153.699999999</v>
      </c>
      <c r="G30" s="189">
        <f>G25-G29</f>
        <v>29041914.399999999</v>
      </c>
      <c r="H30" s="189">
        <f>H25-H29</f>
        <v>25411675.100000001</v>
      </c>
      <c r="I30" s="189">
        <f>I25-I29</f>
        <v>21781435.800000001</v>
      </c>
      <c r="J30" s="189">
        <f>J25-J29</f>
        <v>18151196.5</v>
      </c>
      <c r="K30" s="192"/>
      <c r="L30" s="187"/>
    </row>
    <row r="31" spans="1:12" s="188" customFormat="1" hidden="1" outlineLevel="1" x14ac:dyDescent="0.25">
      <c r="A31" s="187"/>
      <c r="B31" s="186"/>
      <c r="C31" s="181" t="s">
        <v>122</v>
      </c>
      <c r="D31" s="35"/>
      <c r="E31" s="36"/>
      <c r="F31" s="36"/>
      <c r="G31" s="36"/>
      <c r="H31" s="36"/>
      <c r="I31" s="36"/>
      <c r="J31" s="36"/>
      <c r="K31" s="192"/>
      <c r="L31" s="187"/>
    </row>
    <row r="32" spans="1:12" s="188" customFormat="1" hidden="1" outlineLevel="1" x14ac:dyDescent="0.25">
      <c r="A32" s="187"/>
      <c r="B32" s="186"/>
      <c r="C32" s="176" t="s">
        <v>116</v>
      </c>
      <c r="D32" s="173" t="s">
        <v>3</v>
      </c>
      <c r="E32" s="315">
        <f>+' Inversiones Fijas y Diferidas'!G107</f>
        <v>1000000</v>
      </c>
      <c r="F32" s="189">
        <f>E32+F33</f>
        <v>1000000</v>
      </c>
      <c r="G32" s="189">
        <f>F32+G33</f>
        <v>1000000</v>
      </c>
      <c r="H32" s="189">
        <f>G32+H33</f>
        <v>1000000</v>
      </c>
      <c r="I32" s="189">
        <f>H32+I33</f>
        <v>1000000</v>
      </c>
      <c r="J32" s="189">
        <f>I32+J33</f>
        <v>1000000</v>
      </c>
      <c r="K32" s="192"/>
      <c r="L32" s="187"/>
    </row>
    <row r="33" spans="1:12" hidden="1" outlineLevel="1" x14ac:dyDescent="0.25">
      <c r="A33" s="130"/>
      <c r="B33" s="138"/>
      <c r="C33" s="176" t="s">
        <v>12</v>
      </c>
      <c r="D33" s="173" t="s">
        <v>3</v>
      </c>
      <c r="E33" s="36"/>
      <c r="F33" s="189">
        <f>E32*Bases!F$9</f>
        <v>0</v>
      </c>
      <c r="G33" s="189">
        <f>F32*Bases!G$9</f>
        <v>0</v>
      </c>
      <c r="H33" s="189">
        <f>G32*Bases!H$9</f>
        <v>0</v>
      </c>
      <c r="I33" s="189">
        <f>H32*Bases!I$9</f>
        <v>0</v>
      </c>
      <c r="J33" s="189">
        <f>I32*Bases!J$9</f>
        <v>0</v>
      </c>
      <c r="K33" s="137"/>
      <c r="L33" s="129"/>
    </row>
    <row r="34" spans="1:12" s="188" customFormat="1" hidden="1" outlineLevel="1" x14ac:dyDescent="0.25">
      <c r="A34" s="187"/>
      <c r="B34" s="186"/>
      <c r="C34" s="172" t="s">
        <v>13</v>
      </c>
      <c r="D34" s="173" t="s">
        <v>3</v>
      </c>
      <c r="E34" s="36"/>
      <c r="F34" s="313">
        <f>IF(F$2&gt;Bases!$D$38,0,F32/Bases!$D$38)</f>
        <v>100000</v>
      </c>
      <c r="G34" s="313">
        <f>IF(G$2&gt;Bases!$D$38,0,G32/Bases!$D$38)</f>
        <v>100000</v>
      </c>
      <c r="H34" s="313">
        <f>IF(H$2&gt;Bases!$D$38,0,H32/Bases!$D$38)</f>
        <v>100000</v>
      </c>
      <c r="I34" s="313">
        <f>IF(I$2&gt;Bases!$D$38,0,I32/Bases!$D$38)</f>
        <v>100000</v>
      </c>
      <c r="J34" s="313">
        <f>IF(J$2&gt;Bases!$D$38,0,J32/Bases!$D$38)</f>
        <v>100000</v>
      </c>
      <c r="K34" s="192"/>
      <c r="L34" s="187"/>
    </row>
    <row r="35" spans="1:12" s="188" customFormat="1" hidden="1" outlineLevel="1" x14ac:dyDescent="0.25">
      <c r="A35" s="187"/>
      <c r="B35" s="186"/>
      <c r="C35" s="176" t="s">
        <v>14</v>
      </c>
      <c r="D35" s="173" t="s">
        <v>3</v>
      </c>
      <c r="E35" s="36"/>
      <c r="F35" s="189">
        <f>E36*Bases!F$9</f>
        <v>0</v>
      </c>
      <c r="G35" s="189">
        <f>F36*Bases!G$9</f>
        <v>0</v>
      </c>
      <c r="H35" s="189">
        <f>G36*Bases!H$9</f>
        <v>0</v>
      </c>
      <c r="I35" s="189">
        <f>H36*Bases!I$9</f>
        <v>0</v>
      </c>
      <c r="J35" s="189">
        <f>I36*Bases!J$9</f>
        <v>0</v>
      </c>
      <c r="K35" s="192"/>
      <c r="L35" s="187"/>
    </row>
    <row r="36" spans="1:12" s="180" customFormat="1" hidden="1" outlineLevel="1" x14ac:dyDescent="0.25">
      <c r="A36" s="177"/>
      <c r="B36" s="178"/>
      <c r="C36" s="172" t="s">
        <v>17</v>
      </c>
      <c r="D36" s="173" t="s">
        <v>3</v>
      </c>
      <c r="E36" s="36"/>
      <c r="F36" s="189">
        <f>E36+F34+F35</f>
        <v>100000</v>
      </c>
      <c r="G36" s="189">
        <f>F36+G34+G35</f>
        <v>200000</v>
      </c>
      <c r="H36" s="189">
        <f>G36+H34+H35</f>
        <v>300000</v>
      </c>
      <c r="I36" s="189">
        <f>H36+I34+I35</f>
        <v>400000</v>
      </c>
      <c r="J36" s="189">
        <f>I36+J34+J35</f>
        <v>500000</v>
      </c>
      <c r="K36" s="179"/>
      <c r="L36" s="177"/>
    </row>
    <row r="37" spans="1:12" s="188" customFormat="1" hidden="1" outlineLevel="1" x14ac:dyDescent="0.25">
      <c r="A37" s="187"/>
      <c r="B37" s="186"/>
      <c r="C37" s="176" t="s">
        <v>16</v>
      </c>
      <c r="D37" s="173" t="s">
        <v>3</v>
      </c>
      <c r="E37" s="36"/>
      <c r="F37" s="189">
        <f>F32-F36</f>
        <v>900000</v>
      </c>
      <c r="G37" s="189">
        <f>G32-G36</f>
        <v>800000</v>
      </c>
      <c r="H37" s="189">
        <f>H32-H36</f>
        <v>700000</v>
      </c>
      <c r="I37" s="189">
        <f>I32-I36</f>
        <v>600000</v>
      </c>
      <c r="J37" s="189">
        <f>J32-J36</f>
        <v>500000</v>
      </c>
      <c r="K37" s="192"/>
      <c r="L37" s="187"/>
    </row>
    <row r="38" spans="1:12" s="188" customFormat="1" hidden="1" outlineLevel="1" x14ac:dyDescent="0.25">
      <c r="A38" s="187"/>
      <c r="B38" s="186"/>
      <c r="C38" s="181" t="s">
        <v>119</v>
      </c>
      <c r="D38" s="35"/>
      <c r="E38" s="36"/>
      <c r="F38" s="36"/>
      <c r="G38" s="36"/>
      <c r="H38" s="36"/>
      <c r="I38" s="36"/>
      <c r="J38" s="36"/>
      <c r="K38" s="192"/>
      <c r="L38" s="187"/>
    </row>
    <row r="39" spans="1:12" s="188" customFormat="1" hidden="1" outlineLevel="1" x14ac:dyDescent="0.25">
      <c r="A39" s="187"/>
      <c r="B39" s="186"/>
      <c r="C39" s="176" t="s">
        <v>116</v>
      </c>
      <c r="D39" s="173" t="s">
        <v>3</v>
      </c>
      <c r="E39" s="315">
        <f>+' Inversiones Fijas y Diferidas'!G115</f>
        <v>0</v>
      </c>
      <c r="F39" s="189">
        <f>E39+F40</f>
        <v>0</v>
      </c>
      <c r="G39" s="189">
        <f>F39+G40</f>
        <v>0</v>
      </c>
      <c r="H39" s="189">
        <f>G39+H40</f>
        <v>0</v>
      </c>
      <c r="I39" s="189">
        <f>H39+I40</f>
        <v>0</v>
      </c>
      <c r="J39" s="189">
        <f>I39+J40</f>
        <v>0</v>
      </c>
      <c r="K39" s="192"/>
      <c r="L39" s="187"/>
    </row>
    <row r="40" spans="1:12" hidden="1" outlineLevel="1" x14ac:dyDescent="0.25">
      <c r="A40" s="130"/>
      <c r="B40" s="138"/>
      <c r="C40" s="176" t="s">
        <v>12</v>
      </c>
      <c r="D40" s="173" t="s">
        <v>3</v>
      </c>
      <c r="E40" s="36"/>
      <c r="F40" s="189">
        <f>E39*Bases!F$9</f>
        <v>0</v>
      </c>
      <c r="G40" s="189">
        <f>F39*Bases!G$9</f>
        <v>0</v>
      </c>
      <c r="H40" s="189">
        <f>G39*Bases!H$9</f>
        <v>0</v>
      </c>
      <c r="I40" s="189">
        <f>H39*Bases!I$9</f>
        <v>0</v>
      </c>
      <c r="J40" s="189">
        <f>I39*Bases!J$9</f>
        <v>0</v>
      </c>
      <c r="K40" s="137"/>
      <c r="L40" s="129"/>
    </row>
    <row r="41" spans="1:12" s="188" customFormat="1" hidden="1" outlineLevel="1" x14ac:dyDescent="0.25">
      <c r="A41" s="187"/>
      <c r="B41" s="186"/>
      <c r="C41" s="172" t="s">
        <v>13</v>
      </c>
      <c r="D41" s="173" t="s">
        <v>3</v>
      </c>
      <c r="E41" s="36"/>
      <c r="F41" s="313">
        <f>IF(F$2&gt;Bases!$D$39,0,F39/Bases!$D$39)</f>
        <v>0</v>
      </c>
      <c r="G41" s="313">
        <f>IF(G$2&gt;Bases!$D$39,0,G39/Bases!$D$39)</f>
        <v>0</v>
      </c>
      <c r="H41" s="313">
        <f>IF(H$2&gt;Bases!$D$39,0,H39/Bases!$D$39)</f>
        <v>0</v>
      </c>
      <c r="I41" s="313">
        <f>IF(I$2&gt;Bases!$D$39,0,I39/Bases!$D$39)</f>
        <v>0</v>
      </c>
      <c r="J41" s="313">
        <f>IF(J$2&gt;Bases!$D$39,0,J39/Bases!$D$39)</f>
        <v>0</v>
      </c>
      <c r="K41" s="192"/>
      <c r="L41" s="187"/>
    </row>
    <row r="42" spans="1:12" s="188" customFormat="1" hidden="1" outlineLevel="1" x14ac:dyDescent="0.25">
      <c r="A42" s="187"/>
      <c r="B42" s="186"/>
      <c r="C42" s="176" t="s">
        <v>14</v>
      </c>
      <c r="D42" s="173" t="s">
        <v>3</v>
      </c>
      <c r="E42" s="36"/>
      <c r="F42" s="189">
        <f>E43*Bases!F$9</f>
        <v>0</v>
      </c>
      <c r="G42" s="189">
        <f>F43*Bases!G$9</f>
        <v>0</v>
      </c>
      <c r="H42" s="189">
        <f>G43*Bases!H$9</f>
        <v>0</v>
      </c>
      <c r="I42" s="189">
        <f>H43*Bases!I$9</f>
        <v>0</v>
      </c>
      <c r="J42" s="189">
        <f>I43*Bases!J$9</f>
        <v>0</v>
      </c>
      <c r="K42" s="192"/>
      <c r="L42" s="187"/>
    </row>
    <row r="43" spans="1:12" s="180" customFormat="1" hidden="1" outlineLevel="1" x14ac:dyDescent="0.25">
      <c r="A43" s="177"/>
      <c r="B43" s="178"/>
      <c r="C43" s="172" t="s">
        <v>17</v>
      </c>
      <c r="D43" s="173" t="s">
        <v>3</v>
      </c>
      <c r="E43" s="36"/>
      <c r="F43" s="189">
        <f>E43+F41+F42</f>
        <v>0</v>
      </c>
      <c r="G43" s="189">
        <f>F43+G41+G42</f>
        <v>0</v>
      </c>
      <c r="H43" s="189">
        <f>G43+H41+H42</f>
        <v>0</v>
      </c>
      <c r="I43" s="189">
        <f>H43+I41+I42</f>
        <v>0</v>
      </c>
      <c r="J43" s="189">
        <f>I43+J41+J42</f>
        <v>0</v>
      </c>
      <c r="K43" s="179"/>
      <c r="L43" s="177"/>
    </row>
    <row r="44" spans="1:12" s="188" customFormat="1" hidden="1" outlineLevel="1" x14ac:dyDescent="0.25">
      <c r="A44" s="187"/>
      <c r="B44" s="186"/>
      <c r="C44" s="176" t="s">
        <v>16</v>
      </c>
      <c r="D44" s="173" t="s">
        <v>3</v>
      </c>
      <c r="E44" s="36"/>
      <c r="F44" s="189">
        <f>F39-F43</f>
        <v>0</v>
      </c>
      <c r="G44" s="189">
        <f>G39-G43</f>
        <v>0</v>
      </c>
      <c r="H44" s="189">
        <f>H39-H43</f>
        <v>0</v>
      </c>
      <c r="I44" s="189">
        <f>I39-I43</f>
        <v>0</v>
      </c>
      <c r="J44" s="189">
        <f>J39-J43</f>
        <v>0</v>
      </c>
      <c r="K44" s="192"/>
      <c r="L44" s="187"/>
    </row>
    <row r="45" spans="1:12" s="188" customFormat="1" hidden="1" outlineLevel="1" x14ac:dyDescent="0.25">
      <c r="A45" s="187"/>
      <c r="B45" s="186"/>
      <c r="C45" s="181" t="s">
        <v>124</v>
      </c>
      <c r="D45" s="35"/>
      <c r="E45" s="36"/>
      <c r="F45" s="36"/>
      <c r="G45" s="36"/>
      <c r="H45" s="36"/>
      <c r="I45" s="36"/>
      <c r="J45" s="36"/>
      <c r="K45" s="192"/>
      <c r="L45" s="187"/>
    </row>
    <row r="46" spans="1:12" s="188" customFormat="1" hidden="1" outlineLevel="1" x14ac:dyDescent="0.25">
      <c r="A46" s="187"/>
      <c r="B46" s="186"/>
      <c r="C46" s="176" t="s">
        <v>116</v>
      </c>
      <c r="D46" s="173" t="s">
        <v>3</v>
      </c>
      <c r="E46" s="315">
        <f>+' Inversiones Fijas y Diferidas'!G125</f>
        <v>0</v>
      </c>
      <c r="F46" s="189">
        <f>E46+F47</f>
        <v>0</v>
      </c>
      <c r="G46" s="189">
        <f>F46+G47</f>
        <v>0</v>
      </c>
      <c r="H46" s="189">
        <f>G46+H47</f>
        <v>0</v>
      </c>
      <c r="I46" s="189">
        <f>H46+I47</f>
        <v>0</v>
      </c>
      <c r="J46" s="189">
        <f>I46+J47</f>
        <v>0</v>
      </c>
      <c r="K46" s="192"/>
      <c r="L46" s="187"/>
    </row>
    <row r="47" spans="1:12" hidden="1" outlineLevel="1" x14ac:dyDescent="0.25">
      <c r="A47" s="130"/>
      <c r="B47" s="138"/>
      <c r="C47" s="176" t="s">
        <v>12</v>
      </c>
      <c r="D47" s="173" t="s">
        <v>3</v>
      </c>
      <c r="E47" s="36"/>
      <c r="F47" s="189">
        <f>E46*Bases!F$9</f>
        <v>0</v>
      </c>
      <c r="G47" s="189">
        <f>F46*Bases!G$9</f>
        <v>0</v>
      </c>
      <c r="H47" s="189">
        <f>G46*Bases!H$9</f>
        <v>0</v>
      </c>
      <c r="I47" s="189">
        <f>H46*Bases!I$9</f>
        <v>0</v>
      </c>
      <c r="J47" s="189">
        <f>I46*Bases!J$9</f>
        <v>0</v>
      </c>
      <c r="K47" s="137"/>
      <c r="L47" s="129"/>
    </row>
    <row r="48" spans="1:12" s="188" customFormat="1" hidden="1" outlineLevel="1" x14ac:dyDescent="0.25">
      <c r="A48" s="187"/>
      <c r="B48" s="186"/>
      <c r="C48" s="172" t="s">
        <v>13</v>
      </c>
      <c r="D48" s="173" t="s">
        <v>3</v>
      </c>
      <c r="E48" s="36"/>
      <c r="F48" s="313">
        <f>IF(F$2&gt;Bases!$D$40,0,F46/Bases!$D$40)</f>
        <v>0</v>
      </c>
      <c r="G48" s="313">
        <f>IF(G$2&gt;Bases!$D$40,0,G46/Bases!$D$40)</f>
        <v>0</v>
      </c>
      <c r="H48" s="313">
        <f>IF(H$2&gt;Bases!$D$40,0,H46/Bases!$D$40)</f>
        <v>0</v>
      </c>
      <c r="I48" s="313">
        <f>IF(I$2&gt;Bases!$D$40,0,I46/Bases!$D$40)</f>
        <v>0</v>
      </c>
      <c r="J48" s="313">
        <f>IF(J$2&gt;Bases!$D$40,0,J46/Bases!$D$40)</f>
        <v>0</v>
      </c>
      <c r="K48" s="192"/>
      <c r="L48" s="187"/>
    </row>
    <row r="49" spans="1:12" s="188" customFormat="1" hidden="1" outlineLevel="1" x14ac:dyDescent="0.25">
      <c r="A49" s="187"/>
      <c r="B49" s="186"/>
      <c r="C49" s="176" t="s">
        <v>14</v>
      </c>
      <c r="D49" s="173" t="s">
        <v>3</v>
      </c>
      <c r="E49" s="36"/>
      <c r="F49" s="189">
        <f>E50*Bases!F$9</f>
        <v>0</v>
      </c>
      <c r="G49" s="189">
        <f>F50*Bases!G$9</f>
        <v>0</v>
      </c>
      <c r="H49" s="189">
        <f>G50*Bases!H$9</f>
        <v>0</v>
      </c>
      <c r="I49" s="189">
        <f>H50*Bases!I$9</f>
        <v>0</v>
      </c>
      <c r="J49" s="189">
        <f>I50*Bases!J$9</f>
        <v>0</v>
      </c>
      <c r="K49" s="192"/>
      <c r="L49" s="187"/>
    </row>
    <row r="50" spans="1:12" s="180" customFormat="1" hidden="1" outlineLevel="1" x14ac:dyDescent="0.25">
      <c r="A50" s="177"/>
      <c r="B50" s="178"/>
      <c r="C50" s="172" t="s">
        <v>17</v>
      </c>
      <c r="D50" s="173" t="s">
        <v>3</v>
      </c>
      <c r="E50" s="36"/>
      <c r="F50" s="189">
        <f>E50+F48+F49</f>
        <v>0</v>
      </c>
      <c r="G50" s="189">
        <f>F50+G48+G49</f>
        <v>0</v>
      </c>
      <c r="H50" s="189">
        <f>G50+H48+H49</f>
        <v>0</v>
      </c>
      <c r="I50" s="189">
        <f>H50+I48+I49</f>
        <v>0</v>
      </c>
      <c r="J50" s="189">
        <f>I50+J48+J49</f>
        <v>0</v>
      </c>
      <c r="K50" s="179"/>
      <c r="L50" s="177"/>
    </row>
    <row r="51" spans="1:12" s="188" customFormat="1" hidden="1" outlineLevel="1" x14ac:dyDescent="0.25">
      <c r="A51" s="187"/>
      <c r="B51" s="186"/>
      <c r="C51" s="176" t="s">
        <v>16</v>
      </c>
      <c r="D51" s="173" t="s">
        <v>3</v>
      </c>
      <c r="E51" s="36"/>
      <c r="F51" s="189">
        <f>F46-F50</f>
        <v>0</v>
      </c>
      <c r="G51" s="189">
        <f>G46-G50</f>
        <v>0</v>
      </c>
      <c r="H51" s="189">
        <f>H46-H50</f>
        <v>0</v>
      </c>
      <c r="I51" s="189">
        <f>I46-I50</f>
        <v>0</v>
      </c>
      <c r="J51" s="189">
        <f>J46-J50</f>
        <v>0</v>
      </c>
      <c r="K51" s="192"/>
      <c r="L51" s="187"/>
    </row>
    <row r="52" spans="1:12" s="188" customFormat="1" hidden="1" outlineLevel="1" x14ac:dyDescent="0.25">
      <c r="A52" s="187"/>
      <c r="B52" s="186"/>
      <c r="C52" s="181" t="s">
        <v>131</v>
      </c>
      <c r="D52" s="35"/>
      <c r="E52" s="36"/>
      <c r="F52" s="36"/>
      <c r="G52" s="36"/>
      <c r="H52" s="36"/>
      <c r="I52" s="36"/>
      <c r="J52" s="36"/>
      <c r="K52" s="192"/>
      <c r="L52" s="187"/>
    </row>
    <row r="53" spans="1:12" s="188" customFormat="1" hidden="1" outlineLevel="1" x14ac:dyDescent="0.25">
      <c r="A53" s="187"/>
      <c r="B53" s="186"/>
      <c r="C53" s="176" t="s">
        <v>116</v>
      </c>
      <c r="D53" s="173" t="s">
        <v>3</v>
      </c>
      <c r="E53" s="315">
        <f>' Inversiones Fijas y Diferidas'!G128</f>
        <v>0</v>
      </c>
      <c r="F53" s="189">
        <f>E53+F54</f>
        <v>0</v>
      </c>
      <c r="G53" s="189">
        <f>F53+G54</f>
        <v>0</v>
      </c>
      <c r="H53" s="189">
        <f>G53+H54</f>
        <v>0</v>
      </c>
      <c r="I53" s="189">
        <f>H53+I54</f>
        <v>0</v>
      </c>
      <c r="J53" s="189">
        <f>I53+J54</f>
        <v>0</v>
      </c>
      <c r="K53" s="192"/>
      <c r="L53" s="187"/>
    </row>
    <row r="54" spans="1:12" hidden="1" outlineLevel="1" x14ac:dyDescent="0.25">
      <c r="A54" s="130"/>
      <c r="B54" s="138"/>
      <c r="C54" s="176" t="s">
        <v>12</v>
      </c>
      <c r="D54" s="173" t="s">
        <v>3</v>
      </c>
      <c r="E54" s="36"/>
      <c r="F54" s="189">
        <f>E53*Bases!F$9</f>
        <v>0</v>
      </c>
      <c r="G54" s="189">
        <f>F53*Bases!G$9</f>
        <v>0</v>
      </c>
      <c r="H54" s="189">
        <f>G53*Bases!H$9</f>
        <v>0</v>
      </c>
      <c r="I54" s="189">
        <f>H53*Bases!I$9</f>
        <v>0</v>
      </c>
      <c r="J54" s="189">
        <f>I53*Bases!J$9</f>
        <v>0</v>
      </c>
      <c r="K54" s="137"/>
      <c r="L54" s="129"/>
    </row>
    <row r="55" spans="1:12" s="188" customFormat="1" hidden="1" outlineLevel="1" x14ac:dyDescent="0.25">
      <c r="A55" s="187"/>
      <c r="B55" s="186"/>
      <c r="C55" s="172" t="s">
        <v>159</v>
      </c>
      <c r="D55" s="173" t="s">
        <v>3</v>
      </c>
      <c r="E55" s="36"/>
      <c r="F55" s="189">
        <f>IF(F$2&gt;Bases!$D$41,0,F53/Bases!$D$41)</f>
        <v>0</v>
      </c>
      <c r="G55" s="189">
        <f>IF(G$2&gt;Bases!$D$41,0,G53/Bases!$D$41)</f>
        <v>0</v>
      </c>
      <c r="H55" s="189">
        <f>IF(H$2&gt;Bases!$D$41,0,H53/Bases!$D$41)</f>
        <v>0</v>
      </c>
      <c r="I55" s="189">
        <f>IF(I$2&gt;Bases!$D$41,0,I53/Bases!$D$41)</f>
        <v>0</v>
      </c>
      <c r="J55" s="189">
        <f>IF(J$2&gt;Bases!$D$41,0,J53/Bases!$D$41)</f>
        <v>0</v>
      </c>
      <c r="K55" s="192"/>
      <c r="L55" s="187"/>
    </row>
    <row r="56" spans="1:12" s="188" customFormat="1" hidden="1" outlineLevel="1" x14ac:dyDescent="0.25">
      <c r="A56" s="187"/>
      <c r="B56" s="186"/>
      <c r="C56" s="176" t="s">
        <v>160</v>
      </c>
      <c r="D56" s="173" t="s">
        <v>3</v>
      </c>
      <c r="E56" s="36"/>
      <c r="F56" s="189">
        <f>E57*Bases!F$9</f>
        <v>0</v>
      </c>
      <c r="G56" s="189">
        <f>F57*Bases!G$9</f>
        <v>0</v>
      </c>
      <c r="H56" s="189">
        <f>G57*Bases!H$9</f>
        <v>0</v>
      </c>
      <c r="I56" s="189">
        <f>H57*Bases!I$9</f>
        <v>0</v>
      </c>
      <c r="J56" s="189">
        <f>I57*Bases!J$9</f>
        <v>0</v>
      </c>
      <c r="K56" s="192"/>
      <c r="L56" s="187"/>
    </row>
    <row r="57" spans="1:12" s="180" customFormat="1" hidden="1" outlineLevel="1" x14ac:dyDescent="0.25">
      <c r="A57" s="177"/>
      <c r="B57" s="178"/>
      <c r="C57" s="172" t="s">
        <v>161</v>
      </c>
      <c r="D57" s="173" t="s">
        <v>3</v>
      </c>
      <c r="E57" s="36"/>
      <c r="F57" s="189">
        <f>E57+F55+F56</f>
        <v>0</v>
      </c>
      <c r="G57" s="189">
        <f>F57+G55+G56</f>
        <v>0</v>
      </c>
      <c r="H57" s="189">
        <f>G57+H55+H56</f>
        <v>0</v>
      </c>
      <c r="I57" s="189">
        <f>H57+I55+I56</f>
        <v>0</v>
      </c>
      <c r="J57" s="189">
        <f>I57+J55+J56</f>
        <v>0</v>
      </c>
      <c r="K57" s="179"/>
      <c r="L57" s="177"/>
    </row>
    <row r="58" spans="1:12" s="188" customFormat="1" hidden="1" outlineLevel="1" x14ac:dyDescent="0.25">
      <c r="A58" s="187"/>
      <c r="B58" s="186"/>
      <c r="C58" s="176" t="s">
        <v>16</v>
      </c>
      <c r="D58" s="173" t="s">
        <v>3</v>
      </c>
      <c r="E58" s="36"/>
      <c r="F58" s="189">
        <f>F53-F57</f>
        <v>0</v>
      </c>
      <c r="G58" s="189">
        <f>G53-G57</f>
        <v>0</v>
      </c>
      <c r="H58" s="189">
        <f>H53-H57</f>
        <v>0</v>
      </c>
      <c r="I58" s="189">
        <f>I53-I57</f>
        <v>0</v>
      </c>
      <c r="J58" s="189">
        <f>J53-J57</f>
        <v>0</v>
      </c>
      <c r="K58" s="192"/>
      <c r="L58" s="187"/>
    </row>
    <row r="59" spans="1:12" s="188" customFormat="1" hidden="1" outlineLevel="1" x14ac:dyDescent="0.25">
      <c r="A59" s="187"/>
      <c r="B59" s="186"/>
      <c r="C59" s="181" t="s">
        <v>132</v>
      </c>
      <c r="D59" s="35"/>
      <c r="E59" s="36"/>
      <c r="F59" s="36"/>
      <c r="G59" s="36"/>
      <c r="H59" s="36"/>
      <c r="I59" s="36"/>
      <c r="J59" s="36"/>
      <c r="K59" s="192"/>
      <c r="L59" s="187"/>
    </row>
    <row r="60" spans="1:12" s="188" customFormat="1" hidden="1" outlineLevel="1" x14ac:dyDescent="0.25">
      <c r="A60" s="187"/>
      <c r="B60" s="186"/>
      <c r="C60" s="176" t="s">
        <v>116</v>
      </c>
      <c r="D60" s="173" t="s">
        <v>3</v>
      </c>
      <c r="E60" s="315">
        <f>' Inversiones Fijas y Diferidas'!G131</f>
        <v>0</v>
      </c>
      <c r="F60" s="189">
        <f>E60+F61</f>
        <v>0</v>
      </c>
      <c r="G60" s="189">
        <f>F60+G61</f>
        <v>0</v>
      </c>
      <c r="H60" s="189">
        <f>G60+H61</f>
        <v>0</v>
      </c>
      <c r="I60" s="189">
        <f>H60+I61</f>
        <v>0</v>
      </c>
      <c r="J60" s="189">
        <f>I60+J61</f>
        <v>0</v>
      </c>
      <c r="K60" s="192"/>
      <c r="L60" s="187"/>
    </row>
    <row r="61" spans="1:12" hidden="1" outlineLevel="1" x14ac:dyDescent="0.25">
      <c r="A61" s="130"/>
      <c r="B61" s="138"/>
      <c r="C61" s="176" t="s">
        <v>12</v>
      </c>
      <c r="D61" s="173" t="s">
        <v>3</v>
      </c>
      <c r="E61" s="36"/>
      <c r="F61" s="189">
        <f>E60*Bases!F$9</f>
        <v>0</v>
      </c>
      <c r="G61" s="189">
        <f>F60*Bases!G$9</f>
        <v>0</v>
      </c>
      <c r="H61" s="189">
        <f>G60*Bases!H$9</f>
        <v>0</v>
      </c>
      <c r="I61" s="189">
        <f>H60*Bases!I$9</f>
        <v>0</v>
      </c>
      <c r="J61" s="189">
        <f>I60*Bases!J$9</f>
        <v>0</v>
      </c>
      <c r="K61" s="137"/>
      <c r="L61" s="129"/>
    </row>
    <row r="62" spans="1:12" s="188" customFormat="1" hidden="1" outlineLevel="1" x14ac:dyDescent="0.25">
      <c r="A62" s="187"/>
      <c r="B62" s="186"/>
      <c r="C62" s="172" t="s">
        <v>159</v>
      </c>
      <c r="D62" s="173" t="s">
        <v>3</v>
      </c>
      <c r="E62" s="36"/>
      <c r="F62" s="189">
        <f>IF(F$2&gt;Bases!$D$42,0,F60/Bases!$D$42)</f>
        <v>0</v>
      </c>
      <c r="G62" s="189">
        <f>IF(G$2&gt;Bases!$D$42,0,G60/Bases!$D$42)</f>
        <v>0</v>
      </c>
      <c r="H62" s="189">
        <f>IF(H$2&gt;Bases!$D$42,0,H60/Bases!$D$42)</f>
        <v>0</v>
      </c>
      <c r="I62" s="189">
        <f>IF(I$2&gt;Bases!$D$42,0,I60/Bases!$D$42)</f>
        <v>0</v>
      </c>
      <c r="J62" s="189">
        <f>IF(J$2&gt;Bases!$D$42,0,J60/Bases!$D$42)</f>
        <v>0</v>
      </c>
      <c r="K62" s="192"/>
      <c r="L62" s="187"/>
    </row>
    <row r="63" spans="1:12" s="188" customFormat="1" hidden="1" outlineLevel="1" x14ac:dyDescent="0.25">
      <c r="A63" s="187"/>
      <c r="B63" s="186"/>
      <c r="C63" s="176" t="s">
        <v>160</v>
      </c>
      <c r="D63" s="173" t="s">
        <v>3</v>
      </c>
      <c r="E63" s="36"/>
      <c r="F63" s="189">
        <f>E64*Bases!F$9</f>
        <v>0</v>
      </c>
      <c r="G63" s="189">
        <f>F64*Bases!G$9</f>
        <v>0</v>
      </c>
      <c r="H63" s="189">
        <f>G64*Bases!H$9</f>
        <v>0</v>
      </c>
      <c r="I63" s="189">
        <f>H64*Bases!I$9</f>
        <v>0</v>
      </c>
      <c r="J63" s="189">
        <f>I64*Bases!J$9</f>
        <v>0</v>
      </c>
      <c r="K63" s="192"/>
      <c r="L63" s="187"/>
    </row>
    <row r="64" spans="1:12" s="180" customFormat="1" hidden="1" outlineLevel="1" x14ac:dyDescent="0.25">
      <c r="A64" s="177"/>
      <c r="B64" s="178"/>
      <c r="C64" s="172" t="s">
        <v>161</v>
      </c>
      <c r="D64" s="173" t="s">
        <v>3</v>
      </c>
      <c r="E64" s="36"/>
      <c r="F64" s="189">
        <f>E64+F62+F63</f>
        <v>0</v>
      </c>
      <c r="G64" s="189">
        <f>F64+G62+G63</f>
        <v>0</v>
      </c>
      <c r="H64" s="189">
        <f>G64+H62+H63</f>
        <v>0</v>
      </c>
      <c r="I64" s="189">
        <f>H64+I62+I63</f>
        <v>0</v>
      </c>
      <c r="J64" s="189">
        <f>I64+J62+J63</f>
        <v>0</v>
      </c>
      <c r="K64" s="179"/>
      <c r="L64" s="177"/>
    </row>
    <row r="65" spans="1:12" s="188" customFormat="1" hidden="1" outlineLevel="1" x14ac:dyDescent="0.25">
      <c r="A65" s="187"/>
      <c r="B65" s="186"/>
      <c r="C65" s="176" t="s">
        <v>16</v>
      </c>
      <c r="D65" s="173" t="s">
        <v>3</v>
      </c>
      <c r="E65" s="36"/>
      <c r="F65" s="189">
        <f>F60-F64</f>
        <v>0</v>
      </c>
      <c r="G65" s="189">
        <f>G60-G64</f>
        <v>0</v>
      </c>
      <c r="H65" s="189">
        <f>H60-H64</f>
        <v>0</v>
      </c>
      <c r="I65" s="189">
        <f>I60-I64</f>
        <v>0</v>
      </c>
      <c r="J65" s="189">
        <f>J60-J64</f>
        <v>0</v>
      </c>
      <c r="K65" s="192"/>
      <c r="L65" s="187"/>
    </row>
    <row r="66" spans="1:12" s="188" customFormat="1" outlineLevel="1" x14ac:dyDescent="0.25">
      <c r="A66" s="187"/>
      <c r="B66" s="186"/>
      <c r="C66" s="69" t="s">
        <v>20</v>
      </c>
      <c r="D66" s="35"/>
      <c r="E66" s="35"/>
      <c r="F66" s="35"/>
      <c r="G66" s="35"/>
      <c r="H66" s="35"/>
      <c r="I66" s="35"/>
      <c r="J66" s="35"/>
      <c r="K66" s="192"/>
      <c r="L66" s="187"/>
    </row>
    <row r="67" spans="1:12" s="188" customFormat="1" outlineLevel="1" x14ac:dyDescent="0.25">
      <c r="A67" s="187"/>
      <c r="B67" s="186"/>
      <c r="C67" s="181" t="s">
        <v>172</v>
      </c>
      <c r="D67" s="35"/>
      <c r="E67" s="36"/>
      <c r="F67" s="36"/>
      <c r="G67" s="36"/>
      <c r="H67" s="36"/>
      <c r="I67" s="36"/>
      <c r="J67" s="169"/>
      <c r="K67" s="192"/>
      <c r="L67" s="187"/>
    </row>
    <row r="68" spans="1:12" x14ac:dyDescent="0.25">
      <c r="A68" s="130"/>
      <c r="B68" s="138"/>
      <c r="C68" s="176" t="s">
        <v>21</v>
      </c>
      <c r="D68" s="173" t="s">
        <v>3</v>
      </c>
      <c r="E68" s="382">
        <f>Balance!D58</f>
        <v>22796693</v>
      </c>
      <c r="F68" s="382">
        <f>Balance!E58</f>
        <v>29199690.113137566</v>
      </c>
      <c r="G68" s="382">
        <f>Balance!F58</f>
        <v>191870174.08295202</v>
      </c>
      <c r="H68" s="382">
        <f>Balance!G58</f>
        <v>361265353.52422988</v>
      </c>
      <c r="I68" s="382">
        <f>Balance!H58</f>
        <v>660397925.41845477</v>
      </c>
      <c r="J68" s="382">
        <f>Balance!I58</f>
        <v>908831704.83484375</v>
      </c>
      <c r="K68" s="139"/>
      <c r="L68" s="129"/>
    </row>
    <row r="69" spans="1:12" s="188" customFormat="1" x14ac:dyDescent="0.25">
      <c r="A69" s="187"/>
      <c r="B69" s="186"/>
      <c r="C69" s="176" t="s">
        <v>243</v>
      </c>
      <c r="D69" s="173" t="s">
        <v>0</v>
      </c>
      <c r="E69" s="353"/>
      <c r="F69" s="347">
        <v>0</v>
      </c>
      <c r="G69" s="347">
        <v>0</v>
      </c>
      <c r="H69" s="347">
        <v>0</v>
      </c>
      <c r="I69" s="347">
        <v>0</v>
      </c>
      <c r="J69" s="347">
        <v>0</v>
      </c>
      <c r="K69" s="139"/>
      <c r="L69" s="187"/>
    </row>
    <row r="70" spans="1:12" s="188" customFormat="1" x14ac:dyDescent="0.25">
      <c r="A70" s="187"/>
      <c r="B70" s="186"/>
      <c r="C70" s="176" t="s">
        <v>22</v>
      </c>
      <c r="D70" s="173" t="s">
        <v>3</v>
      </c>
      <c r="E70" s="353"/>
      <c r="F70" s="382">
        <f>E68*F69</f>
        <v>0</v>
      </c>
      <c r="G70" s="382">
        <f>F68*G69</f>
        <v>0</v>
      </c>
      <c r="H70" s="382">
        <f>G68*H69</f>
        <v>0</v>
      </c>
      <c r="I70" s="382">
        <f>H68*I69</f>
        <v>0</v>
      </c>
      <c r="J70" s="382">
        <f>I68*J69</f>
        <v>0</v>
      </c>
      <c r="K70" s="192"/>
      <c r="L70" s="187"/>
    </row>
    <row r="71" spans="1:12" outlineLevel="1" x14ac:dyDescent="0.25">
      <c r="A71" s="129"/>
      <c r="B71" s="138"/>
      <c r="C71" s="176" t="s">
        <v>23</v>
      </c>
      <c r="D71" s="173" t="s">
        <v>3</v>
      </c>
      <c r="E71" s="353"/>
      <c r="F71" s="382">
        <f>'P&amp;G'!D24</f>
        <v>9850764.7894424051</v>
      </c>
      <c r="G71" s="382">
        <f>'P&amp;G'!E24</f>
        <v>251247359.50942796</v>
      </c>
      <c r="H71" s="382">
        <f>'P&amp;G'!F24</f>
        <v>310857440.27308232</v>
      </c>
      <c r="I71" s="382">
        <f>'P&amp;G'!G24</f>
        <v>553461188.84227061</v>
      </c>
      <c r="J71" s="382">
        <f>'P&amp;G'!H24</f>
        <v>603590290.02366054</v>
      </c>
      <c r="K71" s="192"/>
      <c r="L71" s="129"/>
    </row>
    <row r="72" spans="1:12" outlineLevel="1" x14ac:dyDescent="0.25">
      <c r="A72" s="129"/>
      <c r="B72" s="138"/>
      <c r="C72" s="199" t="s">
        <v>263</v>
      </c>
      <c r="D72" s="173" t="s">
        <v>0</v>
      </c>
      <c r="E72" s="353"/>
      <c r="F72" s="347">
        <v>0.35</v>
      </c>
      <c r="G72" s="347">
        <v>0.35</v>
      </c>
      <c r="H72" s="347">
        <v>0.35</v>
      </c>
      <c r="I72" s="347">
        <v>0.35</v>
      </c>
      <c r="J72" s="347">
        <v>0.35</v>
      </c>
      <c r="K72" s="192"/>
      <c r="L72" s="129"/>
    </row>
    <row r="73" spans="1:12" s="188" customFormat="1" ht="13.05" hidden="1" customHeight="1" outlineLevel="1" x14ac:dyDescent="0.25">
      <c r="A73" s="187"/>
      <c r="B73" s="186"/>
      <c r="C73" s="200" t="s">
        <v>266</v>
      </c>
      <c r="D73" s="173" t="s">
        <v>0</v>
      </c>
      <c r="E73" s="353"/>
      <c r="F73" s="347">
        <v>0</v>
      </c>
      <c r="G73" s="347">
        <v>0</v>
      </c>
      <c r="H73" s="347">
        <v>0.25</v>
      </c>
      <c r="I73" s="347">
        <v>0.5</v>
      </c>
      <c r="J73" s="347">
        <v>0.75</v>
      </c>
      <c r="K73" s="192"/>
      <c r="L73" s="187"/>
    </row>
    <row r="74" spans="1:12" s="188" customFormat="1" ht="13.05" hidden="1" customHeight="1" outlineLevel="1" x14ac:dyDescent="0.25">
      <c r="A74" s="187"/>
      <c r="B74" s="186"/>
      <c r="C74" s="201" t="s">
        <v>261</v>
      </c>
      <c r="D74" s="173"/>
      <c r="E74" s="353"/>
      <c r="F74" s="385"/>
      <c r="G74" s="385"/>
      <c r="H74" s="385"/>
      <c r="I74" s="385"/>
      <c r="J74" s="385"/>
      <c r="K74" s="192"/>
      <c r="L74" s="187"/>
    </row>
    <row r="75" spans="1:12" s="188" customFormat="1" ht="13.05" hidden="1" customHeight="1" outlineLevel="1" x14ac:dyDescent="0.25">
      <c r="A75" s="187"/>
      <c r="B75" s="186"/>
      <c r="C75" s="202" t="s">
        <v>259</v>
      </c>
      <c r="D75" s="173"/>
      <c r="E75" s="353"/>
      <c r="F75" s="347">
        <v>0</v>
      </c>
      <c r="G75" s="347">
        <v>0</v>
      </c>
      <c r="H75" s="347">
        <v>0</v>
      </c>
      <c r="I75" s="347">
        <v>0</v>
      </c>
      <c r="J75" s="347">
        <v>0</v>
      </c>
      <c r="K75" s="192"/>
      <c r="L75" s="187"/>
    </row>
    <row r="76" spans="1:12" s="188" customFormat="1" hidden="1" outlineLevel="1" x14ac:dyDescent="0.25">
      <c r="A76" s="187"/>
      <c r="B76" s="186"/>
      <c r="C76" s="547" t="s">
        <v>173</v>
      </c>
      <c r="D76" s="173" t="s">
        <v>3</v>
      </c>
      <c r="E76" s="353"/>
      <c r="F76" s="382">
        <f>IF(F$97&lt;=0,0,IF(Bases!$D$46="no",IF(MAX(F70:F71)&lt;0,0,'P&amp;G'!D$24*F$72),('P&amp;G'!D$24*'Estructura de Capital'!F$72)*'Estructura de Capital'!F$73))</f>
        <v>3447767.6763048414</v>
      </c>
      <c r="G76" s="382">
        <f>IF(G$97&lt;=0,0,IF(Bases!$D$46="no",IF(MAX(G70:G71)&lt;0,0,'P&amp;G'!E$24*G$72),('P&amp;G'!E$24*'Estructura de Capital'!G$72)*'Estructura de Capital'!G$73))</f>
        <v>87936575.828299776</v>
      </c>
      <c r="H76" s="382">
        <f>IF(H$97&lt;=0,0,IF(Bases!$D$46="no",IF(MAX(H70:H71)&lt;0,0,'P&amp;G'!F$24*H$72),('P&amp;G'!F$24*'Estructura de Capital'!H$72)*'Estructura de Capital'!H$73))</f>
        <v>108800104.0955788</v>
      </c>
      <c r="I76" s="382">
        <f>IF(I$97&lt;=0,0,IF(Bases!$D$46="no",IF(MAX(I70:I71)&lt;0,0,'P&amp;G'!G$24*I$72),('P&amp;G'!G$24*'Estructura de Capital'!I$72)*'Estructura de Capital'!I$73))</f>
        <v>193711416.09479469</v>
      </c>
      <c r="J76" s="382">
        <f>IF(J$97&lt;=0,0,IF(Bases!$D$46="no",IF(MAX(J70:J71)&lt;0,0,'P&amp;G'!H$24*J$72),('P&amp;G'!H$24*'Estructura de Capital'!J$72)*'Estructura de Capital'!J$73))</f>
        <v>211256601.50828117</v>
      </c>
      <c r="K76" s="192"/>
      <c r="L76" s="187"/>
    </row>
    <row r="77" spans="1:12" s="188" customFormat="1" hidden="1" outlineLevel="1" x14ac:dyDescent="0.25">
      <c r="A77" s="187"/>
      <c r="B77" s="186"/>
      <c r="C77" s="543" t="s">
        <v>260</v>
      </c>
      <c r="D77" s="173"/>
      <c r="E77" s="353"/>
      <c r="F77" s="382">
        <f>IF(F71&lt;0,0,(IF(MAX(F70:F71)&lt;0,0,MAX(F70:F71)*F$75)))</f>
        <v>0</v>
      </c>
      <c r="G77" s="382">
        <f>IF(G71&lt;0,0,(IF(MAX(G70:G71)&lt;0,0,MAX(G70:G71)*G$75)))</f>
        <v>0</v>
      </c>
      <c r="H77" s="382">
        <f>IF(H71&lt;0,0,(IF(MAX(H70:H71)&lt;0,0,MAX(H70:H71)*H$75)))</f>
        <v>0</v>
      </c>
      <c r="I77" s="382">
        <f>IF(I71&lt;0,0,(IF(MAX(I70:I71)&lt;0,0,MAX(I70:I71)*I$75)))</f>
        <v>0</v>
      </c>
      <c r="J77" s="382">
        <f>IF(J71&lt;0,0,(IF(MAX(J70:J71)&lt;0,0,MAX(J70:J71)*J$75)))</f>
        <v>0</v>
      </c>
      <c r="K77" s="192"/>
      <c r="L77" s="187"/>
    </row>
    <row r="78" spans="1:12" s="188" customFormat="1" outlineLevel="1" x14ac:dyDescent="0.25">
      <c r="A78" s="187"/>
      <c r="B78" s="186"/>
      <c r="C78" s="176" t="s">
        <v>174</v>
      </c>
      <c r="D78" s="173" t="s">
        <v>3</v>
      </c>
      <c r="E78" s="353"/>
      <c r="F78" s="382">
        <f>+F76+F77</f>
        <v>3447767.6763048414</v>
      </c>
      <c r="G78" s="382">
        <f>+G76+G77</f>
        <v>87936575.828299776</v>
      </c>
      <c r="H78" s="382">
        <f>+H76+H77</f>
        <v>108800104.0955788</v>
      </c>
      <c r="I78" s="382">
        <f>+I76+I77</f>
        <v>193711416.09479469</v>
      </c>
      <c r="J78" s="382">
        <f>+J76+J77</f>
        <v>211256601.50828117</v>
      </c>
      <c r="K78" s="192"/>
      <c r="L78" s="187"/>
    </row>
    <row r="79" spans="1:12" s="188" customFormat="1" ht="12.75" customHeight="1" outlineLevel="1" x14ac:dyDescent="0.25">
      <c r="A79" s="187"/>
      <c r="B79" s="186"/>
      <c r="C79" s="202" t="s">
        <v>477</v>
      </c>
      <c r="D79" s="173" t="s">
        <v>3</v>
      </c>
      <c r="E79" s="353"/>
      <c r="F79" s="382">
        <v>0</v>
      </c>
      <c r="G79" s="382">
        <f>+F78</f>
        <v>3447767.6763048414</v>
      </c>
      <c r="H79" s="382">
        <f>+G78</f>
        <v>87936575.828299776</v>
      </c>
      <c r="I79" s="382">
        <f>+H78</f>
        <v>108800104.0955788</v>
      </c>
      <c r="J79" s="382">
        <f>+I78</f>
        <v>193711416.09479469</v>
      </c>
      <c r="K79" s="192"/>
      <c r="L79" s="187"/>
    </row>
    <row r="80" spans="1:12" s="188" customFormat="1" outlineLevel="1" x14ac:dyDescent="0.25">
      <c r="A80" s="187"/>
      <c r="B80" s="186"/>
      <c r="C80" s="69" t="s">
        <v>180</v>
      </c>
      <c r="D80" s="35"/>
      <c r="E80" s="385"/>
      <c r="F80" s="382"/>
      <c r="G80" s="382"/>
      <c r="H80" s="382"/>
      <c r="I80" s="382"/>
      <c r="J80" s="382"/>
      <c r="K80" s="192"/>
      <c r="L80" s="187"/>
    </row>
    <row r="81" spans="1:12" s="188" customFormat="1" outlineLevel="1" x14ac:dyDescent="0.25">
      <c r="A81" s="187"/>
      <c r="B81" s="186"/>
      <c r="C81" s="176" t="s">
        <v>145</v>
      </c>
      <c r="D81" s="173" t="s">
        <v>3</v>
      </c>
      <c r="E81" s="386">
        <v>22796693</v>
      </c>
      <c r="F81" s="387">
        <f>E81+F82</f>
        <v>22796693</v>
      </c>
      <c r="G81" s="387">
        <f>F81+G82</f>
        <v>22796693</v>
      </c>
      <c r="H81" s="387">
        <f>G81+H82</f>
        <v>22796693</v>
      </c>
      <c r="I81" s="387">
        <f>H81+I82</f>
        <v>22796693</v>
      </c>
      <c r="J81" s="387">
        <f>I81+J82</f>
        <v>22796693</v>
      </c>
      <c r="K81" s="192"/>
      <c r="L81" s="187"/>
    </row>
    <row r="82" spans="1:12" s="188" customFormat="1" outlineLevel="1" x14ac:dyDescent="0.25">
      <c r="A82" s="187"/>
      <c r="B82" s="186"/>
      <c r="C82" s="176" t="s">
        <v>181</v>
      </c>
      <c r="D82" s="173" t="s">
        <v>3</v>
      </c>
      <c r="E82" s="353"/>
      <c r="F82" s="388">
        <v>0</v>
      </c>
      <c r="G82" s="388">
        <v>0</v>
      </c>
      <c r="H82" s="388">
        <v>0</v>
      </c>
      <c r="I82" s="388">
        <v>0</v>
      </c>
      <c r="J82" s="388">
        <v>0</v>
      </c>
      <c r="K82" s="139"/>
      <c r="L82" s="187"/>
    </row>
    <row r="83" spans="1:12" s="188" customFormat="1" outlineLevel="1" x14ac:dyDescent="0.25">
      <c r="A83" s="187"/>
      <c r="B83" s="186"/>
      <c r="C83" s="176" t="s">
        <v>146</v>
      </c>
      <c r="D83" s="173" t="s">
        <v>3</v>
      </c>
      <c r="E83" s="386">
        <v>0</v>
      </c>
      <c r="F83" s="387">
        <f>E83</f>
        <v>0</v>
      </c>
      <c r="G83" s="387">
        <f>F83</f>
        <v>0</v>
      </c>
      <c r="H83" s="387">
        <f>G83</f>
        <v>0</v>
      </c>
      <c r="I83" s="387">
        <f>H83</f>
        <v>0</v>
      </c>
      <c r="J83" s="387">
        <f>I83</f>
        <v>0</v>
      </c>
      <c r="K83" s="139"/>
      <c r="L83" s="187"/>
    </row>
    <row r="84" spans="1:12" s="188" customFormat="1" outlineLevel="1" x14ac:dyDescent="0.25">
      <c r="A84" s="187"/>
      <c r="B84" s="186"/>
      <c r="C84" s="176" t="s">
        <v>49</v>
      </c>
      <c r="D84" s="173" t="s">
        <v>3</v>
      </c>
      <c r="E84" s="389">
        <v>53298264</v>
      </c>
      <c r="F84" s="389"/>
      <c r="G84" s="389"/>
      <c r="H84" s="389">
        <v>0</v>
      </c>
      <c r="I84" s="389">
        <v>0</v>
      </c>
      <c r="J84" s="389">
        <v>0</v>
      </c>
      <c r="K84" s="139"/>
      <c r="L84" s="187"/>
    </row>
    <row r="85" spans="1:12" collapsed="1" x14ac:dyDescent="0.25">
      <c r="A85" s="129"/>
      <c r="B85" s="138"/>
      <c r="C85" s="181" t="s">
        <v>21</v>
      </c>
      <c r="D85" s="35"/>
      <c r="E85" s="390"/>
      <c r="F85" s="353"/>
      <c r="G85" s="353"/>
      <c r="H85" s="353"/>
      <c r="I85" s="353"/>
      <c r="J85" s="381"/>
      <c r="K85" s="139"/>
      <c r="L85" s="129"/>
    </row>
    <row r="86" spans="1:12" x14ac:dyDescent="0.25">
      <c r="A86" s="129"/>
      <c r="B86" s="138"/>
      <c r="C86" s="176" t="s">
        <v>24</v>
      </c>
      <c r="D86" s="173" t="s">
        <v>3</v>
      </c>
      <c r="E86" s="391">
        <f>Balance!D53</f>
        <v>22796693</v>
      </c>
      <c r="F86" s="382">
        <f>F81</f>
        <v>22796693</v>
      </c>
      <c r="G86" s="382">
        <f>G81</f>
        <v>22796693</v>
      </c>
      <c r="H86" s="382">
        <f>H81</f>
        <v>22796693</v>
      </c>
      <c r="I86" s="382">
        <f>I81</f>
        <v>22796693</v>
      </c>
      <c r="J86" s="382">
        <f>J81</f>
        <v>22796693</v>
      </c>
      <c r="K86" s="139"/>
      <c r="L86" s="129"/>
    </row>
    <row r="87" spans="1:12" hidden="1" x14ac:dyDescent="0.25">
      <c r="A87" s="129"/>
      <c r="B87" s="138"/>
      <c r="C87" s="172" t="s">
        <v>26</v>
      </c>
      <c r="D87" s="173" t="s">
        <v>3</v>
      </c>
      <c r="E87" s="353"/>
      <c r="F87" s="382">
        <f>IF(OR(E90&lt;0,E88&gt;=F86*50%),0,IF(E90*10%+E88&gt;F86*50%,F86*50%-E88,E90*10%))</f>
        <v>0</v>
      </c>
      <c r="G87" s="382">
        <f>IF(OR(F90&lt;0,F88&gt;=G86*50%),0,IF(F90*10%+F88&gt;G86*50%,G86*50%-F88,F90*10%))</f>
        <v>640299.71131375642</v>
      </c>
      <c r="H87" s="382">
        <f>IF(OR(G90&lt;0,G88&gt;=H86*50%),0,IF(G90*10%+G88&gt;H86*50%,H86*50%-G88,G90*10%))</f>
        <v>10758046.788686244</v>
      </c>
      <c r="I87" s="382">
        <f>IF(OR(H90&lt;0,H88&gt;=I86*50%),0,IF(H90*10%+H88&gt;I86*50%,I86*50%-H88,H90*10%))</f>
        <v>0</v>
      </c>
      <c r="J87" s="382">
        <f>IF(OR(I90&lt;0,I88&gt;=J86*50%),0,IF(I90*10%+I88&gt;J86*50%,J86*50%-I88,I90*10%))</f>
        <v>0</v>
      </c>
      <c r="K87" s="139"/>
      <c r="L87" s="129"/>
    </row>
    <row r="88" spans="1:12" x14ac:dyDescent="0.25">
      <c r="A88" s="129"/>
      <c r="B88" s="138"/>
      <c r="C88" s="172" t="s">
        <v>27</v>
      </c>
      <c r="D88" s="173" t="s">
        <v>3</v>
      </c>
      <c r="E88" s="353"/>
      <c r="F88" s="382">
        <f>E88+F87</f>
        <v>0</v>
      </c>
      <c r="G88" s="382">
        <f>F88+G87</f>
        <v>640299.71131375642</v>
      </c>
      <c r="H88" s="382">
        <f>G88+H87</f>
        <v>11398346.5</v>
      </c>
      <c r="I88" s="382">
        <f>H88+I87</f>
        <v>11398346.5</v>
      </c>
      <c r="J88" s="382">
        <f>I88+J87</f>
        <v>11398346.5</v>
      </c>
      <c r="K88" s="139"/>
      <c r="L88" s="129"/>
    </row>
    <row r="89" spans="1:12" x14ac:dyDescent="0.25">
      <c r="A89" s="129"/>
      <c r="B89" s="138"/>
      <c r="C89" s="176" t="s">
        <v>28</v>
      </c>
      <c r="D89" s="173" t="s">
        <v>3</v>
      </c>
      <c r="E89" s="353"/>
      <c r="F89" s="382">
        <f>E89+E90-F87-F101</f>
        <v>0</v>
      </c>
      <c r="G89" s="382">
        <f>F89+F90-G87-G101</f>
        <v>5122397.6905100513</v>
      </c>
      <c r="H89" s="382">
        <f>G89+G90-H87-H101</f>
        <v>125012977.84672639</v>
      </c>
      <c r="I89" s="382">
        <f>H89+H90-I87-I101</f>
        <v>266453113.17097884</v>
      </c>
      <c r="J89" s="382">
        <f>I89+I90-J87-J101</f>
        <v>482302976.81946439</v>
      </c>
      <c r="K89" s="139"/>
      <c r="L89" s="129"/>
    </row>
    <row r="90" spans="1:12" outlineLevel="1" x14ac:dyDescent="0.25">
      <c r="A90" s="129"/>
      <c r="B90" s="138"/>
      <c r="C90" s="176" t="s">
        <v>29</v>
      </c>
      <c r="D90" s="173" t="s">
        <v>3</v>
      </c>
      <c r="E90" s="353"/>
      <c r="F90" s="382">
        <f>'P&amp;G'!D26</f>
        <v>6402997.1131375637</v>
      </c>
      <c r="G90" s="382">
        <f>'P&amp;G'!E26</f>
        <v>163310783.6811282</v>
      </c>
      <c r="H90" s="382">
        <f>'P&amp;G'!F26</f>
        <v>202057336.17750353</v>
      </c>
      <c r="I90" s="382">
        <f>'P&amp;G'!G26</f>
        <v>359749772.74747592</v>
      </c>
      <c r="J90" s="382">
        <f>'P&amp;G'!H26</f>
        <v>392333688.51537937</v>
      </c>
      <c r="K90" s="139"/>
      <c r="L90" s="129"/>
    </row>
    <row r="91" spans="1:12" hidden="1" outlineLevel="1" x14ac:dyDescent="0.25">
      <c r="A91" s="129"/>
      <c r="B91" s="138"/>
      <c r="C91" s="176" t="s">
        <v>30</v>
      </c>
      <c r="D91" s="173" t="s">
        <v>3</v>
      </c>
      <c r="E91" s="391">
        <f t="shared" ref="E91:J91" si="0">E86+E88+E89</f>
        <v>22796693</v>
      </c>
      <c r="F91" s="391">
        <f t="shared" si="0"/>
        <v>22796693</v>
      </c>
      <c r="G91" s="391">
        <f t="shared" si="0"/>
        <v>28559390.401823811</v>
      </c>
      <c r="H91" s="391">
        <f t="shared" si="0"/>
        <v>159208017.34672639</v>
      </c>
      <c r="I91" s="391">
        <f t="shared" si="0"/>
        <v>300648152.67097884</v>
      </c>
      <c r="J91" s="391">
        <f t="shared" si="0"/>
        <v>516498016.31946439</v>
      </c>
      <c r="K91" s="139"/>
      <c r="L91" s="129"/>
    </row>
    <row r="92" spans="1:12" hidden="1" outlineLevel="1" x14ac:dyDescent="0.25">
      <c r="A92" s="129"/>
      <c r="B92" s="138"/>
      <c r="C92" s="172" t="s">
        <v>31</v>
      </c>
      <c r="D92" s="173" t="s">
        <v>3</v>
      </c>
      <c r="E92" s="353"/>
      <c r="F92" s="382">
        <f>IF(E91&lt;0,0,E91*Bases!F9)</f>
        <v>0</v>
      </c>
      <c r="G92" s="382">
        <f>IF(F91&lt;0,0,F91*Bases!G9)</f>
        <v>0</v>
      </c>
      <c r="H92" s="382">
        <f>IF(G91&lt;0,0,G91*Bases!H9)</f>
        <v>0</v>
      </c>
      <c r="I92" s="382">
        <f>IF(H91&lt;0,0,H91*Bases!I9)</f>
        <v>0</v>
      </c>
      <c r="J92" s="382">
        <f>IF(I91&lt;0,0,I91*Bases!J9)</f>
        <v>0</v>
      </c>
      <c r="K92" s="179"/>
      <c r="L92" s="129"/>
    </row>
    <row r="93" spans="1:12" hidden="1" outlineLevel="1" x14ac:dyDescent="0.25">
      <c r="A93" s="129"/>
      <c r="B93" s="138"/>
      <c r="C93" s="172" t="s">
        <v>32</v>
      </c>
      <c r="D93" s="173" t="s">
        <v>3</v>
      </c>
      <c r="E93" s="353"/>
      <c r="F93" s="382">
        <f>E93+F92</f>
        <v>0</v>
      </c>
      <c r="G93" s="382">
        <f>F93+G92</f>
        <v>0</v>
      </c>
      <c r="H93" s="382">
        <f>G93+H92</f>
        <v>0</v>
      </c>
      <c r="I93" s="382">
        <f>H93+I92</f>
        <v>0</v>
      </c>
      <c r="J93" s="382">
        <f>I93+J92</f>
        <v>0</v>
      </c>
      <c r="K93" s="179"/>
      <c r="L93" s="129"/>
    </row>
    <row r="94" spans="1:12" outlineLevel="1" x14ac:dyDescent="0.25">
      <c r="A94" s="129"/>
      <c r="B94" s="138"/>
      <c r="C94" s="172" t="s">
        <v>33</v>
      </c>
      <c r="D94" s="173" t="s">
        <v>3</v>
      </c>
      <c r="E94" s="392"/>
      <c r="F94" s="392"/>
      <c r="G94" s="392"/>
      <c r="H94" s="392"/>
      <c r="I94" s="392"/>
      <c r="J94" s="393"/>
      <c r="K94" s="139"/>
      <c r="L94" s="129"/>
    </row>
    <row r="95" spans="1:12" hidden="1" outlineLevel="1" x14ac:dyDescent="0.25">
      <c r="A95" s="129"/>
      <c r="B95" s="138"/>
      <c r="C95" s="543" t="s">
        <v>527</v>
      </c>
      <c r="D95" s="544"/>
      <c r="E95" s="545"/>
      <c r="F95" s="546">
        <f>+'P&amp;G'!D24</f>
        <v>9850764.7894424051</v>
      </c>
      <c r="G95" s="546">
        <f>+'P&amp;G'!E24</f>
        <v>251247359.50942796</v>
      </c>
      <c r="H95" s="546">
        <f>+'P&amp;G'!F24</f>
        <v>310857440.27308232</v>
      </c>
      <c r="I95" s="546">
        <f>+'P&amp;G'!G24</f>
        <v>553461188.84227061</v>
      </c>
      <c r="J95" s="546">
        <f>+'P&amp;G'!H24</f>
        <v>603590290.02366054</v>
      </c>
      <c r="K95" s="139"/>
      <c r="L95" s="129"/>
    </row>
    <row r="96" spans="1:12" hidden="1" outlineLevel="1" x14ac:dyDescent="0.25">
      <c r="A96" s="129"/>
      <c r="B96" s="138"/>
      <c r="C96" s="543" t="s">
        <v>28</v>
      </c>
      <c r="D96" s="544"/>
      <c r="E96" s="545"/>
      <c r="F96" s="546">
        <f>+F89</f>
        <v>0</v>
      </c>
      <c r="G96" s="546">
        <f>+G89</f>
        <v>5122397.6905100513</v>
      </c>
      <c r="H96" s="546">
        <f>+H89</f>
        <v>125012977.84672639</v>
      </c>
      <c r="I96" s="546">
        <f>+I89</f>
        <v>266453113.17097884</v>
      </c>
      <c r="J96" s="546">
        <f>+J89</f>
        <v>482302976.81946439</v>
      </c>
      <c r="K96" s="139"/>
      <c r="L96" s="129"/>
    </row>
    <row r="97" spans="1:12" hidden="1" outlineLevel="1" x14ac:dyDescent="0.25">
      <c r="A97" s="129"/>
      <c r="B97" s="138"/>
      <c r="C97" s="543" t="s">
        <v>528</v>
      </c>
      <c r="D97" s="544"/>
      <c r="E97" s="545"/>
      <c r="F97" s="546">
        <f>+F95+F96</f>
        <v>9850764.7894424051</v>
      </c>
      <c r="G97" s="546">
        <f>+G95+G96</f>
        <v>256369757.19993803</v>
      </c>
      <c r="H97" s="546">
        <f>+H95+H96</f>
        <v>435870418.11980867</v>
      </c>
      <c r="I97" s="546">
        <f>+I95+I96</f>
        <v>819914302.0132494</v>
      </c>
      <c r="J97" s="546">
        <f>+J95+J96</f>
        <v>1085893266.8431249</v>
      </c>
      <c r="K97" s="139"/>
      <c r="L97" s="129"/>
    </row>
    <row r="98" spans="1:12" s="180" customFormat="1" outlineLevel="1" x14ac:dyDescent="0.25">
      <c r="A98" s="177"/>
      <c r="B98" s="178"/>
      <c r="C98" s="181" t="s">
        <v>34</v>
      </c>
      <c r="D98" s="35"/>
      <c r="E98" s="36"/>
      <c r="F98" s="36"/>
      <c r="G98" s="36"/>
      <c r="H98" s="36"/>
      <c r="I98" s="36"/>
      <c r="J98" s="169"/>
      <c r="K98" s="139"/>
      <c r="L98" s="177"/>
    </row>
    <row r="99" spans="1:12" s="180" customFormat="1" outlineLevel="1" x14ac:dyDescent="0.25">
      <c r="A99" s="177"/>
      <c r="B99" s="178"/>
      <c r="C99" s="176" t="s">
        <v>171</v>
      </c>
      <c r="D99" s="173" t="s">
        <v>3</v>
      </c>
      <c r="E99" s="36"/>
      <c r="F99" s="387">
        <f>IF(E89+E90-F87&lt;0,0,E89+E90-F87)</f>
        <v>0</v>
      </c>
      <c r="G99" s="387">
        <f>IF(F89+F90-G87&lt;0,0,F89+F90-G87)</f>
        <v>5762697.4018238075</v>
      </c>
      <c r="H99" s="387">
        <f>IF(G89+G90-H87&lt;0,0,G89+G90-H87)</f>
        <v>157675134.58295202</v>
      </c>
      <c r="I99" s="387">
        <f>IF(H89+H90-I87&lt;0,0,H89+H90-I87)</f>
        <v>327070314.02422988</v>
      </c>
      <c r="J99" s="387">
        <f>IF(I89+I90-J87&lt;0,0,I89+I90-J87)</f>
        <v>626202885.91845477</v>
      </c>
      <c r="K99" s="179"/>
      <c r="L99" s="177"/>
    </row>
    <row r="100" spans="1:12" outlineLevel="1" x14ac:dyDescent="0.25">
      <c r="A100" s="129"/>
      <c r="B100" s="138"/>
      <c r="C100" s="176" t="s">
        <v>34</v>
      </c>
      <c r="D100" s="173" t="s">
        <v>0</v>
      </c>
      <c r="E100" s="36"/>
      <c r="F100" s="379">
        <v>0.1</v>
      </c>
      <c r="G100" s="379">
        <v>0.1</v>
      </c>
      <c r="H100" s="379">
        <v>0.2</v>
      </c>
      <c r="I100" s="379">
        <v>0.3</v>
      </c>
      <c r="J100" s="379">
        <v>0.4</v>
      </c>
      <c r="K100" s="139"/>
      <c r="L100" s="129"/>
    </row>
    <row r="101" spans="1:12" outlineLevel="1" x14ac:dyDescent="0.25">
      <c r="A101" s="129"/>
      <c r="B101" s="138"/>
      <c r="C101" s="176" t="s">
        <v>34</v>
      </c>
      <c r="D101" s="173" t="s">
        <v>3</v>
      </c>
      <c r="E101" s="36"/>
      <c r="F101" s="387">
        <f>IF(F99&lt;0,0,E90*F100)</f>
        <v>0</v>
      </c>
      <c r="G101" s="387">
        <f>IF(G99&lt;0,0,F90*G100)</f>
        <v>640299.71131375642</v>
      </c>
      <c r="H101" s="387">
        <f>IF(H99&lt;0,0,G90*H100)</f>
        <v>32662156.736225642</v>
      </c>
      <c r="I101" s="387">
        <f>IF(I99&lt;0,0,H90*I100)</f>
        <v>60617200.853251055</v>
      </c>
      <c r="J101" s="387">
        <f>IF(J99&lt;0,0,I90*J100)</f>
        <v>143899909.09899038</v>
      </c>
      <c r="K101" s="139"/>
      <c r="L101" s="129"/>
    </row>
    <row r="102" spans="1:12" s="180" customFormat="1" ht="13.8" outlineLevel="1" thickBot="1" x14ac:dyDescent="0.3">
      <c r="A102" s="177"/>
      <c r="B102" s="178"/>
      <c r="C102" s="203"/>
      <c r="D102" s="204"/>
      <c r="E102" s="144"/>
      <c r="F102" s="144"/>
      <c r="G102" s="144"/>
      <c r="H102" s="144"/>
      <c r="I102" s="144"/>
      <c r="J102" s="144"/>
      <c r="K102" s="139"/>
      <c r="L102" s="177"/>
    </row>
    <row r="103" spans="1:12" collapsed="1" x14ac:dyDescent="0.25">
      <c r="A103" s="129"/>
      <c r="B103" s="129"/>
      <c r="C103" s="205"/>
      <c r="D103" s="206"/>
      <c r="E103" s="130"/>
      <c r="F103" s="130"/>
      <c r="G103" s="130"/>
      <c r="H103" s="130"/>
      <c r="I103" s="130"/>
      <c r="J103" s="130"/>
      <c r="K103" s="129"/>
      <c r="L103" s="129"/>
    </row>
    <row r="104" spans="1:12" hidden="1" x14ac:dyDescent="0.25">
      <c r="C104" s="207"/>
      <c r="D104" s="208"/>
      <c r="E104" s="36"/>
      <c r="F104" s="36"/>
      <c r="G104" s="36"/>
      <c r="H104" s="36"/>
      <c r="I104" s="36"/>
      <c r="K104"/>
      <c r="L104" s="260"/>
    </row>
    <row r="105" spans="1:12" hidden="1" x14ac:dyDescent="0.25">
      <c r="C105" s="271"/>
      <c r="D105" s="337"/>
      <c r="E105" s="265"/>
      <c r="F105" s="265"/>
      <c r="G105" s="265"/>
      <c r="H105" s="265"/>
      <c r="I105" s="265"/>
      <c r="J105" s="265"/>
      <c r="K105" s="260"/>
      <c r="L105" s="260"/>
    </row>
    <row r="106" spans="1:12" hidden="1" x14ac:dyDescent="0.25">
      <c r="C106" s="271"/>
      <c r="D106" s="337"/>
      <c r="E106" s="265"/>
      <c r="F106" s="265"/>
      <c r="G106" s="265"/>
      <c r="H106" s="265"/>
      <c r="I106" s="265"/>
      <c r="J106" s="265"/>
      <c r="K106" s="260"/>
      <c r="L106" s="260"/>
    </row>
    <row r="107" spans="1:12" hidden="1" x14ac:dyDescent="0.25">
      <c r="C107" s="271"/>
      <c r="D107" s="337"/>
      <c r="E107" s="265"/>
      <c r="F107" s="265"/>
      <c r="G107" s="265"/>
      <c r="H107" s="265"/>
      <c r="I107" s="265"/>
      <c r="J107" s="265"/>
      <c r="K107" s="260"/>
      <c r="L107" s="260"/>
    </row>
    <row r="108" spans="1:12" hidden="1" x14ac:dyDescent="0.25">
      <c r="C108" s="271"/>
      <c r="D108" s="337"/>
      <c r="E108" s="265"/>
      <c r="F108" s="265"/>
      <c r="G108" s="265"/>
      <c r="H108" s="265"/>
      <c r="I108" s="265"/>
      <c r="J108" s="265"/>
      <c r="K108" s="260"/>
      <c r="L108" s="260"/>
    </row>
    <row r="109" spans="1:12" hidden="1" x14ac:dyDescent="0.25">
      <c r="A109" s="34"/>
      <c r="B109" s="34"/>
      <c r="C109" s="207"/>
      <c r="D109" s="208"/>
      <c r="E109" s="36"/>
      <c r="F109" s="36"/>
      <c r="G109" s="36"/>
      <c r="H109" s="36"/>
      <c r="I109" s="36"/>
    </row>
    <row r="110" spans="1:12" hidden="1" x14ac:dyDescent="0.25">
      <c r="A110" s="34"/>
      <c r="B110" s="34"/>
      <c r="C110" s="207"/>
      <c r="D110" s="208"/>
      <c r="E110" s="36"/>
      <c r="F110" s="36"/>
      <c r="G110" s="36"/>
      <c r="H110" s="36"/>
      <c r="I110" s="36"/>
    </row>
    <row r="111" spans="1:12" hidden="1" x14ac:dyDescent="0.25">
      <c r="A111" s="34"/>
      <c r="B111" s="34"/>
      <c r="C111" s="207"/>
      <c r="D111" s="208"/>
      <c r="E111" s="36"/>
      <c r="F111" s="36"/>
      <c r="G111" s="36"/>
      <c r="H111" s="36"/>
      <c r="I111" s="36"/>
    </row>
    <row r="112" spans="1:12" hidden="1" x14ac:dyDescent="0.25">
      <c r="A112" s="34"/>
      <c r="B112" s="34"/>
      <c r="C112" s="207"/>
      <c r="D112" s="208"/>
      <c r="E112" s="36"/>
      <c r="F112" s="36"/>
      <c r="G112" s="36"/>
      <c r="H112" s="36"/>
      <c r="I112" s="36"/>
    </row>
    <row r="113" spans="1:10" hidden="1" x14ac:dyDescent="0.25">
      <c r="A113" s="34"/>
      <c r="B113" s="34"/>
      <c r="C113" s="207"/>
      <c r="D113" s="208"/>
      <c r="E113" s="36"/>
      <c r="F113" s="36"/>
      <c r="G113" s="36"/>
      <c r="H113" s="36"/>
      <c r="I113" s="36"/>
    </row>
    <row r="114" spans="1:10" hidden="1" x14ac:dyDescent="0.25">
      <c r="A114" s="34"/>
      <c r="B114" s="34"/>
      <c r="C114" s="207"/>
      <c r="D114" s="208"/>
      <c r="E114" s="36"/>
      <c r="F114" s="36"/>
      <c r="G114" s="36"/>
      <c r="H114" s="36"/>
      <c r="I114" s="36"/>
    </row>
    <row r="115" spans="1:10" hidden="1" x14ac:dyDescent="0.25">
      <c r="A115" s="34"/>
      <c r="B115" s="34"/>
      <c r="C115" s="207"/>
      <c r="D115" s="208"/>
      <c r="E115" s="36"/>
      <c r="F115" s="36"/>
      <c r="G115" s="36"/>
      <c r="H115" s="36"/>
      <c r="I115" s="36"/>
    </row>
    <row r="116" spans="1:10" hidden="1" x14ac:dyDescent="0.25">
      <c r="A116" s="34"/>
      <c r="B116" s="34"/>
      <c r="C116" s="207"/>
      <c r="D116" s="208"/>
      <c r="E116" s="36"/>
      <c r="F116" s="36"/>
      <c r="G116" s="36"/>
      <c r="H116" s="36"/>
      <c r="I116" s="36"/>
    </row>
    <row r="117" spans="1:10" hidden="1" x14ac:dyDescent="0.25">
      <c r="A117" s="34"/>
      <c r="B117" s="34"/>
      <c r="C117" s="207"/>
      <c r="D117" s="208"/>
      <c r="E117" s="36"/>
      <c r="F117" s="36"/>
      <c r="G117" s="36"/>
      <c r="H117" s="36"/>
      <c r="I117" s="36"/>
    </row>
    <row r="118" spans="1:10" hidden="1" x14ac:dyDescent="0.25">
      <c r="A118" s="34"/>
      <c r="B118" s="34"/>
      <c r="C118" s="207"/>
      <c r="D118" s="208"/>
      <c r="E118" s="36"/>
      <c r="F118" s="36"/>
      <c r="G118" s="36"/>
      <c r="H118" s="36"/>
      <c r="I118" s="36"/>
    </row>
    <row r="119" spans="1:10" hidden="1" x14ac:dyDescent="0.25">
      <c r="A119" s="34"/>
      <c r="B119" s="34"/>
      <c r="C119" s="34"/>
      <c r="D119" s="34"/>
      <c r="E119" s="34"/>
      <c r="F119" s="34"/>
      <c r="G119" s="34"/>
      <c r="H119" s="34"/>
      <c r="I119" s="34"/>
      <c r="J119" s="34"/>
    </row>
    <row r="120" spans="1:10" hidden="1" x14ac:dyDescent="0.25">
      <c r="A120" s="34"/>
      <c r="B120" s="34"/>
      <c r="C120" s="34"/>
      <c r="D120" s="34"/>
      <c r="E120" s="34"/>
      <c r="F120" s="34"/>
      <c r="G120" s="34"/>
      <c r="H120" s="34"/>
      <c r="I120" s="34"/>
      <c r="J120" s="34"/>
    </row>
    <row r="121" spans="1:10" hidden="1" x14ac:dyDescent="0.25">
      <c r="A121" s="34"/>
      <c r="B121" s="34"/>
      <c r="C121" s="34"/>
      <c r="D121" s="34"/>
      <c r="E121" s="34"/>
      <c r="F121" s="34"/>
      <c r="G121" s="34"/>
      <c r="H121" s="34"/>
      <c r="I121" s="34"/>
      <c r="J121" s="34"/>
    </row>
    <row r="122" spans="1:10" hidden="1" x14ac:dyDescent="0.25">
      <c r="A122" s="34"/>
      <c r="B122" s="34"/>
      <c r="C122" s="34"/>
      <c r="D122" s="34"/>
      <c r="E122" s="34"/>
      <c r="F122" s="34"/>
      <c r="G122" s="34"/>
      <c r="H122" s="34"/>
      <c r="I122" s="34"/>
      <c r="J122" s="34"/>
    </row>
    <row r="123" spans="1:10" hidden="1" x14ac:dyDescent="0.25">
      <c r="C123" s="34"/>
      <c r="D123" s="34"/>
      <c r="E123" s="34"/>
      <c r="F123" s="34"/>
      <c r="G123" s="34"/>
      <c r="H123" s="34"/>
      <c r="I123" s="34"/>
      <c r="J123" s="34"/>
    </row>
    <row r="124" spans="1:10" hidden="1" x14ac:dyDescent="0.25">
      <c r="C124" s="34"/>
      <c r="D124" s="34"/>
      <c r="E124" s="34"/>
      <c r="F124" s="34"/>
      <c r="G124" s="34"/>
      <c r="H124" s="34"/>
      <c r="I124" s="34"/>
      <c r="J124" s="34"/>
    </row>
    <row r="125" spans="1:10" hidden="1" x14ac:dyDescent="0.25">
      <c r="C125" s="34"/>
      <c r="D125" s="34"/>
      <c r="E125" s="34"/>
      <c r="F125" s="34"/>
      <c r="G125" s="34"/>
      <c r="H125" s="34"/>
      <c r="I125" s="34"/>
      <c r="J125" s="34"/>
    </row>
    <row r="126" spans="1:10" hidden="1" x14ac:dyDescent="0.25">
      <c r="C126" s="34"/>
      <c r="D126" s="34"/>
      <c r="E126" s="34"/>
      <c r="F126" s="34"/>
      <c r="G126" s="34"/>
      <c r="H126" s="34"/>
      <c r="I126" s="34"/>
      <c r="J126" s="34"/>
    </row>
    <row r="127" spans="1:10" hidden="1" x14ac:dyDescent="0.25">
      <c r="C127" s="34"/>
      <c r="D127" s="34"/>
      <c r="E127" s="34"/>
      <c r="F127" s="34"/>
      <c r="G127" s="34"/>
      <c r="H127" s="34"/>
      <c r="I127" s="34"/>
      <c r="J127" s="34"/>
    </row>
    <row r="128" spans="1:10" hidden="1" x14ac:dyDescent="0.25">
      <c r="C128" s="34"/>
      <c r="D128" s="34"/>
      <c r="E128" s="34"/>
      <c r="F128" s="34"/>
      <c r="G128" s="34"/>
      <c r="H128" s="34"/>
      <c r="I128" s="34"/>
      <c r="J128" s="34"/>
    </row>
    <row r="129" spans="1:10" hidden="1" x14ac:dyDescent="0.25">
      <c r="C129" s="34"/>
      <c r="D129" s="34"/>
      <c r="E129" s="34"/>
      <c r="F129" s="34"/>
      <c r="G129" s="34"/>
      <c r="H129" s="34"/>
      <c r="I129" s="34"/>
      <c r="J129" s="34"/>
    </row>
    <row r="130" spans="1:10" hidden="1" x14ac:dyDescent="0.25">
      <c r="C130" s="34"/>
      <c r="D130" s="34"/>
      <c r="E130" s="34"/>
      <c r="F130" s="34"/>
      <c r="G130" s="34"/>
      <c r="H130" s="34"/>
      <c r="I130" s="34"/>
      <c r="J130" s="34"/>
    </row>
    <row r="131" spans="1:10" hidden="1" x14ac:dyDescent="0.25">
      <c r="A131" s="34"/>
      <c r="B131" s="34"/>
      <c r="C131" s="34"/>
      <c r="D131" s="34"/>
      <c r="E131" s="34"/>
      <c r="F131" s="34"/>
      <c r="G131" s="34"/>
      <c r="H131" s="34"/>
      <c r="I131" s="34"/>
      <c r="J131" s="34"/>
    </row>
    <row r="132" spans="1:10" hidden="1" x14ac:dyDescent="0.25">
      <c r="A132" s="34"/>
      <c r="B132" s="34"/>
      <c r="C132" s="34"/>
      <c r="D132" s="34"/>
      <c r="E132" s="34"/>
      <c r="F132" s="34"/>
      <c r="G132" s="34"/>
      <c r="H132" s="34"/>
      <c r="I132" s="34"/>
      <c r="J132" s="34"/>
    </row>
    <row r="133" spans="1:10" hidden="1" x14ac:dyDescent="0.25">
      <c r="A133" s="34"/>
      <c r="B133" s="34"/>
      <c r="C133" s="34"/>
      <c r="D133" s="34"/>
      <c r="E133" s="34"/>
      <c r="F133" s="34"/>
      <c r="G133" s="34"/>
      <c r="H133" s="34"/>
      <c r="I133" s="34"/>
      <c r="J133" s="34"/>
    </row>
    <row r="134" spans="1:10" hidden="1" x14ac:dyDescent="0.25">
      <c r="A134" s="34"/>
      <c r="B134" s="34"/>
      <c r="C134" s="34"/>
      <c r="D134" s="34"/>
      <c r="E134" s="34"/>
      <c r="F134" s="34"/>
      <c r="G134" s="34"/>
      <c r="H134" s="34"/>
      <c r="I134" s="34"/>
      <c r="J134" s="34"/>
    </row>
    <row r="135" spans="1:10" hidden="1" x14ac:dyDescent="0.25">
      <c r="A135" s="34"/>
      <c r="B135" s="34"/>
      <c r="C135" s="34"/>
      <c r="D135" s="34"/>
      <c r="E135" s="34"/>
      <c r="F135" s="34"/>
      <c r="G135" s="34"/>
      <c r="H135" s="34"/>
      <c r="I135" s="34"/>
      <c r="J135" s="34"/>
    </row>
    <row r="136" spans="1:10" hidden="1" x14ac:dyDescent="0.25">
      <c r="A136" s="34"/>
      <c r="B136" s="34"/>
      <c r="C136" s="34"/>
      <c r="D136" s="34"/>
      <c r="E136" s="34"/>
      <c r="F136" s="34"/>
      <c r="G136" s="34"/>
      <c r="H136" s="34"/>
      <c r="I136" s="34"/>
      <c r="J136" s="34"/>
    </row>
    <row r="137" spans="1:10" hidden="1" x14ac:dyDescent="0.25">
      <c r="A137" s="34"/>
      <c r="B137" s="34"/>
      <c r="C137" s="34"/>
      <c r="D137" s="34"/>
      <c r="E137" s="34"/>
      <c r="F137" s="34"/>
      <c r="G137" s="34"/>
      <c r="H137" s="34"/>
      <c r="I137" s="34"/>
      <c r="J137" s="34"/>
    </row>
    <row r="138" spans="1:10" hidden="1" x14ac:dyDescent="0.25">
      <c r="A138" s="34"/>
      <c r="B138" s="34"/>
      <c r="C138" s="34"/>
      <c r="D138" s="34"/>
      <c r="E138" s="34"/>
      <c r="F138" s="34"/>
      <c r="G138" s="34"/>
      <c r="H138" s="34"/>
      <c r="I138" s="34"/>
      <c r="J138" s="34"/>
    </row>
    <row r="139" spans="1:10" hidden="1" x14ac:dyDescent="0.25">
      <c r="A139" s="34"/>
      <c r="B139" s="34"/>
      <c r="C139" s="34"/>
      <c r="D139" s="34"/>
      <c r="E139" s="34"/>
      <c r="F139" s="34"/>
      <c r="G139" s="34"/>
      <c r="H139" s="34"/>
      <c r="I139" s="34"/>
      <c r="J139" s="34"/>
    </row>
    <row r="140" spans="1:10" hidden="1" x14ac:dyDescent="0.25">
      <c r="A140" s="34"/>
      <c r="B140" s="34"/>
      <c r="C140" s="34"/>
      <c r="D140" s="34"/>
      <c r="E140" s="34"/>
      <c r="F140" s="34"/>
      <c r="G140" s="34"/>
      <c r="H140" s="34"/>
      <c r="I140" s="34"/>
      <c r="J140" s="34"/>
    </row>
    <row r="141" spans="1:10" hidden="1" x14ac:dyDescent="0.25">
      <c r="A141" s="34"/>
      <c r="B141" s="34"/>
      <c r="C141" s="34"/>
      <c r="D141" s="34"/>
      <c r="E141" s="34"/>
      <c r="F141" s="34"/>
      <c r="G141" s="34"/>
      <c r="H141" s="34"/>
      <c r="I141" s="34"/>
      <c r="J141" s="34"/>
    </row>
    <row r="142" spans="1:10" hidden="1" x14ac:dyDescent="0.25">
      <c r="A142" s="34"/>
      <c r="B142" s="34"/>
      <c r="C142" s="34"/>
      <c r="D142" s="34"/>
      <c r="E142" s="34"/>
      <c r="F142" s="34"/>
      <c r="G142" s="34"/>
      <c r="H142" s="34"/>
      <c r="I142" s="34"/>
      <c r="J142" s="34"/>
    </row>
    <row r="143" spans="1:10" hidden="1" x14ac:dyDescent="0.25">
      <c r="A143" s="34"/>
      <c r="B143" s="34"/>
      <c r="C143" s="34"/>
      <c r="D143" s="34"/>
      <c r="E143" s="34"/>
      <c r="F143" s="34"/>
      <c r="G143" s="34"/>
      <c r="H143" s="34"/>
      <c r="I143" s="34"/>
      <c r="J143" s="34"/>
    </row>
    <row r="144" spans="1:10" hidden="1" x14ac:dyDescent="0.25">
      <c r="A144" s="34"/>
      <c r="B144" s="34"/>
      <c r="C144" s="34"/>
      <c r="D144" s="34"/>
      <c r="E144" s="34"/>
      <c r="F144" s="34"/>
      <c r="G144" s="34"/>
      <c r="H144" s="34"/>
      <c r="I144" s="34"/>
      <c r="J144" s="34"/>
    </row>
    <row r="145" s="34" customFormat="1" hidden="1" x14ac:dyDescent="0.25"/>
    <row r="146" s="34" customFormat="1" hidden="1" x14ac:dyDescent="0.25"/>
    <row r="147" s="34" customFormat="1" hidden="1" x14ac:dyDescent="0.25"/>
    <row r="148" s="34" customFormat="1" hidden="1" x14ac:dyDescent="0.25"/>
    <row r="149" s="34" customFormat="1" hidden="1" x14ac:dyDescent="0.25"/>
    <row r="150" s="34" customFormat="1" hidden="1" x14ac:dyDescent="0.25"/>
    <row r="151" s="34" customFormat="1" hidden="1" x14ac:dyDescent="0.25"/>
    <row r="152" s="34" customFormat="1" hidden="1" x14ac:dyDescent="0.25"/>
    <row r="153" s="34" customFormat="1" hidden="1" x14ac:dyDescent="0.25"/>
    <row r="154" s="34" customFormat="1" hidden="1" x14ac:dyDescent="0.25"/>
    <row r="155" s="34" customFormat="1" hidden="1" x14ac:dyDescent="0.25"/>
    <row r="156" s="34" customFormat="1" hidden="1" x14ac:dyDescent="0.25"/>
    <row r="157" s="34" customFormat="1" hidden="1" x14ac:dyDescent="0.25"/>
    <row r="158" s="34" customFormat="1" hidden="1" x14ac:dyDescent="0.25"/>
    <row r="159" s="34" customFormat="1" hidden="1" x14ac:dyDescent="0.25"/>
    <row r="160" s="34" customFormat="1" hidden="1" x14ac:dyDescent="0.25"/>
    <row r="161" s="34" customFormat="1" hidden="1" x14ac:dyDescent="0.25"/>
    <row r="162" s="34" customFormat="1" hidden="1" x14ac:dyDescent="0.25"/>
    <row r="163" s="34" customFormat="1" hidden="1" x14ac:dyDescent="0.25"/>
    <row r="164" s="34" customFormat="1" hidden="1" x14ac:dyDescent="0.25"/>
    <row r="165" s="34" customFormat="1" hidden="1" x14ac:dyDescent="0.25"/>
    <row r="166" s="34" customFormat="1" hidden="1" x14ac:dyDescent="0.25"/>
    <row r="167" s="34" customFormat="1" hidden="1" x14ac:dyDescent="0.25"/>
    <row r="168" s="34" customFormat="1" hidden="1" x14ac:dyDescent="0.25"/>
    <row r="169" s="34" customFormat="1" hidden="1" x14ac:dyDescent="0.25"/>
    <row r="170" s="34" customFormat="1" hidden="1" x14ac:dyDescent="0.25"/>
    <row r="171" s="34" customFormat="1" hidden="1" x14ac:dyDescent="0.25"/>
    <row r="172" s="34" customFormat="1" hidden="1" x14ac:dyDescent="0.25"/>
    <row r="173" s="34" customFormat="1" hidden="1" x14ac:dyDescent="0.25"/>
    <row r="174" s="34" customFormat="1" hidden="1" x14ac:dyDescent="0.25"/>
    <row r="175" s="34" customFormat="1" hidden="1" x14ac:dyDescent="0.25"/>
    <row r="176" s="34" customFormat="1" hidden="1" x14ac:dyDescent="0.25"/>
    <row r="177" s="34" customFormat="1" hidden="1" x14ac:dyDescent="0.25"/>
    <row r="178" s="34" customFormat="1" hidden="1" x14ac:dyDescent="0.25"/>
    <row r="179" s="34" customFormat="1" hidden="1" x14ac:dyDescent="0.25"/>
    <row r="180" s="34" customFormat="1" hidden="1" x14ac:dyDescent="0.25"/>
    <row r="181" s="34" customFormat="1" hidden="1" x14ac:dyDescent="0.25"/>
    <row r="182" s="34" customFormat="1" hidden="1" x14ac:dyDescent="0.25"/>
    <row r="183" s="34" customFormat="1" hidden="1" x14ac:dyDescent="0.25"/>
    <row r="184" s="34" customFormat="1" hidden="1" x14ac:dyDescent="0.25"/>
    <row r="185" s="34" customFormat="1" hidden="1" x14ac:dyDescent="0.25"/>
    <row r="186" s="34" customFormat="1" hidden="1" x14ac:dyDescent="0.25"/>
    <row r="187" s="34" customFormat="1" hidden="1" x14ac:dyDescent="0.25"/>
    <row r="188" s="34" customFormat="1" hidden="1" x14ac:dyDescent="0.25"/>
    <row r="189" s="34" customFormat="1" hidden="1" x14ac:dyDescent="0.25"/>
    <row r="190" s="34" customFormat="1" hidden="1" x14ac:dyDescent="0.25"/>
    <row r="191" s="34" customFormat="1" hidden="1" x14ac:dyDescent="0.25"/>
    <row r="192" s="34" customFormat="1" hidden="1" x14ac:dyDescent="0.25"/>
    <row r="193" s="34" customFormat="1" hidden="1" x14ac:dyDescent="0.25"/>
    <row r="194" s="34" customFormat="1" hidden="1" x14ac:dyDescent="0.25"/>
    <row r="195" s="34" customFormat="1" hidden="1" x14ac:dyDescent="0.25"/>
    <row r="196" s="34" customFormat="1" hidden="1" x14ac:dyDescent="0.25"/>
    <row r="197" s="34" customFormat="1" hidden="1" x14ac:dyDescent="0.25"/>
    <row r="198" s="34" customFormat="1" hidden="1" x14ac:dyDescent="0.25"/>
    <row r="199" s="34" customFormat="1" hidden="1" x14ac:dyDescent="0.25"/>
    <row r="200" s="34" customFormat="1" hidden="1" x14ac:dyDescent="0.25"/>
    <row r="201" s="34" customFormat="1" hidden="1" x14ac:dyDescent="0.25"/>
    <row r="202" s="34" customFormat="1" hidden="1" x14ac:dyDescent="0.25"/>
    <row r="203" s="34" customFormat="1" hidden="1" x14ac:dyDescent="0.25"/>
    <row r="204" s="34" customFormat="1" hidden="1" x14ac:dyDescent="0.25"/>
    <row r="205" s="34" customFormat="1" hidden="1" x14ac:dyDescent="0.25"/>
    <row r="206" s="34" customFormat="1" hidden="1" x14ac:dyDescent="0.25"/>
    <row r="207" s="34" customFormat="1" hidden="1" x14ac:dyDescent="0.25"/>
    <row r="208" s="34" customFormat="1" hidden="1" x14ac:dyDescent="0.25"/>
    <row r="209" s="34" customFormat="1" hidden="1" x14ac:dyDescent="0.25"/>
    <row r="210" s="34" customFormat="1" hidden="1" x14ac:dyDescent="0.25"/>
    <row r="211" s="34" customFormat="1" hidden="1" x14ac:dyDescent="0.25"/>
    <row r="212" s="34" customFormat="1" hidden="1" x14ac:dyDescent="0.25"/>
    <row r="213" s="34" customFormat="1" hidden="1" x14ac:dyDescent="0.25"/>
    <row r="214" s="34" customFormat="1" hidden="1" x14ac:dyDescent="0.25"/>
    <row r="215" s="34" customFormat="1" hidden="1" x14ac:dyDescent="0.25"/>
    <row r="216" s="34" customFormat="1" hidden="1" x14ac:dyDescent="0.25"/>
    <row r="217" s="34" customFormat="1" hidden="1" x14ac:dyDescent="0.25"/>
    <row r="218" s="34" customFormat="1" hidden="1" x14ac:dyDescent="0.25"/>
    <row r="219" s="34" customFormat="1" hidden="1" x14ac:dyDescent="0.25"/>
    <row r="220" s="34" customFormat="1" hidden="1" x14ac:dyDescent="0.25"/>
    <row r="221" s="34" customFormat="1" hidden="1" x14ac:dyDescent="0.25"/>
    <row r="222" s="34" customFormat="1" hidden="1" x14ac:dyDescent="0.25"/>
    <row r="223" s="34" customFormat="1" hidden="1" x14ac:dyDescent="0.25"/>
    <row r="224" s="34" customFormat="1" hidden="1" x14ac:dyDescent="0.25"/>
    <row r="225" spans="1:10" hidden="1" x14ac:dyDescent="0.25">
      <c r="A225" s="34"/>
      <c r="B225" s="34"/>
      <c r="C225" s="34"/>
      <c r="D225" s="34"/>
      <c r="E225" s="34"/>
      <c r="F225" s="34"/>
      <c r="G225" s="34"/>
      <c r="H225" s="34"/>
      <c r="I225" s="34"/>
      <c r="J225" s="34"/>
    </row>
    <row r="226" spans="1:10" hidden="1" x14ac:dyDescent="0.25">
      <c r="A226" s="34"/>
      <c r="B226" s="34"/>
      <c r="C226" s="34"/>
      <c r="D226" s="34"/>
      <c r="E226" s="34"/>
      <c r="F226" s="34"/>
      <c r="G226" s="34"/>
      <c r="H226" s="34"/>
      <c r="I226" s="34"/>
      <c r="J226" s="34"/>
    </row>
    <row r="227" spans="1:10" hidden="1" x14ac:dyDescent="0.25">
      <c r="A227" s="34"/>
      <c r="B227" s="34"/>
      <c r="C227" s="34"/>
      <c r="D227" s="34"/>
      <c r="E227" s="34"/>
      <c r="F227" s="34"/>
      <c r="G227" s="34"/>
      <c r="H227" s="34"/>
      <c r="I227" s="34"/>
      <c r="J227" s="34"/>
    </row>
    <row r="228" spans="1:10" hidden="1" x14ac:dyDescent="0.25">
      <c r="A228" s="34"/>
      <c r="B228" s="34"/>
      <c r="C228" s="34"/>
      <c r="D228" s="34"/>
      <c r="E228" s="34"/>
      <c r="F228" s="34"/>
      <c r="G228" s="34"/>
      <c r="H228" s="34"/>
      <c r="I228" s="34"/>
      <c r="J228" s="34"/>
    </row>
    <row r="229" spans="1:10" hidden="1" x14ac:dyDescent="0.25">
      <c r="A229" s="34"/>
      <c r="B229" s="34"/>
      <c r="C229" s="34"/>
      <c r="D229" s="34"/>
      <c r="E229" s="34"/>
      <c r="F229" s="34"/>
      <c r="G229" s="34"/>
      <c r="H229" s="34"/>
      <c r="I229" s="34"/>
      <c r="J229" s="34"/>
    </row>
    <row r="230" spans="1:10" hidden="1" x14ac:dyDescent="0.25">
      <c r="A230" s="34"/>
      <c r="B230" s="34"/>
      <c r="C230" s="34"/>
      <c r="D230" s="34"/>
      <c r="E230" s="34"/>
      <c r="F230" s="34"/>
      <c r="G230" s="34"/>
      <c r="H230" s="34"/>
      <c r="I230" s="34"/>
      <c r="J230" s="34"/>
    </row>
    <row r="231" spans="1:10" hidden="1" x14ac:dyDescent="0.25">
      <c r="A231" s="34"/>
      <c r="B231" s="34"/>
      <c r="C231" s="34"/>
      <c r="D231" s="208"/>
      <c r="E231" s="34"/>
      <c r="F231" s="34"/>
      <c r="G231" s="34"/>
      <c r="H231" s="34"/>
      <c r="I231" s="34"/>
      <c r="J231" s="34"/>
    </row>
    <row r="232" spans="1:10" hidden="1" x14ac:dyDescent="0.25">
      <c r="A232" s="34"/>
      <c r="B232" s="34"/>
      <c r="C232" s="34"/>
      <c r="D232" s="208"/>
      <c r="E232" s="34"/>
      <c r="F232" s="34"/>
      <c r="G232" s="34"/>
      <c r="H232" s="34"/>
      <c r="I232" s="34"/>
      <c r="J232" s="34"/>
    </row>
    <row r="233" spans="1:10" hidden="1" x14ac:dyDescent="0.25">
      <c r="A233" s="34"/>
      <c r="B233" s="34"/>
      <c r="C233" s="34"/>
      <c r="D233" s="208"/>
      <c r="E233" s="34"/>
      <c r="F233" s="34"/>
      <c r="G233" s="34"/>
      <c r="H233" s="34"/>
      <c r="I233" s="34"/>
      <c r="J233" s="34"/>
    </row>
    <row r="234" spans="1:10" hidden="1" x14ac:dyDescent="0.25">
      <c r="A234" s="34"/>
      <c r="B234" s="34"/>
      <c r="C234" s="34"/>
      <c r="D234" s="208"/>
      <c r="E234" s="34"/>
      <c r="F234" s="34"/>
      <c r="G234" s="34"/>
      <c r="H234" s="34"/>
      <c r="I234" s="34"/>
      <c r="J234" s="34"/>
    </row>
    <row r="235" spans="1:10" hidden="1" x14ac:dyDescent="0.25">
      <c r="A235" s="34"/>
      <c r="B235" s="34"/>
      <c r="C235" s="34"/>
      <c r="D235" s="209" t="s">
        <v>244</v>
      </c>
      <c r="E235" s="34"/>
      <c r="F235" s="34"/>
      <c r="G235" s="34"/>
      <c r="H235" s="34"/>
      <c r="I235" s="34"/>
      <c r="J235" s="34"/>
    </row>
    <row r="236" spans="1:10" hidden="1" x14ac:dyDescent="0.25">
      <c r="A236" s="34"/>
      <c r="B236" s="34"/>
      <c r="C236" s="207"/>
      <c r="D236" s="208"/>
      <c r="E236" s="36"/>
      <c r="F236" s="36"/>
      <c r="G236" s="36"/>
      <c r="H236" s="36"/>
      <c r="I236" s="36"/>
    </row>
    <row r="237" spans="1:10" hidden="1" x14ac:dyDescent="0.25">
      <c r="A237" s="34"/>
      <c r="B237" s="34"/>
      <c r="C237" s="207"/>
      <c r="D237" s="208"/>
      <c r="E237" s="36"/>
      <c r="F237" s="36"/>
      <c r="G237" s="36"/>
      <c r="H237" s="36"/>
      <c r="I237" s="36"/>
    </row>
    <row r="238" spans="1:10" hidden="1" x14ac:dyDescent="0.25">
      <c r="A238" s="34"/>
      <c r="B238" s="34"/>
      <c r="C238" s="207"/>
      <c r="D238" s="208"/>
      <c r="E238" s="36"/>
      <c r="F238" s="36"/>
      <c r="G238" s="36"/>
      <c r="H238" s="36"/>
      <c r="I238" s="36"/>
    </row>
    <row r="239" spans="1:10" hidden="1" x14ac:dyDescent="0.25">
      <c r="A239" s="34"/>
      <c r="B239" s="34"/>
      <c r="C239" s="207"/>
      <c r="D239" s="208"/>
      <c r="E239" s="36"/>
      <c r="F239" s="36"/>
      <c r="G239" s="36"/>
      <c r="H239" s="36"/>
      <c r="I239" s="36"/>
    </row>
    <row r="240" spans="1:10" hidden="1" x14ac:dyDescent="0.25">
      <c r="A240" s="34"/>
      <c r="B240" s="34"/>
      <c r="C240" s="34"/>
      <c r="D240" s="34"/>
      <c r="E240" s="34"/>
      <c r="F240" s="34"/>
      <c r="G240" s="34"/>
      <c r="H240" s="34"/>
      <c r="I240" s="34"/>
      <c r="J240" s="34"/>
    </row>
    <row r="241" spans="1:10" hidden="1" x14ac:dyDescent="0.25">
      <c r="A241" s="34"/>
      <c r="B241" s="34"/>
      <c r="C241" s="34"/>
      <c r="D241" s="34"/>
      <c r="E241" s="34"/>
      <c r="F241" s="34"/>
      <c r="G241" s="34"/>
      <c r="H241" s="34"/>
      <c r="I241" s="34"/>
      <c r="J241" s="34"/>
    </row>
    <row r="242" spans="1:10" hidden="1" x14ac:dyDescent="0.25">
      <c r="A242" s="34"/>
      <c r="B242" s="34"/>
      <c r="C242" s="34"/>
      <c r="D242" s="34"/>
      <c r="E242" s="34"/>
      <c r="F242" s="34"/>
      <c r="G242" s="34"/>
      <c r="H242" s="34"/>
      <c r="I242" s="34"/>
      <c r="J242" s="34"/>
    </row>
    <row r="243" spans="1:10" hidden="1" x14ac:dyDescent="0.25">
      <c r="A243" s="34"/>
      <c r="B243" s="34"/>
      <c r="C243" s="207"/>
      <c r="D243" s="208"/>
      <c r="E243" s="36"/>
      <c r="F243" s="36"/>
      <c r="G243" s="36"/>
      <c r="H243" s="36"/>
      <c r="I243" s="36"/>
    </row>
    <row r="244" spans="1:10" hidden="1" x14ac:dyDescent="0.25">
      <c r="A244" s="34"/>
      <c r="B244" s="34"/>
    </row>
    <row r="245" spans="1:10" hidden="1" x14ac:dyDescent="0.25">
      <c r="A245" s="34"/>
      <c r="B245" s="34"/>
    </row>
    <row r="246" spans="1:10" hidden="1" x14ac:dyDescent="0.25">
      <c r="A246" s="34"/>
      <c r="B246" s="34"/>
    </row>
    <row r="247" spans="1:10" hidden="1" x14ac:dyDescent="0.25">
      <c r="A247" s="34"/>
      <c r="B247" s="34"/>
    </row>
    <row r="248" spans="1:10" hidden="1" x14ac:dyDescent="0.25">
      <c r="A248" s="34"/>
      <c r="B248" s="34"/>
    </row>
  </sheetData>
  <sheetProtection password="CA1B" sheet="1" formatColumns="0" formatRows="0"/>
  <phoneticPr fontId="0" type="noConversion"/>
  <dataValidations xWindow="692" yWindow="249" count="6">
    <dataValidation allowBlank="1" showInputMessage="1" showErrorMessage="1" promptTitle="Nuevos Aportes" prompt="Valor adicional de aportes de capital (tomado al inicio del período)" sqref="F82:J82" xr:uid="{00000000-0002-0000-0900-000000000000}"/>
    <dataValidation allowBlank="1" showInputMessage="1" showErrorMessage="1" promptTitle="Obligaciones Fondo Emprender" prompt="Valor solicitado de financiación al Fondo Emprender" sqref="E81 E83" xr:uid="{00000000-0002-0000-0900-000001000000}"/>
    <dataValidation allowBlank="1" showInputMessage="1" showErrorMessage="1" promptTitle="Dividendos" prompt="% de Dividendos Repartidos (% respecto de la utilidad repartible)" sqref="F100:J100" xr:uid="{00000000-0002-0000-0900-000002000000}"/>
    <dataValidation allowBlank="1" showInputMessage="1" showErrorMessage="1" promptTitle="% Renta Presuntiva" prompt="Porcentaje de Renta Presuntiva sobre el patrimonio líquido" sqref="F69:J69" xr:uid="{00000000-0002-0000-0900-000003000000}"/>
    <dataValidation allowBlank="1" showInputMessage="1" showErrorMessage="1" promptTitle="% Impuesto de Renta" prompt="Tasa de Impuesto de Renta. Se calcula sobre Renta Presuntiva o Renta Liquida, la Mayor de ellas." sqref="F72:J74" xr:uid="{00000000-0002-0000-0900-000004000000}"/>
    <dataValidation allowBlank="1" sqref="F75:J75" xr:uid="{00000000-0002-0000-0900-000005000000}"/>
  </dataValidations>
  <hyperlinks>
    <hyperlink ref="C4" location="Inicio!A1" display="Inicio" xr:uid="{00000000-0004-0000-0900-000000000000}"/>
  </hyperlinks>
  <pageMargins left="0.44" right="0.19685039370078741" top="0.98425196850393704" bottom="0.39370078740157483" header="0.31496062992125984" footer="0.31496062992125984"/>
  <pageSetup paperSize="9" scale="90" orientation="landscape" horizontalDpi="0" verticalDpi="0"/>
  <headerFooter>
    <oddHeader>&amp;C&amp;"Arial,Negrita"&amp;14&amp;A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27">
    <tabColor rgb="FFFFFF00"/>
  </sheetPr>
  <dimension ref="A1:K53"/>
  <sheetViews>
    <sheetView topLeftCell="A30" zoomScale="117" zoomScaleNormal="120" workbookViewId="0">
      <selection activeCell="F9" sqref="F9"/>
    </sheetView>
  </sheetViews>
  <sheetFormatPr baseColWidth="10" defaultColWidth="0" defaultRowHeight="13.2" zeroHeight="1" x14ac:dyDescent="0.25"/>
  <cols>
    <col min="1" max="2" width="1.77734375" customWidth="1"/>
    <col min="3" max="3" width="62.88671875" customWidth="1"/>
    <col min="4" max="4" width="14.21875" customWidth="1"/>
    <col min="5" max="5" width="11.6640625" bestFit="1" customWidth="1"/>
    <col min="6" max="6" width="21.33203125" bestFit="1" customWidth="1"/>
    <col min="7" max="7" width="18.6640625" customWidth="1"/>
    <col min="8" max="8" width="12.21875" customWidth="1"/>
    <col min="9" max="9" width="18.33203125" customWidth="1"/>
    <col min="10" max="10" width="2.44140625" customWidth="1"/>
    <col min="11" max="11" width="2.21875" hidden="1" customWidth="1"/>
  </cols>
  <sheetData>
    <row r="1" spans="1:11" ht="18" thickBot="1" x14ac:dyDescent="0.3">
      <c r="C1" s="225" t="s">
        <v>406</v>
      </c>
      <c r="D1" s="226"/>
      <c r="E1" s="226"/>
      <c r="F1" s="227"/>
      <c r="G1" s="228"/>
      <c r="H1" s="228"/>
      <c r="I1" s="329" t="s">
        <v>350</v>
      </c>
    </row>
    <row r="2" spans="1:11" x14ac:dyDescent="0.25">
      <c r="A2" s="82"/>
      <c r="B2" s="84"/>
      <c r="C2" s="96" t="s">
        <v>267</v>
      </c>
      <c r="D2" s="96"/>
      <c r="E2" s="210"/>
      <c r="F2" s="210"/>
      <c r="G2" s="210"/>
      <c r="H2" s="210"/>
      <c r="I2" s="210"/>
      <c r="J2" s="85"/>
      <c r="K2" s="82"/>
    </row>
    <row r="3" spans="1:11" x14ac:dyDescent="0.25">
      <c r="A3" s="80"/>
      <c r="B3" s="86"/>
      <c r="C3" s="7"/>
      <c r="D3" s="1"/>
      <c r="E3" s="1"/>
      <c r="F3" s="1"/>
      <c r="G3" s="1"/>
      <c r="H3" s="1"/>
      <c r="I3" s="1"/>
      <c r="J3" s="87"/>
      <c r="K3" s="80"/>
    </row>
    <row r="4" spans="1:11" x14ac:dyDescent="0.25">
      <c r="A4" s="83"/>
      <c r="B4" s="88"/>
      <c r="C4" s="212"/>
      <c r="D4" s="214" t="s">
        <v>271</v>
      </c>
      <c r="E4" s="214" t="s">
        <v>269</v>
      </c>
      <c r="F4" s="214" t="s">
        <v>295</v>
      </c>
      <c r="G4" s="214" t="s">
        <v>293</v>
      </c>
      <c r="H4" s="215" t="s">
        <v>270</v>
      </c>
      <c r="I4" s="479" t="s">
        <v>436</v>
      </c>
      <c r="J4" s="89"/>
      <c r="K4" s="83"/>
    </row>
    <row r="5" spans="1:11" x14ac:dyDescent="0.25">
      <c r="A5" s="80"/>
      <c r="B5" s="86"/>
      <c r="C5" s="218"/>
      <c r="D5" s="74"/>
      <c r="E5" s="30"/>
      <c r="F5" s="30"/>
      <c r="G5" s="30"/>
      <c r="H5" s="30"/>
      <c r="I5" s="1"/>
      <c r="J5" s="87"/>
      <c r="K5" s="80"/>
    </row>
    <row r="6" spans="1:11" x14ac:dyDescent="0.25">
      <c r="A6" s="83"/>
      <c r="B6" s="88"/>
      <c r="C6" s="219" t="s">
        <v>272</v>
      </c>
      <c r="D6" s="468">
        <f>SUM(D8:D14)</f>
        <v>0</v>
      </c>
      <c r="E6" s="468">
        <f>SUM(E8:E14)</f>
        <v>14505700</v>
      </c>
      <c r="F6" s="468">
        <f>SUM(F8:F14)</f>
        <v>0</v>
      </c>
      <c r="G6" s="468">
        <f>SUM(G8:G14)</f>
        <v>22796693</v>
      </c>
      <c r="H6" s="395">
        <f>SUM(H8:H14)</f>
        <v>37302393</v>
      </c>
      <c r="I6" s="396"/>
      <c r="J6" s="89"/>
      <c r="K6" s="83"/>
    </row>
    <row r="7" spans="1:11" ht="10.5" customHeight="1" x14ac:dyDescent="0.25">
      <c r="A7" s="80"/>
      <c r="B7" s="86"/>
      <c r="C7" s="231" t="s">
        <v>273</v>
      </c>
      <c r="D7" s="397"/>
      <c r="E7" s="397"/>
      <c r="F7" s="397"/>
      <c r="G7" s="397"/>
      <c r="H7" s="397"/>
      <c r="I7" s="398">
        <f>+D6+E6+F6+G6</f>
        <v>37302393</v>
      </c>
      <c r="J7" s="87"/>
      <c r="K7" s="80"/>
    </row>
    <row r="8" spans="1:11" ht="11.25" customHeight="1" x14ac:dyDescent="0.25">
      <c r="A8" s="80"/>
      <c r="B8" s="86"/>
      <c r="C8" s="332" t="s">
        <v>115</v>
      </c>
      <c r="D8" s="399"/>
      <c r="E8" s="399"/>
      <c r="F8" s="468"/>
      <c r="G8" s="399"/>
      <c r="H8" s="400">
        <f>+' Inversiones Fijas y Diferidas'!G66</f>
        <v>0</v>
      </c>
      <c r="I8" s="396">
        <f>+D8+E8+G8</f>
        <v>0</v>
      </c>
      <c r="J8" s="87"/>
      <c r="K8" s="80"/>
    </row>
    <row r="9" spans="1:11" ht="11.25" customHeight="1" x14ac:dyDescent="0.25">
      <c r="A9" s="80"/>
      <c r="B9" s="86"/>
      <c r="C9" s="332" t="s">
        <v>117</v>
      </c>
      <c r="D9" s="399"/>
      <c r="E9" s="399"/>
      <c r="F9" s="468"/>
      <c r="G9" s="399"/>
      <c r="H9" s="400">
        <f>+' Inversiones Fijas y Diferidas'!G67</f>
        <v>0</v>
      </c>
      <c r="I9" s="396">
        <f>+D9+E9+G9</f>
        <v>0</v>
      </c>
      <c r="J9" s="87"/>
      <c r="K9" s="80"/>
    </row>
    <row r="10" spans="1:11" ht="11.25" customHeight="1" x14ac:dyDescent="0.25">
      <c r="A10" s="80"/>
      <c r="B10" s="86"/>
      <c r="C10" s="332" t="s">
        <v>291</v>
      </c>
      <c r="D10" s="399"/>
      <c r="E10" s="399"/>
      <c r="F10" s="399"/>
      <c r="G10" s="399"/>
      <c r="H10" s="400">
        <f>+' Inversiones Fijas y Diferidas'!G68</f>
        <v>0</v>
      </c>
      <c r="I10" s="396">
        <f>+D10+E10+F10+G10</f>
        <v>0</v>
      </c>
      <c r="J10" s="87"/>
      <c r="K10" s="80"/>
    </row>
    <row r="11" spans="1:11" ht="11.25" customHeight="1" x14ac:dyDescent="0.25">
      <c r="A11" s="80"/>
      <c r="B11" s="86"/>
      <c r="C11" s="332" t="s">
        <v>46</v>
      </c>
      <c r="D11" s="399"/>
      <c r="E11" s="399">
        <f>+' Inversiones Fijas y Diferidas'!G75</f>
        <v>13505700</v>
      </c>
      <c r="F11" s="399">
        <v>0</v>
      </c>
      <c r="G11" s="399">
        <f>+' Inversiones Fijas y Diferidas'!G95-' Inversiones Fijas y Diferidas'!G75</f>
        <v>22796693</v>
      </c>
      <c r="H11" s="400">
        <f>+' Inversiones Fijas y Diferidas'!G95</f>
        <v>36302393</v>
      </c>
      <c r="I11" s="396">
        <f>+D11+E11+F11+G11</f>
        <v>36302393</v>
      </c>
      <c r="J11" s="87"/>
      <c r="K11" s="80"/>
    </row>
    <row r="12" spans="1:11" ht="12" customHeight="1" x14ac:dyDescent="0.25">
      <c r="A12" s="80"/>
      <c r="B12" s="86"/>
      <c r="C12" s="332" t="s">
        <v>122</v>
      </c>
      <c r="D12" s="399"/>
      <c r="E12" s="399">
        <f>+' Inversiones Fijas y Diferidas'!F97</f>
        <v>1000000</v>
      </c>
      <c r="F12" s="399">
        <v>0</v>
      </c>
      <c r="G12" s="399"/>
      <c r="H12" s="400">
        <f>+' Inversiones Fijas y Diferidas'!G107</f>
        <v>1000000</v>
      </c>
      <c r="I12" s="396">
        <f>+D12+E12+F12+G12</f>
        <v>1000000</v>
      </c>
      <c r="J12" s="87"/>
      <c r="K12" s="80"/>
    </row>
    <row r="13" spans="1:11" x14ac:dyDescent="0.25">
      <c r="A13" s="80"/>
      <c r="B13" s="86"/>
      <c r="C13" s="332" t="s">
        <v>326</v>
      </c>
      <c r="D13" s="399"/>
      <c r="E13" s="399"/>
      <c r="F13" s="399"/>
      <c r="G13" s="399"/>
      <c r="H13" s="400">
        <f>+' Inversiones Fijas y Diferidas'!G115</f>
        <v>0</v>
      </c>
      <c r="I13" s="396">
        <f>+D13+E13+F13+G13</f>
        <v>0</v>
      </c>
      <c r="J13" s="87"/>
      <c r="K13" s="80"/>
    </row>
    <row r="14" spans="1:11" x14ac:dyDescent="0.25">
      <c r="A14" s="80"/>
      <c r="B14" s="86"/>
      <c r="C14" s="332" t="s">
        <v>344</v>
      </c>
      <c r="D14" s="399"/>
      <c r="E14" s="399"/>
      <c r="F14" s="399">
        <v>0</v>
      </c>
      <c r="G14" s="399"/>
      <c r="H14" s="400">
        <f>+' Inversiones Fijas y Diferidas'!G125</f>
        <v>0</v>
      </c>
      <c r="I14" s="396">
        <f>+D14+E14+F14+G14</f>
        <v>0</v>
      </c>
      <c r="J14" s="87"/>
      <c r="K14" s="80"/>
    </row>
    <row r="15" spans="1:11" x14ac:dyDescent="0.25">
      <c r="A15" s="83"/>
      <c r="B15" s="88"/>
      <c r="C15" s="212" t="s">
        <v>294</v>
      </c>
      <c r="D15" s="468">
        <f>SUM(D17:D21)</f>
        <v>0</v>
      </c>
      <c r="E15" s="468">
        <f>SUM(E17:E21)</f>
        <v>0</v>
      </c>
      <c r="F15" s="468">
        <f>SUM(F17:F21)</f>
        <v>0</v>
      </c>
      <c r="G15" s="468">
        <f>SUM(G17:G21)</f>
        <v>0</v>
      </c>
      <c r="H15" s="395">
        <f>SUM(H17:H21)</f>
        <v>0</v>
      </c>
      <c r="I15" s="396"/>
      <c r="J15" s="89"/>
      <c r="K15" s="83"/>
    </row>
    <row r="16" spans="1:11" ht="11.25" customHeight="1" x14ac:dyDescent="0.25">
      <c r="A16" s="83"/>
      <c r="B16" s="88"/>
      <c r="C16" s="230" t="s">
        <v>292</v>
      </c>
      <c r="D16" s="397"/>
      <c r="E16" s="397"/>
      <c r="F16" s="397"/>
      <c r="G16" s="397"/>
      <c r="H16" s="397"/>
      <c r="I16" s="398">
        <f>+D15+E15+F15+G15</f>
        <v>0</v>
      </c>
      <c r="J16" s="89"/>
      <c r="K16" s="83"/>
    </row>
    <row r="17" spans="1:11" x14ac:dyDescent="0.25">
      <c r="A17" s="83"/>
      <c r="B17" s="88"/>
      <c r="C17" s="332" t="s">
        <v>43</v>
      </c>
      <c r="D17" s="399"/>
      <c r="E17" s="399"/>
      <c r="F17" s="468"/>
      <c r="G17" s="399"/>
      <c r="H17" s="400">
        <f>ROUND(+'Flujo de Caja'!D47,0)</f>
        <v>-21697998</v>
      </c>
      <c r="I17" s="396">
        <f>+D17+E17+G17</f>
        <v>0</v>
      </c>
      <c r="J17" s="89"/>
      <c r="K17" s="83"/>
    </row>
    <row r="18" spans="1:11" x14ac:dyDescent="0.25">
      <c r="A18" s="83"/>
      <c r="B18" s="88"/>
      <c r="C18" s="332" t="s">
        <v>6</v>
      </c>
      <c r="D18" s="399"/>
      <c r="E18" s="399"/>
      <c r="F18" s="468"/>
      <c r="G18" s="399"/>
      <c r="H18" s="400">
        <f>ROUND(+'Capital de Trabajo'!E8,0)</f>
        <v>0</v>
      </c>
      <c r="I18" s="396">
        <f>+D18+E18+G18</f>
        <v>0</v>
      </c>
      <c r="J18" s="89"/>
      <c r="K18" s="83"/>
    </row>
    <row r="19" spans="1:11" hidden="1" x14ac:dyDescent="0.25">
      <c r="A19" s="83"/>
      <c r="B19" s="88"/>
      <c r="C19" s="332"/>
      <c r="D19" s="399"/>
      <c r="E19" s="399"/>
      <c r="F19" s="399"/>
      <c r="G19" s="399"/>
      <c r="H19" s="400">
        <f>+'Capital de Trabajo'!E21</f>
        <v>0</v>
      </c>
      <c r="I19" s="396">
        <f>+D19+E19+F19+G19</f>
        <v>0</v>
      </c>
      <c r="J19" s="89"/>
      <c r="K19" s="83"/>
    </row>
    <row r="20" spans="1:11" hidden="1" x14ac:dyDescent="0.25">
      <c r="A20" s="83"/>
      <c r="B20" s="88"/>
      <c r="C20" s="332"/>
      <c r="D20" s="399"/>
      <c r="E20" s="399"/>
      <c r="F20" s="394"/>
      <c r="G20" s="399"/>
      <c r="H20" s="400">
        <f>+'Capital de Trabajo'!E18</f>
        <v>0</v>
      </c>
      <c r="I20" s="396">
        <f>+D20+E20+G20</f>
        <v>0</v>
      </c>
      <c r="J20" s="89"/>
      <c r="K20" s="83"/>
    </row>
    <row r="21" spans="1:11" ht="12.75" customHeight="1" x14ac:dyDescent="0.25">
      <c r="A21" s="80"/>
      <c r="B21" s="86"/>
      <c r="C21" s="336" t="s">
        <v>464</v>
      </c>
      <c r="D21" s="399"/>
      <c r="E21" s="399"/>
      <c r="F21" s="399"/>
      <c r="G21" s="399"/>
      <c r="H21" s="400">
        <f>ROUND(+'Capital de Trabajo'!E15,0)</f>
        <v>21697998</v>
      </c>
      <c r="I21" s="396">
        <f>+D21+E21+G21</f>
        <v>0</v>
      </c>
      <c r="J21" s="87"/>
      <c r="K21" s="80"/>
    </row>
    <row r="22" spans="1:11" hidden="1" x14ac:dyDescent="0.25">
      <c r="A22" s="129"/>
      <c r="B22" s="138"/>
      <c r="C22" s="216"/>
      <c r="D22" s="401"/>
      <c r="E22" s="401"/>
      <c r="F22" s="401"/>
      <c r="G22" s="401"/>
      <c r="H22" s="401"/>
      <c r="I22" s="396"/>
      <c r="J22" s="139"/>
      <c r="K22" s="129"/>
    </row>
    <row r="23" spans="1:11" ht="0.75" hidden="1" customHeight="1" x14ac:dyDescent="0.25">
      <c r="A23" s="80"/>
      <c r="B23" s="86"/>
      <c r="C23" s="216"/>
      <c r="D23" s="401"/>
      <c r="E23" s="401"/>
      <c r="F23" s="401"/>
      <c r="G23" s="401"/>
      <c r="H23" s="401"/>
      <c r="I23" s="396"/>
      <c r="J23" s="87"/>
      <c r="K23" s="80"/>
    </row>
    <row r="24" spans="1:11" x14ac:dyDescent="0.25">
      <c r="A24" s="83"/>
      <c r="B24" s="88"/>
      <c r="C24" s="212" t="s">
        <v>386</v>
      </c>
      <c r="D24" s="468">
        <f>SUM(D26:D41)</f>
        <v>0</v>
      </c>
      <c r="E24" s="468">
        <f>SUM(E26:E41)</f>
        <v>38792564</v>
      </c>
      <c r="F24" s="468">
        <f>SUM(F26:F41)</f>
        <v>0</v>
      </c>
      <c r="G24" s="468">
        <f>SUM(G26:G41)</f>
        <v>0</v>
      </c>
      <c r="H24" s="469">
        <f>SUM(H26:H41)</f>
        <v>38792564</v>
      </c>
      <c r="I24" s="396"/>
      <c r="J24" s="89"/>
      <c r="K24" s="83"/>
    </row>
    <row r="25" spans="1:11" ht="10.5" customHeight="1" x14ac:dyDescent="0.25">
      <c r="A25" s="80"/>
      <c r="B25" s="86"/>
      <c r="C25" s="230" t="s">
        <v>274</v>
      </c>
      <c r="D25" s="397"/>
      <c r="E25" s="397"/>
      <c r="F25" s="397"/>
      <c r="G25" s="397"/>
      <c r="H25" s="397"/>
      <c r="I25" s="402">
        <f>+D24+E24+F24+G24</f>
        <v>38792564</v>
      </c>
      <c r="J25" s="87"/>
      <c r="K25" s="80"/>
    </row>
    <row r="26" spans="1:11" ht="12.75" customHeight="1" x14ac:dyDescent="0.25">
      <c r="A26" s="80"/>
      <c r="B26" s="86"/>
      <c r="C26" s="211" t="s">
        <v>331</v>
      </c>
      <c r="D26" s="399"/>
      <c r="E26" s="399">
        <f>+' Inversiones Fijas y Diferidas'!G135</f>
        <v>0</v>
      </c>
      <c r="F26" s="399"/>
      <c r="G26" s="399"/>
      <c r="H26" s="400">
        <f>' Inversiones Fijas y Diferidas'!G135</f>
        <v>0</v>
      </c>
      <c r="I26" s="403">
        <f>+D26+E26+F26+G26</f>
        <v>0</v>
      </c>
      <c r="J26" s="87"/>
      <c r="K26" s="80"/>
    </row>
    <row r="27" spans="1:11" ht="12.75" customHeight="1" x14ac:dyDescent="0.25">
      <c r="A27" s="80"/>
      <c r="B27" s="86"/>
      <c r="C27" s="211" t="s">
        <v>332</v>
      </c>
      <c r="D27" s="399"/>
      <c r="E27" s="399">
        <f>+' Inversiones Fijas y Diferidas'!G136</f>
        <v>0</v>
      </c>
      <c r="F27" s="399"/>
      <c r="G27" s="399"/>
      <c r="H27" s="400">
        <f>' Inversiones Fijas y Diferidas'!G136</f>
        <v>0</v>
      </c>
      <c r="I27" s="403">
        <f t="shared" ref="I27:I40" si="0">+D27+E27+F27+G27</f>
        <v>0</v>
      </c>
      <c r="J27" s="87"/>
      <c r="K27" s="80"/>
    </row>
    <row r="28" spans="1:11" ht="13.95" customHeight="1" x14ac:dyDescent="0.25">
      <c r="A28" s="80"/>
      <c r="B28" s="86"/>
      <c r="C28" s="211" t="s">
        <v>277</v>
      </c>
      <c r="D28" s="399"/>
      <c r="E28" s="399">
        <f>+' Inversiones Fijas y Diferidas'!G137</f>
        <v>0</v>
      </c>
      <c r="F28" s="399"/>
      <c r="G28" s="399"/>
      <c r="H28" s="400">
        <f>' Inversiones Fijas y Diferidas'!G137</f>
        <v>0</v>
      </c>
      <c r="I28" s="403">
        <f t="shared" si="0"/>
        <v>0</v>
      </c>
      <c r="J28" s="87"/>
      <c r="K28" s="80"/>
    </row>
    <row r="29" spans="1:11" ht="12.75" customHeight="1" x14ac:dyDescent="0.25">
      <c r="A29" s="80"/>
      <c r="B29" s="86"/>
      <c r="C29" s="211" t="s">
        <v>289</v>
      </c>
      <c r="D29" s="399"/>
      <c r="E29" s="399">
        <f>+' Inversiones Fijas y Diferidas'!G138</f>
        <v>4000000</v>
      </c>
      <c r="F29" s="399"/>
      <c r="G29" s="399"/>
      <c r="H29" s="400">
        <f>' Inversiones Fijas y Diferidas'!G138</f>
        <v>4000000</v>
      </c>
      <c r="I29" s="403">
        <f t="shared" si="0"/>
        <v>4000000</v>
      </c>
      <c r="J29" s="87"/>
      <c r="K29" s="80"/>
    </row>
    <row r="30" spans="1:11" x14ac:dyDescent="0.25">
      <c r="A30" s="80"/>
      <c r="B30" s="86"/>
      <c r="C30" s="211" t="s">
        <v>426</v>
      </c>
      <c r="D30" s="399"/>
      <c r="E30" s="399">
        <f>+' Inversiones Fijas y Diferidas'!G139</f>
        <v>0</v>
      </c>
      <c r="F30" s="399"/>
      <c r="G30" s="399"/>
      <c r="H30" s="400">
        <f>' Inversiones Fijas y Diferidas'!G139</f>
        <v>0</v>
      </c>
      <c r="I30" s="403">
        <f t="shared" si="0"/>
        <v>0</v>
      </c>
      <c r="J30" s="87"/>
      <c r="K30" s="80"/>
    </row>
    <row r="31" spans="1:11" x14ac:dyDescent="0.25">
      <c r="A31" s="80"/>
      <c r="B31" s="86"/>
      <c r="C31" s="211" t="s">
        <v>428</v>
      </c>
      <c r="D31" s="399"/>
      <c r="E31" s="399">
        <f>+' Inversiones Fijas y Diferidas'!G140</f>
        <v>9144564</v>
      </c>
      <c r="F31" s="399"/>
      <c r="G31" s="399"/>
      <c r="H31" s="400">
        <f>' Inversiones Fijas y Diferidas'!G140</f>
        <v>9144564</v>
      </c>
      <c r="I31" s="403">
        <f t="shared" si="0"/>
        <v>9144564</v>
      </c>
      <c r="J31" s="87"/>
      <c r="K31" s="80"/>
    </row>
    <row r="32" spans="1:11" x14ac:dyDescent="0.25">
      <c r="A32" s="80"/>
      <c r="B32" s="86"/>
      <c r="C32" s="211" t="s">
        <v>427</v>
      </c>
      <c r="D32" s="399"/>
      <c r="E32" s="399">
        <f>+' Inversiones Fijas y Diferidas'!G141</f>
        <v>12848000</v>
      </c>
      <c r="F32" s="399"/>
      <c r="G32" s="399"/>
      <c r="H32" s="400">
        <f>' Inversiones Fijas y Diferidas'!G141</f>
        <v>12848000</v>
      </c>
      <c r="I32" s="403">
        <f t="shared" si="0"/>
        <v>12848000</v>
      </c>
      <c r="J32" s="87"/>
      <c r="K32" s="80"/>
    </row>
    <row r="33" spans="1:11" x14ac:dyDescent="0.25">
      <c r="A33" s="80"/>
      <c r="B33" s="86"/>
      <c r="C33" s="211" t="s">
        <v>334</v>
      </c>
      <c r="D33" s="399"/>
      <c r="E33" s="399">
        <f>+' Inversiones Fijas y Diferidas'!G142</f>
        <v>1200000</v>
      </c>
      <c r="F33" s="399"/>
      <c r="G33" s="399"/>
      <c r="H33" s="400">
        <f>' Inversiones Fijas y Diferidas'!G142</f>
        <v>1200000</v>
      </c>
      <c r="I33" s="403">
        <f t="shared" si="0"/>
        <v>1200000</v>
      </c>
      <c r="J33" s="87"/>
      <c r="K33" s="80"/>
    </row>
    <row r="34" spans="1:11" x14ac:dyDescent="0.25">
      <c r="A34" s="80"/>
      <c r="B34" s="86"/>
      <c r="C34" s="211" t="s">
        <v>330</v>
      </c>
      <c r="D34" s="399"/>
      <c r="E34" s="399">
        <f>+' Inversiones Fijas y Diferidas'!G143</f>
        <v>400000</v>
      </c>
      <c r="F34" s="399"/>
      <c r="G34" s="399"/>
      <c r="H34" s="400">
        <f>' Inversiones Fijas y Diferidas'!G143</f>
        <v>400000</v>
      </c>
      <c r="I34" s="403">
        <f t="shared" si="0"/>
        <v>400000</v>
      </c>
      <c r="J34" s="87"/>
      <c r="K34" s="80"/>
    </row>
    <row r="35" spans="1:11" x14ac:dyDescent="0.25">
      <c r="A35" s="80"/>
      <c r="B35" s="86"/>
      <c r="C35" s="211" t="s">
        <v>312</v>
      </c>
      <c r="D35" s="399"/>
      <c r="E35" s="399">
        <f>+' Inversiones Fijas y Diferidas'!G144</f>
        <v>200000</v>
      </c>
      <c r="F35" s="399"/>
      <c r="G35" s="399"/>
      <c r="H35" s="400">
        <f>' Inversiones Fijas y Diferidas'!G144</f>
        <v>200000</v>
      </c>
      <c r="I35" s="403">
        <f>+D35+E35+F35+G35</f>
        <v>200000</v>
      </c>
      <c r="J35" s="87"/>
      <c r="K35" s="80"/>
    </row>
    <row r="36" spans="1:11" x14ac:dyDescent="0.25">
      <c r="A36" s="80"/>
      <c r="B36" s="86"/>
      <c r="C36" s="211" t="s">
        <v>333</v>
      </c>
      <c r="D36" s="399"/>
      <c r="E36" s="399">
        <f>+' Inversiones Fijas y Diferidas'!G145</f>
        <v>0</v>
      </c>
      <c r="F36" s="399"/>
      <c r="G36" s="399"/>
      <c r="H36" s="400">
        <f>' Inversiones Fijas y Diferidas'!G145</f>
        <v>0</v>
      </c>
      <c r="I36" s="403">
        <f t="shared" si="0"/>
        <v>0</v>
      </c>
      <c r="J36" s="87"/>
      <c r="K36" s="80"/>
    </row>
    <row r="37" spans="1:11" x14ac:dyDescent="0.25">
      <c r="A37" s="80"/>
      <c r="B37" s="86"/>
      <c r="C37" s="211" t="s">
        <v>335</v>
      </c>
      <c r="D37" s="399"/>
      <c r="E37" s="399">
        <f>+' Inversiones Fijas y Diferidas'!G146</f>
        <v>0</v>
      </c>
      <c r="F37" s="399"/>
      <c r="G37" s="399"/>
      <c r="H37" s="400">
        <f>' Inversiones Fijas y Diferidas'!G146</f>
        <v>0</v>
      </c>
      <c r="I37" s="403">
        <f t="shared" si="0"/>
        <v>0</v>
      </c>
      <c r="J37" s="87"/>
      <c r="K37" s="80"/>
    </row>
    <row r="38" spans="1:11" x14ac:dyDescent="0.25">
      <c r="A38" s="80"/>
      <c r="B38" s="86"/>
      <c r="C38" s="211" t="s">
        <v>345</v>
      </c>
      <c r="D38" s="399"/>
      <c r="E38" s="399">
        <f>+' Inversiones Fijas y Diferidas'!G147</f>
        <v>11000000</v>
      </c>
      <c r="F38" s="399"/>
      <c r="G38" s="399"/>
      <c r="H38" s="400">
        <f>' Inversiones Fijas y Diferidas'!G147</f>
        <v>11000000</v>
      </c>
      <c r="I38" s="403">
        <f t="shared" si="0"/>
        <v>11000000</v>
      </c>
      <c r="J38" s="87"/>
      <c r="K38" s="80"/>
    </row>
    <row r="39" spans="1:11" x14ac:dyDescent="0.25">
      <c r="A39" s="80"/>
      <c r="B39" s="86"/>
      <c r="C39" s="211" t="s">
        <v>336</v>
      </c>
      <c r="D39" s="399"/>
      <c r="E39" s="399">
        <f>+' Inversiones Fijas y Diferidas'!G148</f>
        <v>0</v>
      </c>
      <c r="F39" s="399"/>
      <c r="G39" s="399"/>
      <c r="H39" s="400">
        <f>' Inversiones Fijas y Diferidas'!G148</f>
        <v>0</v>
      </c>
      <c r="I39" s="403">
        <f t="shared" si="0"/>
        <v>0</v>
      </c>
      <c r="J39" s="87"/>
      <c r="K39" s="80"/>
    </row>
    <row r="40" spans="1:11" x14ac:dyDescent="0.25">
      <c r="A40" s="80"/>
      <c r="B40" s="86"/>
      <c r="C40" s="332" t="s">
        <v>348</v>
      </c>
      <c r="D40" s="399"/>
      <c r="E40" s="399">
        <f>+' Inversiones Fijas y Diferidas'!G159</f>
        <v>0</v>
      </c>
      <c r="F40" s="399"/>
      <c r="G40" s="399"/>
      <c r="H40" s="400">
        <f>' Inversiones Fijas y Diferidas'!G159</f>
        <v>0</v>
      </c>
      <c r="I40" s="403">
        <f t="shared" si="0"/>
        <v>0</v>
      </c>
      <c r="J40" s="87"/>
      <c r="K40" s="80"/>
    </row>
    <row r="41" spans="1:11" x14ac:dyDescent="0.25">
      <c r="A41" s="80"/>
      <c r="B41" s="86"/>
      <c r="C41" s="332" t="s">
        <v>346</v>
      </c>
      <c r="D41" s="399"/>
      <c r="E41" s="399">
        <f>+' Inversiones Fijas y Diferidas'!G166</f>
        <v>0</v>
      </c>
      <c r="F41" s="468"/>
      <c r="G41" s="399"/>
      <c r="H41" s="400">
        <f>' Inversiones Fijas y Diferidas'!G166</f>
        <v>0</v>
      </c>
      <c r="I41" s="451">
        <f>+D41+E41+G41</f>
        <v>0</v>
      </c>
      <c r="J41" s="87"/>
      <c r="K41" s="80"/>
    </row>
    <row r="42" spans="1:11" x14ac:dyDescent="0.25">
      <c r="A42" s="83"/>
      <c r="B42" s="88"/>
      <c r="C42" s="217" t="s">
        <v>268</v>
      </c>
      <c r="D42" s="470">
        <f>ROUND(+Balance!D45,0)</f>
        <v>0</v>
      </c>
      <c r="E42" s="400">
        <f>+'Estructura de Capital'!E84</f>
        <v>53298264</v>
      </c>
      <c r="F42" s="470">
        <f>+'Estructura de Capital'!E83</f>
        <v>0</v>
      </c>
      <c r="G42" s="470">
        <f>+'Estructura de Capital'!E81</f>
        <v>22796693</v>
      </c>
      <c r="H42" s="400">
        <f>+H6+H15+H24</f>
        <v>76094957</v>
      </c>
      <c r="I42" s="402">
        <f>+I7+I16+I25</f>
        <v>76094957</v>
      </c>
      <c r="J42" s="89"/>
      <c r="K42" s="83"/>
    </row>
    <row r="43" spans="1:11" ht="12" customHeight="1" x14ac:dyDescent="0.25">
      <c r="A43" s="80"/>
      <c r="B43" s="86"/>
      <c r="C43" s="321" t="s">
        <v>275</v>
      </c>
      <c r="D43" s="404">
        <f>+D6+D15+D24</f>
        <v>0</v>
      </c>
      <c r="E43" s="404"/>
      <c r="F43" s="404">
        <f>+F6+F15+F24</f>
        <v>0</v>
      </c>
      <c r="G43" s="404">
        <f>+G6+G15+G24</f>
        <v>22796693</v>
      </c>
      <c r="H43" s="404"/>
      <c r="I43" s="405">
        <f>+D42+E42+F42+G42</f>
        <v>76094957</v>
      </c>
      <c r="J43" s="87"/>
      <c r="K43" s="80"/>
    </row>
    <row r="44" spans="1:11" x14ac:dyDescent="0.25">
      <c r="A44" s="80"/>
      <c r="B44" s="86"/>
      <c r="C44" s="454" t="s">
        <v>413</v>
      </c>
      <c r="D44" s="252"/>
      <c r="E44" s="252"/>
      <c r="F44" s="252"/>
      <c r="G44" s="212"/>
      <c r="H44" s="212"/>
      <c r="I44" s="212"/>
      <c r="J44" s="87"/>
      <c r="K44" s="80"/>
    </row>
    <row r="45" spans="1:11" x14ac:dyDescent="0.25">
      <c r="A45" s="80"/>
      <c r="B45" s="86"/>
      <c r="C45" s="455" t="s">
        <v>414</v>
      </c>
      <c r="D45" s="253"/>
      <c r="E45" s="253"/>
      <c r="F45" s="253"/>
      <c r="G45" s="253"/>
      <c r="H45" s="253"/>
      <c r="I45" s="253"/>
      <c r="J45" s="87"/>
      <c r="K45" s="80"/>
    </row>
    <row r="46" spans="1:11" x14ac:dyDescent="0.25">
      <c r="A46" s="80"/>
      <c r="B46" s="86"/>
      <c r="C46" s="454" t="s">
        <v>296</v>
      </c>
      <c r="D46" s="252"/>
      <c r="E46" s="252"/>
      <c r="F46" s="252"/>
      <c r="G46" s="252"/>
      <c r="H46" s="252"/>
      <c r="I46" s="252"/>
      <c r="J46" s="87"/>
      <c r="K46" s="80"/>
    </row>
    <row r="47" spans="1:11" x14ac:dyDescent="0.25">
      <c r="A47" s="80"/>
      <c r="B47" s="86"/>
      <c r="C47" s="477" t="s">
        <v>435</v>
      </c>
      <c r="D47" s="399">
        <v>1423500</v>
      </c>
      <c r="E47" s="1"/>
      <c r="F47" s="1"/>
      <c r="G47" s="1"/>
      <c r="H47" s="1"/>
      <c r="I47" s="1"/>
      <c r="J47" s="1"/>
      <c r="K47" s="1"/>
    </row>
    <row r="48" spans="1:11" x14ac:dyDescent="0.25">
      <c r="A48" s="80"/>
      <c r="B48" s="86"/>
      <c r="C48" s="477" t="s">
        <v>433</v>
      </c>
      <c r="D48" s="478">
        <f>+F42</f>
        <v>0</v>
      </c>
      <c r="E48" s="1"/>
      <c r="F48" s="1"/>
      <c r="G48" s="1"/>
      <c r="H48" s="1"/>
      <c r="I48" s="1"/>
      <c r="J48" s="1"/>
      <c r="K48" s="1"/>
    </row>
    <row r="49" spans="1:11" x14ac:dyDescent="0.25">
      <c r="A49" s="80"/>
      <c r="B49" s="86"/>
      <c r="C49" s="212" t="s">
        <v>434</v>
      </c>
      <c r="D49" s="284">
        <f>IF(+D48=0,0,+D48/D47)</f>
        <v>0</v>
      </c>
      <c r="E49" s="1"/>
      <c r="F49" s="1"/>
      <c r="G49" s="1"/>
      <c r="H49" s="1"/>
      <c r="I49" s="1"/>
      <c r="J49" s="1"/>
      <c r="K49" s="1"/>
    </row>
    <row r="50" spans="1:11" x14ac:dyDescent="0.25">
      <c r="A50" s="80"/>
      <c r="B50" s="80"/>
      <c r="C50" s="81"/>
      <c r="D50" s="213"/>
      <c r="E50" s="80"/>
      <c r="F50" s="80"/>
      <c r="G50" s="80"/>
      <c r="H50" s="80"/>
      <c r="I50" s="80"/>
      <c r="J50" s="80"/>
      <c r="K50" s="80"/>
    </row>
    <row r="51" spans="1:11" hidden="1" x14ac:dyDescent="0.25">
      <c r="A51" s="1"/>
      <c r="B51" s="1"/>
      <c r="C51" s="7"/>
      <c r="D51" s="30"/>
      <c r="E51" s="1"/>
      <c r="F51" s="1"/>
      <c r="G51" s="1"/>
      <c r="H51" s="1"/>
      <c r="I51" s="1"/>
      <c r="J51" s="1"/>
      <c r="K51" s="1"/>
    </row>
    <row r="52" spans="1:11" hidden="1" x14ac:dyDescent="0.25">
      <c r="A52" s="1"/>
      <c r="B52" s="1"/>
      <c r="C52" s="7"/>
      <c r="D52" s="1"/>
      <c r="E52" s="1"/>
      <c r="F52" s="1"/>
      <c r="G52" s="1"/>
      <c r="H52" s="1"/>
      <c r="I52" s="1"/>
      <c r="J52" s="1"/>
      <c r="K52" s="1"/>
    </row>
    <row r="53" spans="1:11" x14ac:dyDescent="0.25"/>
  </sheetData>
  <sheetProtection password="CA1B" sheet="1" formatColumns="0" formatRows="0"/>
  <conditionalFormatting sqref="I8">
    <cfRule type="cellIs" dxfId="42" priority="31" operator="notEqual">
      <formula>$H$8</formula>
    </cfRule>
  </conditionalFormatting>
  <conditionalFormatting sqref="I9">
    <cfRule type="cellIs" dxfId="41" priority="30" operator="notEqual">
      <formula>$H$9</formula>
    </cfRule>
  </conditionalFormatting>
  <conditionalFormatting sqref="I10">
    <cfRule type="cellIs" dxfId="40" priority="29" operator="notEqual">
      <formula>$H$10</formula>
    </cfRule>
  </conditionalFormatting>
  <conditionalFormatting sqref="I11">
    <cfRule type="cellIs" dxfId="39" priority="28" operator="notEqual">
      <formula>$H$11</formula>
    </cfRule>
  </conditionalFormatting>
  <conditionalFormatting sqref="I12">
    <cfRule type="cellIs" dxfId="38" priority="27" operator="notEqual">
      <formula>$H$12</formula>
    </cfRule>
  </conditionalFormatting>
  <conditionalFormatting sqref="I13">
    <cfRule type="cellIs" dxfId="37" priority="26" operator="notEqual">
      <formula>$H$13</formula>
    </cfRule>
  </conditionalFormatting>
  <conditionalFormatting sqref="I14">
    <cfRule type="cellIs" dxfId="36" priority="25" operator="notEqual">
      <formula>$H$14</formula>
    </cfRule>
  </conditionalFormatting>
  <conditionalFormatting sqref="I17">
    <cfRule type="cellIs" dxfId="35" priority="24" operator="notEqual">
      <formula>$H$17</formula>
    </cfRule>
  </conditionalFormatting>
  <conditionalFormatting sqref="I18">
    <cfRule type="cellIs" dxfId="34" priority="23" operator="notEqual">
      <formula>$H$18</formula>
    </cfRule>
  </conditionalFormatting>
  <conditionalFormatting sqref="I21">
    <cfRule type="cellIs" dxfId="33" priority="22" operator="notEqual">
      <formula>$H$21</formula>
    </cfRule>
  </conditionalFormatting>
  <conditionalFormatting sqref="I26">
    <cfRule type="cellIs" dxfId="32" priority="21" operator="notEqual">
      <formula>$H$26</formula>
    </cfRule>
  </conditionalFormatting>
  <conditionalFormatting sqref="I27">
    <cfRule type="cellIs" dxfId="31" priority="20" operator="notEqual">
      <formula>$H$27</formula>
    </cfRule>
  </conditionalFormatting>
  <conditionalFormatting sqref="I28">
    <cfRule type="cellIs" dxfId="30" priority="19" operator="notEqual">
      <formula>$H$28</formula>
    </cfRule>
  </conditionalFormatting>
  <conditionalFormatting sqref="I29">
    <cfRule type="cellIs" dxfId="29" priority="18" operator="notEqual">
      <formula>$H$29</formula>
    </cfRule>
  </conditionalFormatting>
  <conditionalFormatting sqref="I30">
    <cfRule type="cellIs" dxfId="28" priority="17" operator="notEqual">
      <formula>$H$30</formula>
    </cfRule>
  </conditionalFormatting>
  <conditionalFormatting sqref="I31">
    <cfRule type="cellIs" dxfId="27" priority="16" operator="notEqual">
      <formula>$H$31</formula>
    </cfRule>
  </conditionalFormatting>
  <conditionalFormatting sqref="I32">
    <cfRule type="cellIs" dxfId="26" priority="15" operator="notEqual">
      <formula>$H$32</formula>
    </cfRule>
  </conditionalFormatting>
  <conditionalFormatting sqref="I33">
    <cfRule type="cellIs" dxfId="25" priority="14" operator="notEqual">
      <formula>$H$33</formula>
    </cfRule>
  </conditionalFormatting>
  <conditionalFormatting sqref="I34">
    <cfRule type="cellIs" dxfId="24" priority="13" operator="notEqual">
      <formula>$H$34</formula>
    </cfRule>
  </conditionalFormatting>
  <conditionalFormatting sqref="I35">
    <cfRule type="cellIs" dxfId="23" priority="12" operator="notEqual">
      <formula>$H$35</formula>
    </cfRule>
  </conditionalFormatting>
  <conditionalFormatting sqref="I36">
    <cfRule type="cellIs" dxfId="22" priority="11" operator="notEqual">
      <formula>$H$36</formula>
    </cfRule>
  </conditionalFormatting>
  <conditionalFormatting sqref="I37">
    <cfRule type="cellIs" dxfId="21" priority="10" operator="notEqual">
      <formula>$H$37</formula>
    </cfRule>
  </conditionalFormatting>
  <conditionalFormatting sqref="I38">
    <cfRule type="cellIs" dxfId="20" priority="9" operator="notEqual">
      <formula>$H$38</formula>
    </cfRule>
  </conditionalFormatting>
  <conditionalFormatting sqref="I39">
    <cfRule type="cellIs" dxfId="19" priority="8" operator="notEqual">
      <formula>$H$39</formula>
    </cfRule>
  </conditionalFormatting>
  <conditionalFormatting sqref="I40">
    <cfRule type="cellIs" dxfId="18" priority="7" operator="notEqual">
      <formula>$H$40</formula>
    </cfRule>
  </conditionalFormatting>
  <conditionalFormatting sqref="I41">
    <cfRule type="cellIs" dxfId="17" priority="6" operator="notEqual">
      <formula>$H$41</formula>
    </cfRule>
  </conditionalFormatting>
  <conditionalFormatting sqref="D43">
    <cfRule type="cellIs" dxfId="16" priority="4" operator="notEqual">
      <formula>$D$42</formula>
    </cfRule>
  </conditionalFormatting>
  <conditionalFormatting sqref="F43">
    <cfRule type="cellIs" dxfId="15" priority="3" operator="notEqual">
      <formula>$F$42</formula>
    </cfRule>
  </conditionalFormatting>
  <conditionalFormatting sqref="G43">
    <cfRule type="cellIs" dxfId="14" priority="2" operator="notEqual">
      <formula>$G$42</formula>
    </cfRule>
  </conditionalFormatting>
  <conditionalFormatting sqref="I43">
    <cfRule type="cellIs" dxfId="13" priority="1" operator="notEqual">
      <formula>$I$42</formula>
    </cfRule>
  </conditionalFormatting>
  <hyperlinks>
    <hyperlink ref="I1" location="Inicio!A1" display="Inicio" xr:uid="{00000000-0004-0000-0A00-000000000000}"/>
  </hyperlinks>
  <pageMargins left="0.27559055118110237" right="0.11811023622047245" top="0.62992125984251968" bottom="0.15748031496062992" header="0.31496062992125984" footer="0.11811023622047245"/>
  <pageSetup paperSize="9" scale="95" orientation="landscape" horizontalDpi="0" verticalDpi="0"/>
  <headerFooter>
    <oddHeader>&amp;C&amp;"Arial,Negrita"&amp;14&amp;A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28">
    <tabColor rgb="FF009999"/>
  </sheetPr>
  <dimension ref="A1:L71"/>
  <sheetViews>
    <sheetView topLeftCell="A2" zoomScale="139" zoomScaleNormal="139" workbookViewId="0">
      <selection activeCell="C10" sqref="C10"/>
    </sheetView>
  </sheetViews>
  <sheetFormatPr baseColWidth="10" defaultColWidth="0" defaultRowHeight="13.2" zeroHeight="1" x14ac:dyDescent="0.25"/>
  <cols>
    <col min="1" max="2" width="2.77734375" customWidth="1"/>
    <col min="3" max="3" width="88" bestFit="1" customWidth="1"/>
    <col min="4" max="4" width="8" customWidth="1"/>
    <col min="5" max="9" width="12.21875" bestFit="1" customWidth="1"/>
    <col min="10" max="10" width="9.44140625" hidden="1" customWidth="1"/>
    <col min="11" max="11" width="3.6640625" customWidth="1"/>
    <col min="12" max="12" width="11.44140625" customWidth="1"/>
  </cols>
  <sheetData>
    <row r="1" spans="1:12" ht="13.8" hidden="1" thickBot="1" x14ac:dyDescent="0.3">
      <c r="A1" s="1"/>
      <c r="B1" s="1"/>
      <c r="C1" s="235"/>
      <c r="D1" s="236"/>
      <c r="E1" s="236"/>
      <c r="F1" s="236"/>
      <c r="G1" s="236"/>
      <c r="H1" s="236"/>
      <c r="I1" s="236"/>
      <c r="J1" s="1"/>
    </row>
    <row r="2" spans="1:12" x14ac:dyDescent="0.25">
      <c r="A2" s="80"/>
      <c r="B2" s="95"/>
      <c r="C2" s="105"/>
      <c r="D2" s="97">
        <f>+Bases!D5</f>
        <v>0</v>
      </c>
      <c r="E2" s="97">
        <f>+D2+1</f>
        <v>1</v>
      </c>
      <c r="F2" s="97">
        <f>+E2+1</f>
        <v>2</v>
      </c>
      <c r="G2" s="97">
        <f>+F2+1</f>
        <v>3</v>
      </c>
      <c r="H2" s="97">
        <f>+G2+1</f>
        <v>4</v>
      </c>
      <c r="I2" s="97">
        <f>+H2+1</f>
        <v>5</v>
      </c>
      <c r="J2" s="98"/>
      <c r="K2" s="80"/>
    </row>
    <row r="3" spans="1:12" ht="17.399999999999999" x14ac:dyDescent="0.3">
      <c r="A3" s="80"/>
      <c r="B3" s="86"/>
      <c r="C3" s="9" t="s">
        <v>290</v>
      </c>
      <c r="D3" s="30"/>
      <c r="E3" s="1"/>
      <c r="F3" s="1"/>
      <c r="G3" s="1"/>
      <c r="H3" s="1"/>
      <c r="I3" s="1"/>
      <c r="J3" s="87"/>
      <c r="K3" s="80"/>
      <c r="L3" s="329" t="s">
        <v>350</v>
      </c>
    </row>
    <row r="4" spans="1:12" x14ac:dyDescent="0.25">
      <c r="A4" s="80"/>
      <c r="B4" s="86"/>
      <c r="C4" s="212" t="str">
        <f>CONCATENATE("Producto ",Bases!C14)</f>
        <v>Producto PROTEÍNA DE TORTA DE MORINGA EN PRESENTACIÓN 30 GR</v>
      </c>
      <c r="D4" s="13"/>
      <c r="E4" s="13"/>
      <c r="F4" s="13"/>
      <c r="G4" s="13"/>
      <c r="H4" s="13"/>
      <c r="I4" s="13"/>
      <c r="J4" s="87"/>
      <c r="K4" s="80"/>
    </row>
    <row r="5" spans="1:12" x14ac:dyDescent="0.25">
      <c r="A5" s="80"/>
      <c r="B5" s="86"/>
      <c r="C5" s="249" t="str">
        <f>CONCATENATE("Ingresos ",Bases!C14)</f>
        <v>Ingresos PROTEÍNA DE TORTA DE MORINGA EN PRESENTACIÓN 30 GR</v>
      </c>
      <c r="D5" s="41"/>
      <c r="E5" s="406">
        <f>+'Precios Ventas'!F8*'Precios Ventas'!F19</f>
        <v>20320000</v>
      </c>
      <c r="F5" s="406">
        <f>+'Precios Ventas'!G8*'Precios Ventas'!G19</f>
        <v>42224960</v>
      </c>
      <c r="G5" s="406">
        <f>+'Precios Ventas'!H8*'Precios Ventas'!H19</f>
        <v>43533933.760000005</v>
      </c>
      <c r="H5" s="406">
        <f>+'Precios Ventas'!I8*'Precios Ventas'!I19</f>
        <v>67259927.659199998</v>
      </c>
      <c r="I5" s="406">
        <f>+'Precios Ventas'!J8*'Precios Ventas'!J19</f>
        <v>69277725.488976002</v>
      </c>
      <c r="J5" s="87"/>
      <c r="K5" s="80"/>
    </row>
    <row r="6" spans="1:12" x14ac:dyDescent="0.25">
      <c r="A6" s="80"/>
      <c r="B6" s="86"/>
      <c r="C6" s="249" t="str">
        <f>CONCATENATE("Costo Materia Prima Consumida  ",Bases!C14)</f>
        <v>Costo Materia Prima Consumida  PROTEÍNA DE TORTA DE MORINGA EN PRESENTACIÓN 30 GR</v>
      </c>
      <c r="D6" s="41"/>
      <c r="E6" s="406">
        <f>+'Costo de Mercancías'!F6*'Precios Ventas'!F19</f>
        <v>12614148</v>
      </c>
      <c r="F6" s="406">
        <f>+'Costo de Mercancías'!G6*'Precios Ventas'!G19</f>
        <v>26212199.544</v>
      </c>
      <c r="G6" s="406">
        <f>+'Costo de Mercancías'!H6*'Precios Ventas'!H19</f>
        <v>27024777.729863998</v>
      </c>
      <c r="H6" s="406">
        <f>+'Costo de Mercancías'!I6*'Precios Ventas'!I19</f>
        <v>41753281.592639878</v>
      </c>
      <c r="I6" s="406">
        <f>+'Costo de Mercancías'!J6*'Precios Ventas'!J19</f>
        <v>43005880.040419072</v>
      </c>
      <c r="J6" s="87"/>
      <c r="K6" s="80"/>
    </row>
    <row r="7" spans="1:12" hidden="1" x14ac:dyDescent="0.25">
      <c r="A7" s="80"/>
      <c r="B7" s="86"/>
      <c r="C7" s="249"/>
      <c r="D7" s="41"/>
      <c r="E7" s="406"/>
      <c r="F7" s="406"/>
      <c r="G7" s="406"/>
      <c r="H7" s="406"/>
      <c r="I7" s="406"/>
      <c r="J7" s="87"/>
      <c r="K7" s="80"/>
    </row>
    <row r="8" spans="1:12" x14ac:dyDescent="0.25">
      <c r="A8" s="80"/>
      <c r="B8" s="86"/>
      <c r="C8" s="250" t="str">
        <f>CONCATENATE("Margen $ ",Bases!C14)</f>
        <v>Margen $ PROTEÍNA DE TORTA DE MORINGA EN PRESENTACIÓN 30 GR</v>
      </c>
      <c r="D8" s="237"/>
      <c r="E8" s="407">
        <f>+E5-E6-E7</f>
        <v>7705852</v>
      </c>
      <c r="F8" s="407">
        <f>+F5-F6-F7</f>
        <v>16012760.456</v>
      </c>
      <c r="G8" s="407">
        <f>+G5-G6-G7</f>
        <v>16509156.030136008</v>
      </c>
      <c r="H8" s="407">
        <f>+H5-H6-H7</f>
        <v>25506646.066560119</v>
      </c>
      <c r="I8" s="407">
        <f>+I5-I6-I7</f>
        <v>26271845.44855693</v>
      </c>
      <c r="J8" s="87"/>
      <c r="K8" s="80"/>
    </row>
    <row r="9" spans="1:12" x14ac:dyDescent="0.25">
      <c r="A9" s="80"/>
      <c r="B9" s="86"/>
      <c r="C9" s="251" t="str">
        <f>CONCATENATE("Margen % ",Bases!C14)</f>
        <v>Margen % PROTEÍNA DE TORTA DE MORINGA EN PRESENTACIÓN 30 GR</v>
      </c>
      <c r="D9" s="245"/>
      <c r="E9" s="408">
        <f>IF('Precios Ventas'!F19=0,0,+E8/E5)</f>
        <v>0.37922499999999998</v>
      </c>
      <c r="F9" s="408">
        <f>IF('Precios Ventas'!G19=0,0,+F8/F5)</f>
        <v>0.37922499999999998</v>
      </c>
      <c r="G9" s="408">
        <f>IF('Precios Ventas'!H19=0,0,+G8/G5)</f>
        <v>0.37922500000000015</v>
      </c>
      <c r="H9" s="408">
        <f>IF('Precios Ventas'!I19=0,0,+H8/H5)</f>
        <v>0.37922499999999998</v>
      </c>
      <c r="I9" s="408">
        <f>IF('Precios Ventas'!J19=0,0,+I8/I5)</f>
        <v>0.37922500000000009</v>
      </c>
      <c r="J9" s="87"/>
      <c r="K9" s="80"/>
    </row>
    <row r="10" spans="1:12" x14ac:dyDescent="0.25">
      <c r="A10" s="94"/>
      <c r="B10" s="99"/>
      <c r="C10" s="252" t="str">
        <f>CONCATENATE("Producto ",Bases!C15)</f>
        <v>Producto PROTEÍNA DE TORTA DE MORINGA EN PRESENTACIÓN 560 GR</v>
      </c>
      <c r="D10" s="41"/>
      <c r="E10" s="406"/>
      <c r="F10" s="406"/>
      <c r="G10" s="406"/>
      <c r="H10" s="406"/>
      <c r="I10" s="406"/>
      <c r="J10" s="100"/>
      <c r="K10" s="94"/>
    </row>
    <row r="11" spans="1:12" x14ac:dyDescent="0.25">
      <c r="A11" s="94"/>
      <c r="B11" s="99"/>
      <c r="C11" s="249" t="str">
        <f>CONCATENATE("Ingresos ",Bases!C15)</f>
        <v>Ingresos PROTEÍNA DE TORTA DE MORINGA EN PRESENTACIÓN 560 GR</v>
      </c>
      <c r="D11" s="41"/>
      <c r="E11" s="406">
        <f>+'Precios Ventas'!F9*'Precios Ventas'!F20</f>
        <v>161584821.4285714</v>
      </c>
      <c r="F11" s="406">
        <f>+'Precios Ventas'!G9*'Precios Ventas'!G20</f>
        <v>335773258.9285714</v>
      </c>
      <c r="G11" s="406">
        <f>+'Precios Ventas'!H9*'Precios Ventas'!H20</f>
        <v>346182229.95535713</v>
      </c>
      <c r="H11" s="406">
        <f>+'Precios Ventas'!I9*'Precios Ventas'!I20</f>
        <v>534851545.28102672</v>
      </c>
      <c r="I11" s="406">
        <f>+'Precios Ventas'!J9*'Precios Ventas'!J20</f>
        <v>550897091.63945758</v>
      </c>
      <c r="J11" s="100"/>
      <c r="K11" s="94"/>
    </row>
    <row r="12" spans="1:12" x14ac:dyDescent="0.25">
      <c r="A12" s="94"/>
      <c r="B12" s="99"/>
      <c r="C12" s="249" t="str">
        <f>CONCATENATE("Costo Materia Prima Consumida ",Bases!C15)</f>
        <v>Costo Materia Prima Consumida PROTEÍNA DE TORTA DE MORINGA EN PRESENTACIÓN 560 GR</v>
      </c>
      <c r="D12" s="41"/>
      <c r="E12" s="406">
        <f>+'Costo de Mercancías'!F7*'Precios Ventas'!F20</f>
        <v>44048086.955357142</v>
      </c>
      <c r="F12" s="406">
        <f>+'Costo de Mercancías'!G7*'Precios Ventas'!G20</f>
        <v>91531924.693232149</v>
      </c>
      <c r="G12" s="406">
        <f>+'Costo de Mercancías'!H7*'Precios Ventas'!H20</f>
        <v>94369414.358722344</v>
      </c>
      <c r="H12" s="406">
        <f>+'Costo de Mercancías'!I7*'Precios Ventas'!I20</f>
        <v>145800745.18422601</v>
      </c>
      <c r="I12" s="406">
        <f>+'Costo de Mercancías'!J7*'Precios Ventas'!J20</f>
        <v>150174767.53975278</v>
      </c>
      <c r="J12" s="100"/>
      <c r="K12" s="94"/>
    </row>
    <row r="13" spans="1:12" hidden="1" x14ac:dyDescent="0.25">
      <c r="A13" s="94"/>
      <c r="B13" s="99"/>
      <c r="C13" s="249"/>
      <c r="D13" s="41"/>
      <c r="E13" s="406"/>
      <c r="F13" s="406"/>
      <c r="G13" s="406"/>
      <c r="H13" s="406"/>
      <c r="I13" s="406"/>
      <c r="J13" s="100"/>
      <c r="K13" s="94"/>
    </row>
    <row r="14" spans="1:12" x14ac:dyDescent="0.25">
      <c r="A14" s="94"/>
      <c r="B14" s="99"/>
      <c r="C14" s="250" t="str">
        <f>CONCATENATE("Margen $ ",Bases!C15)</f>
        <v>Margen $ PROTEÍNA DE TORTA DE MORINGA EN PRESENTACIÓN 560 GR</v>
      </c>
      <c r="D14" s="237"/>
      <c r="E14" s="407">
        <f>+E11-E12-E13</f>
        <v>117536734.47321427</v>
      </c>
      <c r="F14" s="407">
        <f>+F11-F12-F13</f>
        <v>244241334.23533925</v>
      </c>
      <c r="G14" s="407">
        <f>+G11-G12-G13</f>
        <v>251812815.59663481</v>
      </c>
      <c r="H14" s="407">
        <f>+H11-H12-H13</f>
        <v>389050800.09680068</v>
      </c>
      <c r="I14" s="407">
        <f>+I11-I12-I13</f>
        <v>400722324.0997048</v>
      </c>
      <c r="J14" s="100"/>
      <c r="K14" s="94"/>
    </row>
    <row r="15" spans="1:12" x14ac:dyDescent="0.25">
      <c r="A15" s="94"/>
      <c r="B15" s="99"/>
      <c r="C15" s="251" t="str">
        <f>CONCATENATE("Margen % ",Bases!C15)</f>
        <v>Margen % PROTEÍNA DE TORTA DE MORINGA EN PRESENTACIÓN 560 GR</v>
      </c>
      <c r="D15" s="245"/>
      <c r="E15" s="408">
        <f>IF('Precios Ventas'!F20=0,0,+E14/E11)</f>
        <v>0.72739960000000004</v>
      </c>
      <c r="F15" s="408">
        <f>IF('Precios Ventas'!G20=0,0,+F14/F11)</f>
        <v>0.72739959999999992</v>
      </c>
      <c r="G15" s="408">
        <f>IF('Precios Ventas'!H20=0,0,+G14/G11)</f>
        <v>0.72739960000000004</v>
      </c>
      <c r="H15" s="408">
        <f>IF('Precios Ventas'!I20=0,0,+H14/H11)</f>
        <v>0.72739959999999992</v>
      </c>
      <c r="I15" s="408">
        <f>IF('Precios Ventas'!J20=0,0,+I14/I11)</f>
        <v>0.72739960000000004</v>
      </c>
      <c r="J15" s="100"/>
      <c r="K15" s="94"/>
    </row>
    <row r="16" spans="1:12" x14ac:dyDescent="0.25">
      <c r="A16" s="102"/>
      <c r="B16" s="106"/>
      <c r="C16" s="252" t="str">
        <f>CONCATENATE("Producto ",Bases!C16)</f>
        <v>Producto PROTEÍNA DE TORTA DE MORINGA EN PRESENTACIÓN 900 GR</v>
      </c>
      <c r="D16" s="52"/>
      <c r="E16" s="409"/>
      <c r="F16" s="409"/>
      <c r="G16" s="409"/>
      <c r="H16" s="409"/>
      <c r="I16" s="409"/>
      <c r="J16" s="107"/>
      <c r="K16" s="102"/>
    </row>
    <row r="17" spans="1:11" x14ac:dyDescent="0.25">
      <c r="A17" s="80"/>
      <c r="B17" s="86"/>
      <c r="C17" s="249" t="str">
        <f>CONCATENATE("Ingresos ",Bases!C16)</f>
        <v>Ingresos PROTEÍNA DE TORTA DE MORINGA EN PRESENTACIÓN 900 GR</v>
      </c>
      <c r="D17" s="41"/>
      <c r="E17" s="406">
        <f>+'Precios Ventas'!F10*'Precios Ventas'!F21</f>
        <v>144780000</v>
      </c>
      <c r="F17" s="406">
        <f>+'Precios Ventas'!G10*'Precios Ventas'!G21</f>
        <v>300852840</v>
      </c>
      <c r="G17" s="406">
        <f>+'Precios Ventas'!H10*'Precios Ventas'!H21</f>
        <v>310179278.04000002</v>
      </c>
      <c r="H17" s="406">
        <f>+'Precios Ventas'!I10*'Precios Ventas'!I21</f>
        <v>479226984.57179999</v>
      </c>
      <c r="I17" s="406">
        <f>+'Precios Ventas'!J10*'Precios Ventas'!J21</f>
        <v>493603794.10895401</v>
      </c>
      <c r="J17" s="87"/>
      <c r="K17" s="80"/>
    </row>
    <row r="18" spans="1:11" x14ac:dyDescent="0.25">
      <c r="A18" s="80"/>
      <c r="B18" s="86"/>
      <c r="C18" s="249" t="str">
        <f>CONCATENATE("Costo Materia Prima Consumida ",Bases!C16)</f>
        <v>Costo Materia Prima Consumida PROTEÍNA DE TORTA DE MORINGA EN PRESENTACIÓN 900 GR</v>
      </c>
      <c r="D18" s="41"/>
      <c r="E18" s="406">
        <f>+'Costo de Mercancías'!F8*'Precios Ventas'!F21</f>
        <v>42361823.666666672</v>
      </c>
      <c r="F18" s="406">
        <f>+'Costo de Mercancías'!G8*'Precios Ventas'!G21</f>
        <v>88027869.579333335</v>
      </c>
      <c r="G18" s="406">
        <f>+'Costo de Mercancías'!H8*'Precios Ventas'!H21</f>
        <v>90756733.536292672</v>
      </c>
      <c r="H18" s="406">
        <f>+'Costo de Mercancías'!I8*'Precios Ventas'!I21</f>
        <v>140219153.31357217</v>
      </c>
      <c r="I18" s="406">
        <f>+'Costo de Mercancías'!J8*'Precios Ventas'!J21</f>
        <v>144425727.91297933</v>
      </c>
      <c r="J18" s="87"/>
      <c r="K18" s="80"/>
    </row>
    <row r="19" spans="1:11" hidden="1" x14ac:dyDescent="0.25">
      <c r="A19" s="80"/>
      <c r="B19" s="86"/>
      <c r="C19" s="249"/>
      <c r="D19" s="41"/>
      <c r="E19" s="406"/>
      <c r="F19" s="406"/>
      <c r="G19" s="406"/>
      <c r="H19" s="406"/>
      <c r="I19" s="406"/>
      <c r="J19" s="87"/>
      <c r="K19" s="80"/>
    </row>
    <row r="20" spans="1:11" x14ac:dyDescent="0.25">
      <c r="A20" s="80"/>
      <c r="B20" s="86"/>
      <c r="C20" s="250" t="str">
        <f>CONCATENATE("Margen $ ",Bases!C16)</f>
        <v>Margen $ PROTEÍNA DE TORTA DE MORINGA EN PRESENTACIÓN 900 GR</v>
      </c>
      <c r="D20" s="237"/>
      <c r="E20" s="407">
        <f>+E17-E18-E19</f>
        <v>102418176.33333333</v>
      </c>
      <c r="F20" s="407">
        <f>+F17-F18-F19</f>
        <v>212824970.42066666</v>
      </c>
      <c r="G20" s="407">
        <f>+G17-G18-G19</f>
        <v>219422544.50370735</v>
      </c>
      <c r="H20" s="407">
        <f>+H17-H18-H19</f>
        <v>339007831.25822783</v>
      </c>
      <c r="I20" s="407">
        <f>+I17-I18-I19</f>
        <v>349178066.19597471</v>
      </c>
      <c r="J20" s="87"/>
      <c r="K20" s="80"/>
    </row>
    <row r="21" spans="1:11" x14ac:dyDescent="0.25">
      <c r="A21" s="80"/>
      <c r="B21" s="86"/>
      <c r="C21" s="251" t="str">
        <f>CONCATENATE("Margen % ",Bases!C16)</f>
        <v>Margen % PROTEÍNA DE TORTA DE MORINGA EN PRESENTACIÓN 900 GR</v>
      </c>
      <c r="D21" s="245"/>
      <c r="E21" s="408">
        <f>IF('Precios Ventas'!F21=0,0,+E20/E17)</f>
        <v>0.70740555555555551</v>
      </c>
      <c r="F21" s="408">
        <f>IF('Precios Ventas'!G21=0,0,+F20/F17)</f>
        <v>0.70740555555555551</v>
      </c>
      <c r="G21" s="408">
        <f>IF('Precios Ventas'!H21=0,0,+G20/G17)</f>
        <v>0.70740555555555551</v>
      </c>
      <c r="H21" s="408">
        <f>IF('Precios Ventas'!I21=0,0,+H20/H17)</f>
        <v>0.70740555555555551</v>
      </c>
      <c r="I21" s="408">
        <f>IF('Precios Ventas'!J21=0,0,+I20/I17)</f>
        <v>0.70740555555555562</v>
      </c>
      <c r="J21" s="87"/>
      <c r="K21" s="80"/>
    </row>
    <row r="22" spans="1:11" x14ac:dyDescent="0.25">
      <c r="A22" s="80"/>
      <c r="B22" s="86"/>
      <c r="C22" s="252" t="str">
        <f>CONCATENATE("Producto ",Bases!C17)</f>
        <v xml:space="preserve">Producto </v>
      </c>
      <c r="D22" s="42"/>
      <c r="E22" s="406"/>
      <c r="F22" s="406"/>
      <c r="G22" s="406"/>
      <c r="H22" s="406"/>
      <c r="I22" s="406"/>
      <c r="J22" s="87"/>
      <c r="K22" s="80"/>
    </row>
    <row r="23" spans="1:11" x14ac:dyDescent="0.25">
      <c r="A23" s="80"/>
      <c r="B23" s="86"/>
      <c r="C23" s="249" t="str">
        <f>CONCATENATE("Ingresos ",Bases!C17)</f>
        <v xml:space="preserve">Ingresos </v>
      </c>
      <c r="D23" s="41"/>
      <c r="E23" s="406">
        <f>+'Precios Ventas'!F11*'Precios Ventas'!F22</f>
        <v>0</v>
      </c>
      <c r="F23" s="406">
        <f>+'Precios Ventas'!G11*'Precios Ventas'!G22</f>
        <v>0</v>
      </c>
      <c r="G23" s="406">
        <f>+'Precios Ventas'!H11*'Precios Ventas'!H22</f>
        <v>0</v>
      </c>
      <c r="H23" s="406">
        <f>+'Precios Ventas'!I11*'Precios Ventas'!I22</f>
        <v>0</v>
      </c>
      <c r="I23" s="406">
        <f>+'Precios Ventas'!J11*'Precios Ventas'!J22</f>
        <v>0</v>
      </c>
      <c r="J23" s="87"/>
      <c r="K23" s="80"/>
    </row>
    <row r="24" spans="1:11" x14ac:dyDescent="0.25">
      <c r="A24" s="80"/>
      <c r="B24" s="86"/>
      <c r="C24" s="249" t="str">
        <f>CONCATENATE("Costo Materia Prima Consumida ",Bases!C17)</f>
        <v xml:space="preserve">Costo Materia Prima Consumida </v>
      </c>
      <c r="D24" s="41"/>
      <c r="E24" s="406">
        <f>+'Costo de Mercancías'!F9*'Precios Ventas'!F22</f>
        <v>0</v>
      </c>
      <c r="F24" s="406">
        <f>+'Costo de Mercancías'!G9*'Precios Ventas'!G22</f>
        <v>0</v>
      </c>
      <c r="G24" s="406">
        <f>+'Costo de Mercancías'!H9*'Precios Ventas'!H22</f>
        <v>0</v>
      </c>
      <c r="H24" s="406">
        <f>+'Costo de Mercancías'!I9*'Precios Ventas'!I22</f>
        <v>0</v>
      </c>
      <c r="I24" s="406">
        <f>+'Costo de Mercancías'!J9*'Precios Ventas'!J22</f>
        <v>0</v>
      </c>
      <c r="J24" s="87"/>
      <c r="K24" s="80"/>
    </row>
    <row r="25" spans="1:11" hidden="1" x14ac:dyDescent="0.25">
      <c r="A25" s="80"/>
      <c r="B25" s="86"/>
      <c r="C25" s="249"/>
      <c r="D25" s="41"/>
      <c r="E25" s="406"/>
      <c r="F25" s="406"/>
      <c r="G25" s="406"/>
      <c r="H25" s="406"/>
      <c r="I25" s="406"/>
      <c r="J25" s="87"/>
      <c r="K25" s="80"/>
    </row>
    <row r="26" spans="1:11" x14ac:dyDescent="0.25">
      <c r="A26" s="80"/>
      <c r="B26" s="86"/>
      <c r="C26" s="250" t="str">
        <f>CONCATENATE("Margen $ ",Bases!C17)</f>
        <v xml:space="preserve">Margen $ </v>
      </c>
      <c r="D26" s="237"/>
      <c r="E26" s="407">
        <f>+E23-E24-E25</f>
        <v>0</v>
      </c>
      <c r="F26" s="407">
        <f>+F23-F24-F25</f>
        <v>0</v>
      </c>
      <c r="G26" s="407">
        <f>+G23-G24-G25</f>
        <v>0</v>
      </c>
      <c r="H26" s="407">
        <f>+H23-H24-H25</f>
        <v>0</v>
      </c>
      <c r="I26" s="407">
        <f>+I23-I24-I25</f>
        <v>0</v>
      </c>
      <c r="J26" s="87"/>
      <c r="K26" s="80"/>
    </row>
    <row r="27" spans="1:11" x14ac:dyDescent="0.25">
      <c r="A27" s="80"/>
      <c r="B27" s="86"/>
      <c r="C27" s="251" t="str">
        <f>CONCATENATE("Margen % ",Bases!C17)</f>
        <v xml:space="preserve">Margen % </v>
      </c>
      <c r="D27" s="245"/>
      <c r="E27" s="408">
        <f>IF('Precios Ventas'!F22=0,0,+E26/E23)</f>
        <v>0</v>
      </c>
      <c r="F27" s="408">
        <f>IF('Precios Ventas'!G22=0,0,+F26/F23)</f>
        <v>0</v>
      </c>
      <c r="G27" s="408">
        <f>IF('Precios Ventas'!H22=0,0,+G26/G23)</f>
        <v>0</v>
      </c>
      <c r="H27" s="408">
        <f>IF('Precios Ventas'!I22=0,0,+H26/H23)</f>
        <v>0</v>
      </c>
      <c r="I27" s="408">
        <f>IF('Precios Ventas'!J22=0,0,+I26/I23)</f>
        <v>0</v>
      </c>
      <c r="J27" s="87"/>
      <c r="K27" s="80"/>
    </row>
    <row r="28" spans="1:11" x14ac:dyDescent="0.25">
      <c r="A28" s="80"/>
      <c r="B28" s="86"/>
      <c r="C28" s="252" t="str">
        <f>CONCATENATE("Producto ",Bases!C18)</f>
        <v xml:space="preserve">Producto </v>
      </c>
      <c r="D28" s="41"/>
      <c r="E28" s="406"/>
      <c r="F28" s="406"/>
      <c r="G28" s="406"/>
      <c r="H28" s="406"/>
      <c r="I28" s="406"/>
      <c r="J28" s="87"/>
      <c r="K28" s="80"/>
    </row>
    <row r="29" spans="1:11" x14ac:dyDescent="0.25">
      <c r="A29" s="80"/>
      <c r="B29" s="86"/>
      <c r="C29" s="249" t="str">
        <f>CONCATENATE("Ingresos ",Bases!C18)</f>
        <v xml:space="preserve">Ingresos </v>
      </c>
      <c r="D29" s="41"/>
      <c r="E29" s="406">
        <f>+'Precios Ventas'!F12*'Precios Ventas'!F23</f>
        <v>0</v>
      </c>
      <c r="F29" s="406">
        <f>+'Precios Ventas'!G12*'Precios Ventas'!G23</f>
        <v>0</v>
      </c>
      <c r="G29" s="406">
        <f>+'Precios Ventas'!H12*'Precios Ventas'!H23</f>
        <v>0</v>
      </c>
      <c r="H29" s="406">
        <f>+'Precios Ventas'!I12*'Precios Ventas'!I23</f>
        <v>0</v>
      </c>
      <c r="I29" s="406">
        <f>+'Precios Ventas'!J12*'Precios Ventas'!J23</f>
        <v>0</v>
      </c>
      <c r="J29" s="87"/>
      <c r="K29" s="80"/>
    </row>
    <row r="30" spans="1:11" x14ac:dyDescent="0.25">
      <c r="A30" s="80"/>
      <c r="B30" s="86"/>
      <c r="C30" s="249" t="str">
        <f>CONCATENATE("Costo Materia Prima Consumida ",Bases!C18)</f>
        <v xml:space="preserve">Costo Materia Prima Consumida </v>
      </c>
      <c r="D30" s="42"/>
      <c r="E30" s="406">
        <f>+'Costo de Mercancías'!F10*'Precios Ventas'!F23</f>
        <v>0</v>
      </c>
      <c r="F30" s="406">
        <f>+'Costo de Mercancías'!G10*'Precios Ventas'!G23</f>
        <v>0</v>
      </c>
      <c r="G30" s="406">
        <f>+'Costo de Mercancías'!H10*'Precios Ventas'!H23</f>
        <v>0</v>
      </c>
      <c r="H30" s="406">
        <f>+'Costo de Mercancías'!I10*'Precios Ventas'!I23</f>
        <v>0</v>
      </c>
      <c r="I30" s="406">
        <f>+'Costo de Mercancías'!J10*'Precios Ventas'!J23</f>
        <v>0</v>
      </c>
      <c r="J30" s="87"/>
      <c r="K30" s="80"/>
    </row>
    <row r="31" spans="1:11" hidden="1" x14ac:dyDescent="0.25">
      <c r="A31" s="80"/>
      <c r="B31" s="86"/>
      <c r="C31" s="249"/>
      <c r="D31" s="42"/>
      <c r="E31" s="406"/>
      <c r="F31" s="406"/>
      <c r="G31" s="406"/>
      <c r="H31" s="406"/>
      <c r="I31" s="406"/>
      <c r="J31" s="87"/>
      <c r="K31" s="80"/>
    </row>
    <row r="32" spans="1:11" x14ac:dyDescent="0.25">
      <c r="A32" s="80"/>
      <c r="B32" s="86"/>
      <c r="C32" s="250" t="str">
        <f>CONCATENATE("Margen $ ",Bases!C18)</f>
        <v xml:space="preserve">Margen $ </v>
      </c>
      <c r="D32" s="237"/>
      <c r="E32" s="407">
        <f>+E29-E30-E31</f>
        <v>0</v>
      </c>
      <c r="F32" s="407">
        <f>+F29-F30-F31</f>
        <v>0</v>
      </c>
      <c r="G32" s="407">
        <f>+G29-G30-G31</f>
        <v>0</v>
      </c>
      <c r="H32" s="407">
        <f>+H29-H30-H31</f>
        <v>0</v>
      </c>
      <c r="I32" s="407">
        <f>+I29-I30-I31</f>
        <v>0</v>
      </c>
      <c r="J32" s="87"/>
      <c r="K32" s="80"/>
    </row>
    <row r="33" spans="1:11" x14ac:dyDescent="0.25">
      <c r="A33" s="80"/>
      <c r="B33" s="86"/>
      <c r="C33" s="251" t="str">
        <f>CONCATENATE("Margen % ",Bases!C18)</f>
        <v xml:space="preserve">Margen % </v>
      </c>
      <c r="D33" s="245"/>
      <c r="E33" s="408">
        <f>IF('Precios Ventas'!F23=0,0,+E32/E29)</f>
        <v>0</v>
      </c>
      <c r="F33" s="408">
        <f>IF('Precios Ventas'!G23=0,0,+F32/F29)</f>
        <v>0</v>
      </c>
      <c r="G33" s="408">
        <f>IF('Precios Ventas'!H23=0,0,+G32/G29)</f>
        <v>0</v>
      </c>
      <c r="H33" s="408">
        <f>IF('Precios Ventas'!I23=0,0,+H32/H29)</f>
        <v>0</v>
      </c>
      <c r="I33" s="408">
        <f>IF('Precios Ventas'!J23=0,0,+I32/I29)</f>
        <v>0</v>
      </c>
      <c r="J33" s="87"/>
      <c r="K33" s="80"/>
    </row>
    <row r="34" spans="1:11" x14ac:dyDescent="0.25">
      <c r="A34" s="80"/>
      <c r="B34" s="86"/>
      <c r="C34" s="252" t="str">
        <f>CONCATENATE("Producto ",Bases!C19)</f>
        <v xml:space="preserve">Producto </v>
      </c>
      <c r="D34" s="41"/>
      <c r="E34" s="406"/>
      <c r="F34" s="406"/>
      <c r="G34" s="406"/>
      <c r="H34" s="406"/>
      <c r="I34" s="406"/>
      <c r="J34" s="87"/>
      <c r="K34" s="80"/>
    </row>
    <row r="35" spans="1:11" x14ac:dyDescent="0.25">
      <c r="A35" s="80"/>
      <c r="B35" s="86"/>
      <c r="C35" s="249" t="str">
        <f>CONCATENATE("Ingresos ",Bases!C19)</f>
        <v xml:space="preserve">Ingresos </v>
      </c>
      <c r="D35" s="42"/>
      <c r="E35" s="406">
        <f>+'Precios Ventas'!F13*'Precios Ventas'!F24</f>
        <v>0</v>
      </c>
      <c r="F35" s="406">
        <f>+'Precios Ventas'!G13*'Precios Ventas'!G24</f>
        <v>0</v>
      </c>
      <c r="G35" s="406">
        <f>+'Precios Ventas'!H13*'Precios Ventas'!H24</f>
        <v>0</v>
      </c>
      <c r="H35" s="406">
        <f>+'Precios Ventas'!I13*'Precios Ventas'!I24</f>
        <v>0</v>
      </c>
      <c r="I35" s="406">
        <f>+'Precios Ventas'!J13*'Precios Ventas'!J24</f>
        <v>0</v>
      </c>
      <c r="J35" s="87"/>
      <c r="K35" s="80"/>
    </row>
    <row r="36" spans="1:11" x14ac:dyDescent="0.25">
      <c r="A36" s="80"/>
      <c r="B36" s="86"/>
      <c r="C36" s="249" t="str">
        <f>CONCATENATE("Costo Materia Prima Consumida ",Bases!C19)</f>
        <v xml:space="preserve">Costo Materia Prima Consumida </v>
      </c>
      <c r="D36" s="41"/>
      <c r="E36" s="406">
        <f>+'Costo de Mercancías'!F11*'Precios Ventas'!F24</f>
        <v>0</v>
      </c>
      <c r="F36" s="406">
        <f>+'Costo de Mercancías'!G11*'Precios Ventas'!G24</f>
        <v>0</v>
      </c>
      <c r="G36" s="406">
        <f>+'Costo de Mercancías'!H11*'Precios Ventas'!H24</f>
        <v>0</v>
      </c>
      <c r="H36" s="406">
        <f>+'Costo de Mercancías'!I11*'Precios Ventas'!I24</f>
        <v>0</v>
      </c>
      <c r="I36" s="406">
        <f>+'Costo de Mercancías'!J11*'Precios Ventas'!J24</f>
        <v>0</v>
      </c>
      <c r="J36" s="87"/>
      <c r="K36" s="80"/>
    </row>
    <row r="37" spans="1:11" hidden="1" x14ac:dyDescent="0.25">
      <c r="A37" s="80"/>
      <c r="B37" s="86"/>
      <c r="C37" s="249"/>
      <c r="D37" s="41"/>
      <c r="E37" s="406"/>
      <c r="F37" s="406"/>
      <c r="G37" s="406"/>
      <c r="H37" s="406"/>
      <c r="I37" s="406"/>
      <c r="J37" s="42" t="e">
        <f>+'Estructura de Capital'!#REF!*'Estructura de Capital'!#REF!</f>
        <v>#REF!</v>
      </c>
      <c r="K37" s="80"/>
    </row>
    <row r="38" spans="1:11" x14ac:dyDescent="0.25">
      <c r="A38" s="80"/>
      <c r="B38" s="86"/>
      <c r="C38" s="250" t="str">
        <f>CONCATENATE("Margen $ ",Bases!C19)</f>
        <v xml:space="preserve">Margen $ </v>
      </c>
      <c r="D38" s="237"/>
      <c r="E38" s="407">
        <f>+E35-E36-E37</f>
        <v>0</v>
      </c>
      <c r="F38" s="407">
        <f>+F35-F36-F37</f>
        <v>0</v>
      </c>
      <c r="G38" s="407">
        <f>+G35-G36-G37</f>
        <v>0</v>
      </c>
      <c r="H38" s="407">
        <f>+H35-H36-H37</f>
        <v>0</v>
      </c>
      <c r="I38" s="407">
        <f>+I35-I36-I37</f>
        <v>0</v>
      </c>
      <c r="J38" s="87"/>
      <c r="K38" s="80"/>
    </row>
    <row r="39" spans="1:11" x14ac:dyDescent="0.25">
      <c r="A39" s="80"/>
      <c r="B39" s="86"/>
      <c r="C39" s="251" t="str">
        <f>CONCATENATE("Margen % ",Bases!C19)</f>
        <v xml:space="preserve">Margen % </v>
      </c>
      <c r="D39" s="245"/>
      <c r="E39" s="408">
        <f>IF('Precios Ventas'!F24=0,0,+E38/E35)</f>
        <v>0</v>
      </c>
      <c r="F39" s="408">
        <f>IF('Precios Ventas'!G24=0,0,+F38/F35)</f>
        <v>0</v>
      </c>
      <c r="G39" s="408">
        <f>IF('Precios Ventas'!H24=0,0,+G38/G35)</f>
        <v>0</v>
      </c>
      <c r="H39" s="408">
        <f>IF('Precios Ventas'!I24=0,0,+H38/H35)</f>
        <v>0</v>
      </c>
      <c r="I39" s="408">
        <f>IF('Precios Ventas'!J24=0,0,+I38/I35)</f>
        <v>0</v>
      </c>
      <c r="J39" s="87"/>
      <c r="K39" s="80"/>
    </row>
    <row r="40" spans="1:11" x14ac:dyDescent="0.25">
      <c r="A40" s="80"/>
      <c r="B40" s="86"/>
      <c r="C40" s="252" t="str">
        <f>CONCATENATE("Producto ",Bases!C20)</f>
        <v xml:space="preserve">Producto </v>
      </c>
      <c r="D40" s="42"/>
      <c r="E40" s="406"/>
      <c r="F40" s="406"/>
      <c r="G40" s="406"/>
      <c r="H40" s="406"/>
      <c r="I40" s="406"/>
      <c r="J40" s="87"/>
      <c r="K40" s="80"/>
    </row>
    <row r="41" spans="1:11" x14ac:dyDescent="0.25">
      <c r="A41" s="80"/>
      <c r="B41" s="86"/>
      <c r="C41" s="249" t="str">
        <f>CONCATENATE("Ingresos ",Bases!C20)</f>
        <v xml:space="preserve">Ingresos </v>
      </c>
      <c r="D41" s="41"/>
      <c r="E41" s="406">
        <f>+'Precios Ventas'!F14*'Precios Ventas'!F25</f>
        <v>0</v>
      </c>
      <c r="F41" s="406">
        <f>+'Precios Ventas'!G14*'Precios Ventas'!G25</f>
        <v>0</v>
      </c>
      <c r="G41" s="406">
        <f>+'Precios Ventas'!H14*'Precios Ventas'!H25</f>
        <v>0</v>
      </c>
      <c r="H41" s="406">
        <f>+'Precios Ventas'!I14*'Precios Ventas'!I25</f>
        <v>0</v>
      </c>
      <c r="I41" s="406">
        <f>+'Precios Ventas'!J14*'Precios Ventas'!J25</f>
        <v>0</v>
      </c>
      <c r="J41" s="87"/>
      <c r="K41" s="80"/>
    </row>
    <row r="42" spans="1:11" x14ac:dyDescent="0.25">
      <c r="A42" s="80"/>
      <c r="B42" s="86"/>
      <c r="C42" s="249" t="str">
        <f>CONCATENATE("Costo Materia Prima Consumida ",Bases!C20)</f>
        <v xml:space="preserve">Costo Materia Prima Consumida </v>
      </c>
      <c r="D42" s="41"/>
      <c r="E42" s="406">
        <f>+'Costo de Mercancías'!F12*'Precios Ventas'!F25</f>
        <v>0</v>
      </c>
      <c r="F42" s="406">
        <f>+'Costo de Mercancías'!G12*'Precios Ventas'!G25</f>
        <v>0</v>
      </c>
      <c r="G42" s="406">
        <f>+'Costo de Mercancías'!H12*'Precios Ventas'!H25</f>
        <v>0</v>
      </c>
      <c r="H42" s="406">
        <f>+'Costo de Mercancías'!I12*'Precios Ventas'!I25</f>
        <v>0</v>
      </c>
      <c r="I42" s="406">
        <f>+'Costo de Mercancías'!J12*'Precios Ventas'!J25</f>
        <v>0</v>
      </c>
      <c r="J42" s="87"/>
      <c r="K42" s="80"/>
    </row>
    <row r="43" spans="1:11" hidden="1" x14ac:dyDescent="0.25">
      <c r="A43" s="80"/>
      <c r="B43" s="86"/>
      <c r="C43" s="249"/>
      <c r="D43" s="41"/>
      <c r="E43" s="406"/>
      <c r="F43" s="406"/>
      <c r="G43" s="406"/>
      <c r="H43" s="406"/>
      <c r="I43" s="406"/>
      <c r="J43" s="87"/>
      <c r="K43" s="80"/>
    </row>
    <row r="44" spans="1:11" x14ac:dyDescent="0.25">
      <c r="A44" s="80"/>
      <c r="B44" s="86"/>
      <c r="C44" s="250" t="str">
        <f>CONCATENATE("Margen $ ",Bases!C20)</f>
        <v xml:space="preserve">Margen $ </v>
      </c>
      <c r="D44" s="237"/>
      <c r="E44" s="407">
        <f>+E41-E42-E43</f>
        <v>0</v>
      </c>
      <c r="F44" s="407">
        <f>+F41-F42-F43</f>
        <v>0</v>
      </c>
      <c r="G44" s="407">
        <f>+G41-G42-G43</f>
        <v>0</v>
      </c>
      <c r="H44" s="407">
        <f>+H41-H42-H43</f>
        <v>0</v>
      </c>
      <c r="I44" s="407">
        <f>+I41-I42-I43</f>
        <v>0</v>
      </c>
      <c r="J44" s="87"/>
      <c r="K44" s="80"/>
    </row>
    <row r="45" spans="1:11" x14ac:dyDescent="0.25">
      <c r="A45" s="80"/>
      <c r="B45" s="86"/>
      <c r="C45" s="251" t="str">
        <f>CONCATENATE("Margen % ",Bases!C20)</f>
        <v xml:space="preserve">Margen % </v>
      </c>
      <c r="D45" s="245"/>
      <c r="E45" s="408">
        <f>IF('Precios Ventas'!F25=0,0,+E44/E41)</f>
        <v>0</v>
      </c>
      <c r="F45" s="408">
        <f>IF('Precios Ventas'!G25=0,0,+F44/F41)</f>
        <v>0</v>
      </c>
      <c r="G45" s="408">
        <f>IF('Precios Ventas'!H25=0,0,+G44/G41)</f>
        <v>0</v>
      </c>
      <c r="H45" s="408">
        <f>IF('Precios Ventas'!I25=0,0,+H44/H41)</f>
        <v>0</v>
      </c>
      <c r="I45" s="408">
        <f>IF('Precios Ventas'!J25=0,0,+I44/I41)</f>
        <v>0</v>
      </c>
      <c r="J45" s="87"/>
      <c r="K45" s="80"/>
    </row>
    <row r="46" spans="1:11" x14ac:dyDescent="0.25">
      <c r="A46" s="80"/>
      <c r="B46" s="86"/>
      <c r="C46" s="252" t="str">
        <f>CONCATENATE("Producto ",Bases!C21)</f>
        <v xml:space="preserve">Producto </v>
      </c>
      <c r="D46" s="41"/>
      <c r="E46" s="410"/>
      <c r="F46" s="410"/>
      <c r="G46" s="410"/>
      <c r="H46" s="410"/>
      <c r="I46" s="410"/>
      <c r="J46" s="87"/>
      <c r="K46" s="80"/>
    </row>
    <row r="47" spans="1:11" x14ac:dyDescent="0.25">
      <c r="A47" s="80"/>
      <c r="B47" s="86"/>
      <c r="C47" s="249" t="str">
        <f>CONCATENATE("Ingresos ",Bases!C21)</f>
        <v xml:space="preserve">Ingresos </v>
      </c>
      <c r="D47" s="41"/>
      <c r="E47" s="406">
        <f>+'Precios Ventas'!F15*'Precios Ventas'!F26</f>
        <v>0</v>
      </c>
      <c r="F47" s="406">
        <f>+'Precios Ventas'!G15*'Precios Ventas'!G26</f>
        <v>0</v>
      </c>
      <c r="G47" s="406">
        <f>+'Precios Ventas'!H15*'Precios Ventas'!H26</f>
        <v>0</v>
      </c>
      <c r="H47" s="406">
        <f>+'Precios Ventas'!I15*'Precios Ventas'!I26</f>
        <v>0</v>
      </c>
      <c r="I47" s="406">
        <f>+'Precios Ventas'!J15*'Precios Ventas'!J26</f>
        <v>0</v>
      </c>
      <c r="J47" s="87"/>
      <c r="K47" s="80"/>
    </row>
    <row r="48" spans="1:11" x14ac:dyDescent="0.25">
      <c r="A48" s="80"/>
      <c r="B48" s="86"/>
      <c r="C48" s="249" t="str">
        <f>CONCATENATE("Costo Materia Prima Consumida ",Bases!C21)</f>
        <v xml:space="preserve">Costo Materia Prima Consumida </v>
      </c>
      <c r="D48" s="42"/>
      <c r="E48" s="406">
        <f>+'Costo de Mercancías'!F13*'Precios Ventas'!F26</f>
        <v>0</v>
      </c>
      <c r="F48" s="406">
        <f>+'Costo de Mercancías'!G13*'Precios Ventas'!G26</f>
        <v>0</v>
      </c>
      <c r="G48" s="406">
        <f>+'Costo de Mercancías'!H13*'Precios Ventas'!H26</f>
        <v>0</v>
      </c>
      <c r="H48" s="406">
        <f>+'Costo de Mercancías'!I13*'Precios Ventas'!I26</f>
        <v>0</v>
      </c>
      <c r="I48" s="406">
        <f>+'Costo de Mercancías'!J13*'Precios Ventas'!J26</f>
        <v>0</v>
      </c>
      <c r="J48" s="87"/>
      <c r="K48" s="80"/>
    </row>
    <row r="49" spans="1:11" hidden="1" x14ac:dyDescent="0.25">
      <c r="A49" s="80"/>
      <c r="B49" s="86"/>
      <c r="C49" s="249"/>
      <c r="D49" s="42"/>
      <c r="E49" s="406"/>
      <c r="F49" s="406"/>
      <c r="G49" s="406"/>
      <c r="H49" s="406"/>
      <c r="I49" s="406"/>
      <c r="J49" s="87"/>
      <c r="K49" s="80"/>
    </row>
    <row r="50" spans="1:11" x14ac:dyDescent="0.25">
      <c r="A50" s="102"/>
      <c r="B50" s="106"/>
      <c r="C50" s="250" t="str">
        <f>CONCATENATE("Margen $ ",Bases!C21)</f>
        <v xml:space="preserve">Margen $ </v>
      </c>
      <c r="D50" s="237"/>
      <c r="E50" s="407">
        <f>+E47-E48-E49</f>
        <v>0</v>
      </c>
      <c r="F50" s="407">
        <f>+F47-F48-F49</f>
        <v>0</v>
      </c>
      <c r="G50" s="407">
        <f>+G47-G48-G49</f>
        <v>0</v>
      </c>
      <c r="H50" s="407">
        <f>+H47-H48-H49</f>
        <v>0</v>
      </c>
      <c r="I50" s="407">
        <f>+I47-I48-I49</f>
        <v>0</v>
      </c>
      <c r="J50" s="107"/>
      <c r="K50" s="102"/>
    </row>
    <row r="51" spans="1:11" x14ac:dyDescent="0.25">
      <c r="A51" s="102"/>
      <c r="B51" s="106"/>
      <c r="C51" s="251" t="str">
        <f>CONCATENATE("Margen % ",Bases!C21)</f>
        <v xml:space="preserve">Margen % </v>
      </c>
      <c r="D51" s="245"/>
      <c r="E51" s="408">
        <f>IF('Precios Ventas'!F26=0,0,+E50/E47)</f>
        <v>0</v>
      </c>
      <c r="F51" s="408">
        <f>IF('Precios Ventas'!G26=0,0,+F50/F47)</f>
        <v>0</v>
      </c>
      <c r="G51" s="408">
        <f>IF('Precios Ventas'!H26=0,0,+G50/G47)</f>
        <v>0</v>
      </c>
      <c r="H51" s="408">
        <f>IF('Precios Ventas'!I26=0,0,+H50/H47)</f>
        <v>0</v>
      </c>
      <c r="I51" s="408">
        <f>IF('Precios Ventas'!J26=0,0,+I50/I47)</f>
        <v>0</v>
      </c>
      <c r="J51" s="107"/>
      <c r="K51" s="102"/>
    </row>
    <row r="52" spans="1:11" x14ac:dyDescent="0.25">
      <c r="A52" s="102"/>
      <c r="B52" s="106"/>
      <c r="C52" s="252" t="str">
        <f>CONCATENATE("Producto ",Bases!C22)</f>
        <v xml:space="preserve">Producto </v>
      </c>
      <c r="D52" s="41"/>
      <c r="E52" s="410"/>
      <c r="F52" s="410"/>
      <c r="G52" s="410"/>
      <c r="H52" s="410"/>
      <c r="I52" s="410"/>
      <c r="J52" s="107"/>
      <c r="K52" s="102"/>
    </row>
    <row r="53" spans="1:11" x14ac:dyDescent="0.25">
      <c r="A53" s="102"/>
      <c r="B53" s="106"/>
      <c r="C53" s="249" t="str">
        <f>CONCATENATE("Ingresos ",Bases!C22)</f>
        <v xml:space="preserve">Ingresos </v>
      </c>
      <c r="D53" s="5"/>
      <c r="E53" s="406">
        <f>+'Precios Ventas'!F16*'Precios Ventas'!F27</f>
        <v>0</v>
      </c>
      <c r="F53" s="406">
        <f>+'Precios Ventas'!G16*'Precios Ventas'!G27</f>
        <v>0</v>
      </c>
      <c r="G53" s="406">
        <f>+'Precios Ventas'!H16*'Precios Ventas'!H27</f>
        <v>0</v>
      </c>
      <c r="H53" s="406">
        <f>+'Precios Ventas'!I16*'Precios Ventas'!I27</f>
        <v>0</v>
      </c>
      <c r="I53" s="406">
        <f>+'Precios Ventas'!J16*'Precios Ventas'!J27</f>
        <v>0</v>
      </c>
      <c r="J53" s="107"/>
      <c r="K53" s="102"/>
    </row>
    <row r="54" spans="1:11" x14ac:dyDescent="0.25">
      <c r="A54" s="102"/>
      <c r="B54" s="106"/>
      <c r="C54" s="249" t="str">
        <f>CONCATENATE("Costo Materia Prima Consumida ",Bases!C22)</f>
        <v xml:space="preserve">Costo Materia Prima Consumida </v>
      </c>
      <c r="D54" s="41"/>
      <c r="E54" s="406">
        <f>+'Costo de Mercancías'!F14*'Precios Ventas'!F27</f>
        <v>0</v>
      </c>
      <c r="F54" s="406">
        <f>+'Costo de Mercancías'!G14*'Precios Ventas'!G27</f>
        <v>0</v>
      </c>
      <c r="G54" s="406">
        <f>+'Costo de Mercancías'!H14*'Precios Ventas'!H27</f>
        <v>0</v>
      </c>
      <c r="H54" s="406">
        <f>+'Costo de Mercancías'!I14*'Precios Ventas'!I27</f>
        <v>0</v>
      </c>
      <c r="I54" s="406">
        <f>+'Costo de Mercancías'!J14*'Precios Ventas'!J27</f>
        <v>0</v>
      </c>
      <c r="J54" s="107"/>
      <c r="K54" s="102"/>
    </row>
    <row r="55" spans="1:11" hidden="1" x14ac:dyDescent="0.25">
      <c r="A55" s="102"/>
      <c r="B55" s="106"/>
      <c r="C55" s="249"/>
      <c r="D55" s="41"/>
      <c r="E55" s="406"/>
      <c r="F55" s="406"/>
      <c r="G55" s="406"/>
      <c r="H55" s="406"/>
      <c r="I55" s="406"/>
      <c r="J55" s="107"/>
      <c r="K55" s="102"/>
    </row>
    <row r="56" spans="1:11" x14ac:dyDescent="0.25">
      <c r="A56" s="102"/>
      <c r="B56" s="106"/>
      <c r="C56" s="250" t="str">
        <f>CONCATENATE("Margen $ ",Bases!C22)</f>
        <v xml:space="preserve">Margen $ </v>
      </c>
      <c r="D56" s="237"/>
      <c r="E56" s="407">
        <f>+E53-E54-E55</f>
        <v>0</v>
      </c>
      <c r="F56" s="407">
        <f>+F53-F54-F55</f>
        <v>0</v>
      </c>
      <c r="G56" s="407">
        <f>+G53-G54-G55</f>
        <v>0</v>
      </c>
      <c r="H56" s="407">
        <f>+H53-H54-H55</f>
        <v>0</v>
      </c>
      <c r="I56" s="407">
        <f>+I53-I54-I55</f>
        <v>0</v>
      </c>
      <c r="J56" s="107"/>
      <c r="K56" s="102"/>
    </row>
    <row r="57" spans="1:11" x14ac:dyDescent="0.25">
      <c r="A57" s="102"/>
      <c r="B57" s="106"/>
      <c r="C57" s="251" t="str">
        <f>CONCATENATE("Margen % ",Bases!C22)</f>
        <v xml:space="preserve">Margen % </v>
      </c>
      <c r="D57" s="245"/>
      <c r="E57" s="408">
        <f>IF('Precios Ventas'!F27=0,0,+E56/E53)</f>
        <v>0</v>
      </c>
      <c r="F57" s="408">
        <f>IF('Precios Ventas'!G27=0,0,+F56/F53)</f>
        <v>0</v>
      </c>
      <c r="G57" s="408">
        <f>IF('Precios Ventas'!H27=0,0,+G56/G53)</f>
        <v>0</v>
      </c>
      <c r="H57" s="408">
        <f>IF('Precios Ventas'!I27=0,0,+H56/H53)</f>
        <v>0</v>
      </c>
      <c r="I57" s="408">
        <f>IF('Precios Ventas'!J27=0,0,+I56/I53)</f>
        <v>0</v>
      </c>
      <c r="J57" s="107"/>
      <c r="K57" s="102"/>
    </row>
    <row r="58" spans="1:11" x14ac:dyDescent="0.25">
      <c r="A58" s="102"/>
      <c r="B58" s="106"/>
      <c r="C58" s="252" t="str">
        <f>CONCATENATE("Producto ",Bases!C23)</f>
        <v xml:space="preserve">Producto </v>
      </c>
      <c r="D58" s="41"/>
      <c r="E58" s="410"/>
      <c r="F58" s="410"/>
      <c r="G58" s="410"/>
      <c r="H58" s="410"/>
      <c r="I58" s="410"/>
      <c r="J58" s="107"/>
      <c r="K58" s="102"/>
    </row>
    <row r="59" spans="1:11" x14ac:dyDescent="0.25">
      <c r="A59" s="102"/>
      <c r="B59" s="106"/>
      <c r="C59" s="249" t="str">
        <f>CONCATENATE("Ingresos ",Bases!C23)</f>
        <v xml:space="preserve">Ingresos </v>
      </c>
      <c r="D59" s="5"/>
      <c r="E59" s="406">
        <f>+'Precios Ventas'!F17*'Precios Ventas'!F28</f>
        <v>0</v>
      </c>
      <c r="F59" s="406">
        <f>+'Precios Ventas'!G17*'Precios Ventas'!G28</f>
        <v>0</v>
      </c>
      <c r="G59" s="406">
        <f>+'Precios Ventas'!H17*'Precios Ventas'!H28</f>
        <v>0</v>
      </c>
      <c r="H59" s="406">
        <f>+'Precios Ventas'!I17*'Precios Ventas'!I28</f>
        <v>0</v>
      </c>
      <c r="I59" s="406">
        <f>+'Precios Ventas'!J17*'Precios Ventas'!J28</f>
        <v>0</v>
      </c>
      <c r="J59" s="107"/>
      <c r="K59" s="102"/>
    </row>
    <row r="60" spans="1:11" x14ac:dyDescent="0.25">
      <c r="A60" s="102"/>
      <c r="B60" s="106"/>
      <c r="C60" s="249" t="str">
        <f>CONCATENATE("Costo Materia Prima Consumida ",Bases!C23)</f>
        <v xml:space="preserve">Costo Materia Prima Consumida </v>
      </c>
      <c r="D60" s="41"/>
      <c r="E60" s="406">
        <f>+'Costo de Mercancías'!F15*'Precios Ventas'!F28</f>
        <v>0</v>
      </c>
      <c r="F60" s="406">
        <f>+'Costo de Mercancías'!G15*'Precios Ventas'!G28</f>
        <v>0</v>
      </c>
      <c r="G60" s="406">
        <f>+'Costo de Mercancías'!H15*'Precios Ventas'!H28</f>
        <v>0</v>
      </c>
      <c r="H60" s="406">
        <f>+'Costo de Mercancías'!I15*'Precios Ventas'!I28</f>
        <v>0</v>
      </c>
      <c r="I60" s="406">
        <f>+'Costo de Mercancías'!J15*'Precios Ventas'!J28</f>
        <v>0</v>
      </c>
      <c r="J60" s="107"/>
      <c r="K60" s="102"/>
    </row>
    <row r="61" spans="1:11" hidden="1" x14ac:dyDescent="0.25">
      <c r="A61" s="102"/>
      <c r="B61" s="106"/>
      <c r="C61" s="249"/>
      <c r="D61" s="41"/>
      <c r="E61" s="406"/>
      <c r="F61" s="406"/>
      <c r="G61" s="406"/>
      <c r="H61" s="406"/>
      <c r="I61" s="406"/>
      <c r="J61" s="107"/>
      <c r="K61" s="102"/>
    </row>
    <row r="62" spans="1:11" x14ac:dyDescent="0.25">
      <c r="A62" s="102"/>
      <c r="B62" s="106"/>
      <c r="C62" s="250" t="str">
        <f>CONCATENATE("Margen $ ",Bases!C23)</f>
        <v xml:space="preserve">Margen $ </v>
      </c>
      <c r="D62" s="237"/>
      <c r="E62" s="407">
        <f>+E59-E60-E61</f>
        <v>0</v>
      </c>
      <c r="F62" s="407">
        <f>+F59-F60-F61</f>
        <v>0</v>
      </c>
      <c r="G62" s="407">
        <f>+G59-G60-G61</f>
        <v>0</v>
      </c>
      <c r="H62" s="407">
        <f>+H59-H60-H61</f>
        <v>0</v>
      </c>
      <c r="I62" s="407">
        <f>+I59-I60-I61</f>
        <v>0</v>
      </c>
      <c r="J62" s="107"/>
      <c r="K62" s="102"/>
    </row>
    <row r="63" spans="1:11" x14ac:dyDescent="0.25">
      <c r="A63" s="102"/>
      <c r="B63" s="106"/>
      <c r="C63" s="251" t="str">
        <f>CONCATENATE("Margen % ",Bases!C23)</f>
        <v xml:space="preserve">Margen % </v>
      </c>
      <c r="D63" s="245"/>
      <c r="E63" s="408">
        <f>IF('Precios Ventas'!F28=0,0,+E62/E59)</f>
        <v>0</v>
      </c>
      <c r="F63" s="408">
        <f>IF('Precios Ventas'!G28=0,0,+F62/F59)</f>
        <v>0</v>
      </c>
      <c r="G63" s="408">
        <f>IF('Precios Ventas'!H28=0,0,+G62/G59)</f>
        <v>0</v>
      </c>
      <c r="H63" s="408">
        <f>IF('Precios Ventas'!I28=0,0,+H62/H59)</f>
        <v>0</v>
      </c>
      <c r="I63" s="408">
        <f>IF('Precios Ventas'!J28=0,0,+I62/I59)</f>
        <v>0</v>
      </c>
      <c r="J63" s="107"/>
      <c r="K63" s="102"/>
    </row>
    <row r="64" spans="1:11" ht="15.6" x14ac:dyDescent="0.3">
      <c r="A64" s="80"/>
      <c r="B64" s="86"/>
      <c r="C64" s="238" t="str">
        <f>CONCATENATE("RESUMEN ",Bases!C13)</f>
        <v>RESUMEN    Productos</v>
      </c>
      <c r="D64" s="239"/>
      <c r="E64" s="411"/>
      <c r="F64" s="411"/>
      <c r="G64" s="411"/>
      <c r="H64" s="411"/>
      <c r="I64" s="411"/>
      <c r="J64" s="87"/>
      <c r="K64" s="80"/>
    </row>
    <row r="65" spans="1:11" ht="15.6" x14ac:dyDescent="0.3">
      <c r="A65" s="80"/>
      <c r="B65" s="86"/>
      <c r="C65" s="240" t="str">
        <f>CONCATENATE("Ingresos ",Bases!C13)</f>
        <v>Ingresos    Productos</v>
      </c>
      <c r="D65" s="241"/>
      <c r="E65" s="412">
        <f t="shared" ref="E65:I67" si="0">+E5+E11+E17+E23+E29+E35+E41+E47+E53+E59</f>
        <v>326684821.4285714</v>
      </c>
      <c r="F65" s="412">
        <f t="shared" si="0"/>
        <v>678851058.92857146</v>
      </c>
      <c r="G65" s="412">
        <f t="shared" si="0"/>
        <v>699895441.75535715</v>
      </c>
      <c r="H65" s="412">
        <f t="shared" si="0"/>
        <v>1081338457.5120268</v>
      </c>
      <c r="I65" s="412">
        <f t="shared" si="0"/>
        <v>1113778611.2373877</v>
      </c>
      <c r="J65" s="87"/>
      <c r="K65" s="80"/>
    </row>
    <row r="66" spans="1:11" ht="15.6" x14ac:dyDescent="0.3">
      <c r="A66" s="80"/>
      <c r="B66" s="86"/>
      <c r="C66" s="240" t="str">
        <f>CONCATENATE("Costo Materia Prima Consumida ",Bases!C13)</f>
        <v>Costo Materia Prima Consumida    Productos</v>
      </c>
      <c r="D66" s="242"/>
      <c r="E66" s="412">
        <f t="shared" si="0"/>
        <v>99024058.622023821</v>
      </c>
      <c r="F66" s="412">
        <f t="shared" si="0"/>
        <v>205771993.81656548</v>
      </c>
      <c r="G66" s="412">
        <f t="shared" si="0"/>
        <v>212150925.624879</v>
      </c>
      <c r="H66" s="412">
        <f t="shared" si="0"/>
        <v>327773180.09043807</v>
      </c>
      <c r="I66" s="412">
        <f t="shared" si="0"/>
        <v>337606375.49315119</v>
      </c>
      <c r="J66" s="87"/>
      <c r="K66" s="80"/>
    </row>
    <row r="67" spans="1:11" ht="15.6" hidden="1" x14ac:dyDescent="0.3">
      <c r="A67" s="80"/>
      <c r="B67" s="86"/>
      <c r="C67" s="240" t="str">
        <f>CONCATENATE("XXX  ",Bases!C13)</f>
        <v>XXX     Productos</v>
      </c>
      <c r="D67" s="242"/>
      <c r="E67" s="412">
        <f t="shared" si="0"/>
        <v>0</v>
      </c>
      <c r="F67" s="412">
        <f t="shared" si="0"/>
        <v>0</v>
      </c>
      <c r="G67" s="412">
        <f t="shared" si="0"/>
        <v>0</v>
      </c>
      <c r="H67" s="412">
        <f t="shared" si="0"/>
        <v>0</v>
      </c>
      <c r="I67" s="412">
        <f t="shared" si="0"/>
        <v>0</v>
      </c>
      <c r="J67" s="87"/>
      <c r="K67" s="80"/>
    </row>
    <row r="68" spans="1:11" ht="15.6" x14ac:dyDescent="0.3">
      <c r="A68" s="80"/>
      <c r="B68" s="86"/>
      <c r="C68" s="243" t="str">
        <f>CONCATENATE("Margen $ ",Bases!C13)</f>
        <v>Margen $    Productos</v>
      </c>
      <c r="D68" s="244"/>
      <c r="E68" s="407">
        <f>+E65-E66-E67</f>
        <v>227660762.80654758</v>
      </c>
      <c r="F68" s="407">
        <f>+F65-F66-F67</f>
        <v>473079065.11200595</v>
      </c>
      <c r="G68" s="407">
        <f>+G65-G66-G67</f>
        <v>487744516.13047814</v>
      </c>
      <c r="H68" s="407">
        <f>+H65-H66-H67</f>
        <v>753565277.42158866</v>
      </c>
      <c r="I68" s="407">
        <f>+I65-I66-I67</f>
        <v>776172235.74423647</v>
      </c>
      <c r="J68" s="87"/>
      <c r="K68" s="80"/>
    </row>
    <row r="69" spans="1:11" ht="15.6" x14ac:dyDescent="0.3">
      <c r="A69" s="80"/>
      <c r="B69" s="86"/>
      <c r="C69" s="246" t="str">
        <f>CONCATENATE("Margen % ",Bases!C13)</f>
        <v>Margen %    Productos</v>
      </c>
      <c r="D69" s="247"/>
      <c r="E69" s="413">
        <f>IF(+E65=0,0,+E68/E65)</f>
        <v>0.69688197269466612</v>
      </c>
      <c r="F69" s="413">
        <f>IF(+F65=0,0,+F68/F65)</f>
        <v>0.69688197269466612</v>
      </c>
      <c r="G69" s="413">
        <f>IF(+G65=0,0,+G68/G65)</f>
        <v>0.69688197269466623</v>
      </c>
      <c r="H69" s="413">
        <f>IF(+H65=0,0,+H68/H65)</f>
        <v>0.69688197269466612</v>
      </c>
      <c r="I69" s="413">
        <f>IF(+I65=0,0,+I68/I65)</f>
        <v>0.69688197269466623</v>
      </c>
      <c r="J69" s="1"/>
      <c r="K69" s="80"/>
    </row>
    <row r="70" spans="1:11" x14ac:dyDescent="0.25">
      <c r="A70" s="103"/>
      <c r="B70" s="16"/>
      <c r="C70" s="14"/>
      <c r="D70" s="15"/>
      <c r="E70" s="15"/>
      <c r="F70" s="15"/>
      <c r="G70" s="15"/>
      <c r="H70" s="15"/>
      <c r="I70" s="15"/>
      <c r="J70" s="16"/>
      <c r="K70" s="103"/>
    </row>
    <row r="71" spans="1:11" x14ac:dyDescent="0.25">
      <c r="A71" s="80"/>
      <c r="B71" s="80"/>
      <c r="C71" s="94"/>
      <c r="D71" s="104"/>
      <c r="E71" s="81"/>
      <c r="F71" s="81"/>
      <c r="G71" s="81"/>
      <c r="H71" s="81"/>
      <c r="I71" s="81"/>
      <c r="J71" s="80"/>
      <c r="K71" s="80"/>
    </row>
  </sheetData>
  <sheetProtection password="CA1B" sheet="1" formatColumns="0" formatRows="0"/>
  <conditionalFormatting sqref="D70:I70">
    <cfRule type="cellIs" dxfId="12" priority="10" stopIfTrue="1" operator="notEqual">
      <formula>0</formula>
    </cfRule>
  </conditionalFormatting>
  <conditionalFormatting sqref="D5:I5">
    <cfRule type="cellIs" dxfId="11" priority="11" stopIfTrue="1" operator="lessThan">
      <formula>0</formula>
    </cfRule>
  </conditionalFormatting>
  <conditionalFormatting sqref="E11:I11">
    <cfRule type="cellIs" dxfId="10" priority="9" stopIfTrue="1" operator="lessThan">
      <formula>0</formula>
    </cfRule>
  </conditionalFormatting>
  <conditionalFormatting sqref="E17:I17">
    <cfRule type="cellIs" dxfId="9" priority="8" stopIfTrue="1" operator="lessThan">
      <formula>0</formula>
    </cfRule>
  </conditionalFormatting>
  <conditionalFormatting sqref="E23:I23">
    <cfRule type="cellIs" dxfId="8" priority="7" stopIfTrue="1" operator="lessThan">
      <formula>0</formula>
    </cfRule>
  </conditionalFormatting>
  <conditionalFormatting sqref="E29:I29">
    <cfRule type="cellIs" dxfId="7" priority="6" stopIfTrue="1" operator="lessThan">
      <formula>0</formula>
    </cfRule>
  </conditionalFormatting>
  <conditionalFormatting sqref="E35:I35">
    <cfRule type="cellIs" dxfId="6" priority="5" stopIfTrue="1" operator="lessThan">
      <formula>0</formula>
    </cfRule>
  </conditionalFormatting>
  <conditionalFormatting sqref="E41:I41">
    <cfRule type="cellIs" dxfId="5" priority="4" stopIfTrue="1" operator="lessThan">
      <formula>0</formula>
    </cfRule>
  </conditionalFormatting>
  <conditionalFormatting sqref="E47:I47">
    <cfRule type="cellIs" dxfId="4" priority="3" stopIfTrue="1" operator="lessThan">
      <formula>0</formula>
    </cfRule>
  </conditionalFormatting>
  <conditionalFormatting sqref="E53:I53">
    <cfRule type="cellIs" dxfId="3" priority="2" stopIfTrue="1" operator="lessThan">
      <formula>0</formula>
    </cfRule>
  </conditionalFormatting>
  <conditionalFormatting sqref="E59:I59">
    <cfRule type="cellIs" dxfId="2" priority="1" stopIfTrue="1" operator="lessThan">
      <formula>0</formula>
    </cfRule>
  </conditionalFormatting>
  <hyperlinks>
    <hyperlink ref="L3" location="Inicio!A1" display="Inicio" xr:uid="{00000000-0004-0000-0B00-000000000000}"/>
  </hyperlinks>
  <pageMargins left="0.74803149606299213" right="0.74803149606299213" top="0.98425196850393704" bottom="1.1811023622047245" header="0.51181102362204722" footer="0.31496062992125984"/>
  <pageSetup scale="90" orientation="landscape" horizontalDpi="0" verticalDpi="0"/>
  <headerFooter>
    <oddHeader>&amp;C&amp;"Arial,Negrita"&amp;14&amp;A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4">
    <tabColor indexed="21"/>
  </sheetPr>
  <dimension ref="A1:J30"/>
  <sheetViews>
    <sheetView showGridLines="0" showOutlineSymbols="0" topLeftCell="D1" zoomScale="110" zoomScaleNormal="151" workbookViewId="0">
      <selection activeCell="D26" sqref="D26:H26"/>
    </sheetView>
  </sheetViews>
  <sheetFormatPr baseColWidth="10" defaultColWidth="0" defaultRowHeight="13.2" zeroHeight="1" outlineLevelRow="1" x14ac:dyDescent="0.25"/>
  <cols>
    <col min="1" max="2" width="3.33203125" style="1" customWidth="1"/>
    <col min="3" max="3" width="48.21875" style="17" customWidth="1"/>
    <col min="4" max="4" width="14.44140625" style="4" customWidth="1"/>
    <col min="5" max="6" width="14.44140625" style="1" customWidth="1"/>
    <col min="7" max="8" width="16.21875" style="1" customWidth="1"/>
    <col min="9" max="10" width="4.6640625" style="1" customWidth="1"/>
    <col min="11" max="16384" width="0" style="1" hidden="1"/>
  </cols>
  <sheetData>
    <row r="1" spans="1:10" ht="17.399999999999999" x14ac:dyDescent="0.25">
      <c r="A1" s="80"/>
      <c r="B1" s="95"/>
      <c r="C1" s="329" t="s">
        <v>350</v>
      </c>
      <c r="D1" s="152">
        <f>+Bases!D5+1</f>
        <v>1</v>
      </c>
      <c r="E1" s="152">
        <f>+D1+1</f>
        <v>2</v>
      </c>
      <c r="F1" s="152">
        <f>+E1+1</f>
        <v>3</v>
      </c>
      <c r="G1" s="152">
        <f>+F1+1</f>
        <v>4</v>
      </c>
      <c r="H1" s="152">
        <f>+G1+1</f>
        <v>5</v>
      </c>
      <c r="I1" s="98"/>
      <c r="J1" s="80"/>
    </row>
    <row r="2" spans="1:10" ht="15.6" x14ac:dyDescent="0.3">
      <c r="A2" s="80"/>
      <c r="B2" s="86"/>
      <c r="C2" s="114" t="s">
        <v>53</v>
      </c>
      <c r="I2" s="87"/>
      <c r="J2" s="80"/>
    </row>
    <row r="3" spans="1:10" x14ac:dyDescent="0.25">
      <c r="A3" s="80"/>
      <c r="B3" s="86"/>
      <c r="C3" s="54" t="s">
        <v>54</v>
      </c>
      <c r="D3" s="406">
        <f>+'Precios Ventas'!F37</f>
        <v>326684821.4285714</v>
      </c>
      <c r="E3" s="406">
        <f>+'Precios Ventas'!G37</f>
        <v>678851058.92857146</v>
      </c>
      <c r="F3" s="406">
        <f>+'Precios Ventas'!H37</f>
        <v>699895441.75535715</v>
      </c>
      <c r="G3" s="406">
        <f>+'Precios Ventas'!I37</f>
        <v>1081338457.5120268</v>
      </c>
      <c r="H3" s="406">
        <f>+'Precios Ventas'!J37</f>
        <v>1113778611.2373877</v>
      </c>
      <c r="I3" s="87"/>
      <c r="J3" s="80"/>
    </row>
    <row r="4" spans="1:10" x14ac:dyDescent="0.25">
      <c r="A4" s="80"/>
      <c r="B4" s="86"/>
      <c r="C4" s="55" t="s">
        <v>55</v>
      </c>
      <c r="D4" s="406">
        <f>+'Precios Ventas'!F40</f>
        <v>32668482.142857142</v>
      </c>
      <c r="E4" s="406">
        <f>+'Precios Ventas'!G40</f>
        <v>67885105.892857149</v>
      </c>
      <c r="F4" s="406">
        <f>+'Precios Ventas'!H40</f>
        <v>34994772.087767862</v>
      </c>
      <c r="G4" s="406">
        <f>+'Precios Ventas'!I40</f>
        <v>54066922.875601344</v>
      </c>
      <c r="H4" s="406">
        <f>+'Precios Ventas'!J40</f>
        <v>22275572.224747755</v>
      </c>
      <c r="I4" s="87"/>
      <c r="J4" s="80"/>
    </row>
    <row r="5" spans="1:10" x14ac:dyDescent="0.25">
      <c r="A5" s="80"/>
      <c r="B5" s="86"/>
      <c r="C5" s="501" t="s">
        <v>531</v>
      </c>
      <c r="D5" s="406">
        <f>+Producción!F17</f>
        <v>126457750.62202382</v>
      </c>
      <c r="E5" s="406">
        <f>+Producción!G17</f>
        <v>234275599.80456549</v>
      </c>
      <c r="F5" s="406">
        <f>+Producción!H17</f>
        <v>241538143.398507</v>
      </c>
      <c r="G5" s="406">
        <f>+Producción!I17</f>
        <v>358042014.39727491</v>
      </c>
      <c r="H5" s="406">
        <f>+Producción!J17</f>
        <v>368783274.82919312</v>
      </c>
      <c r="I5" s="87"/>
      <c r="J5" s="80"/>
    </row>
    <row r="6" spans="1:10" x14ac:dyDescent="0.25">
      <c r="A6" s="80"/>
      <c r="B6" s="86"/>
      <c r="C6" s="56" t="s">
        <v>18</v>
      </c>
      <c r="D6" s="406">
        <f>Producción!F18</f>
        <v>3730239.3</v>
      </c>
      <c r="E6" s="406">
        <f>Producción!G18</f>
        <v>3730239.3</v>
      </c>
      <c r="F6" s="406">
        <f>Producción!H18</f>
        <v>3730239.3</v>
      </c>
      <c r="G6" s="406">
        <f>Producción!I18</f>
        <v>3730239.3</v>
      </c>
      <c r="H6" s="406">
        <f>Producción!J18</f>
        <v>3730239.3</v>
      </c>
      <c r="I6" s="87"/>
      <c r="J6" s="80"/>
    </row>
    <row r="7" spans="1:10" hidden="1" x14ac:dyDescent="0.25">
      <c r="A7" s="80"/>
      <c r="B7" s="86"/>
      <c r="C7" s="56"/>
      <c r="D7" s="406"/>
      <c r="E7" s="406"/>
      <c r="F7" s="406"/>
      <c r="G7" s="406"/>
      <c r="H7" s="406"/>
      <c r="I7" s="87"/>
      <c r="J7" s="80"/>
    </row>
    <row r="8" spans="1:10" hidden="1" x14ac:dyDescent="0.25">
      <c r="A8" s="80"/>
      <c r="B8" s="86"/>
      <c r="C8" s="222"/>
      <c r="D8" s="406"/>
      <c r="E8" s="406"/>
      <c r="F8" s="406"/>
      <c r="G8" s="406"/>
      <c r="H8" s="406"/>
      <c r="I8" s="87"/>
      <c r="J8" s="80"/>
    </row>
    <row r="9" spans="1:10" s="12" customFormat="1" x14ac:dyDescent="0.25">
      <c r="A9" s="102"/>
      <c r="B9" s="106"/>
      <c r="C9" s="57" t="s">
        <v>56</v>
      </c>
      <c r="D9" s="409">
        <f>D3-D4-D5-D6-D7-D8</f>
        <v>163828349.36369044</v>
      </c>
      <c r="E9" s="409">
        <f>E3-E4-E5-E6-E7-E8</f>
        <v>372960113.93114877</v>
      </c>
      <c r="F9" s="409">
        <f>F3-F4-F5-F6-F7-F8</f>
        <v>419632286.9690823</v>
      </c>
      <c r="G9" s="409">
        <f>G3-G4-G5-G6-G7-G8</f>
        <v>665499280.93915057</v>
      </c>
      <c r="H9" s="409">
        <f>H3-H4-H5-H6-H7-H8</f>
        <v>718989524.88344693</v>
      </c>
      <c r="I9" s="107"/>
      <c r="J9" s="102"/>
    </row>
    <row r="10" spans="1:10" x14ac:dyDescent="0.25">
      <c r="A10" s="80"/>
      <c r="B10" s="86"/>
      <c r="C10" s="222" t="s">
        <v>288</v>
      </c>
      <c r="D10" s="406">
        <f>+'Gastos Generales Admon y Ventas'!G73</f>
        <v>65544000</v>
      </c>
      <c r="E10" s="406">
        <f>+'Gastos Generales Admon y Ventas'!H73</f>
        <v>68100216</v>
      </c>
      <c r="F10" s="406">
        <f>+'Gastos Generales Admon y Ventas'!I73</f>
        <v>70211322.69599998</v>
      </c>
      <c r="G10" s="406">
        <f>+'Gastos Generales Admon y Ventas'!J73</f>
        <v>72317662.376880005</v>
      </c>
      <c r="H10" s="406">
        <f>+'Gastos Generales Admon y Ventas'!K73</f>
        <v>74487192.248186395</v>
      </c>
      <c r="I10" s="87"/>
      <c r="J10" s="80"/>
    </row>
    <row r="11" spans="1:10" x14ac:dyDescent="0.25">
      <c r="A11" s="80"/>
      <c r="B11" s="86"/>
      <c r="C11" s="222" t="s">
        <v>11</v>
      </c>
      <c r="D11" s="406">
        <f>+'Gastos Generales Admon y Ventas'!G90</f>
        <v>33000000</v>
      </c>
      <c r="E11" s="406">
        <f>+'Gastos Generales Admon y Ventas'!H90</f>
        <v>37404000</v>
      </c>
      <c r="F11" s="406">
        <f>+'Gastos Generales Admon y Ventas'!I90</f>
        <v>38563524</v>
      </c>
      <c r="G11" s="406">
        <f>+'Gastos Generales Admon y Ventas'!J90</f>
        <v>39720429.719999999</v>
      </c>
      <c r="H11" s="406">
        <f>+'Gastos Generales Admon y Ventas'!K90</f>
        <v>40912042.611599997</v>
      </c>
      <c r="I11" s="87"/>
      <c r="J11" s="80"/>
    </row>
    <row r="12" spans="1:10" x14ac:dyDescent="0.25">
      <c r="A12" s="80"/>
      <c r="B12" s="86"/>
      <c r="C12" s="56" t="s">
        <v>126</v>
      </c>
      <c r="D12" s="406">
        <f>'Capital de Trabajo'!F12</f>
        <v>0</v>
      </c>
      <c r="E12" s="406">
        <f>'Capital de Trabajo'!G12</f>
        <v>0</v>
      </c>
      <c r="F12" s="406">
        <f>'Capital de Trabajo'!H12</f>
        <v>0</v>
      </c>
      <c r="G12" s="406">
        <f>'Capital de Trabajo'!I12</f>
        <v>0</v>
      </c>
      <c r="H12" s="406">
        <f>'Capital de Trabajo'!J12</f>
        <v>0</v>
      </c>
      <c r="I12" s="87"/>
      <c r="J12" s="80"/>
    </row>
    <row r="13" spans="1:10" x14ac:dyDescent="0.25">
      <c r="A13" s="80"/>
      <c r="B13" s="86"/>
      <c r="C13" s="222" t="s">
        <v>280</v>
      </c>
      <c r="D13" s="406">
        <f>Diferidos!D27</f>
        <v>38792564</v>
      </c>
      <c r="E13" s="406">
        <f>Diferidos!E27</f>
        <v>0</v>
      </c>
      <c r="F13" s="406">
        <f>Diferidos!F27</f>
        <v>0</v>
      </c>
      <c r="G13" s="406">
        <f>Diferidos!G27</f>
        <v>0</v>
      </c>
      <c r="H13" s="406">
        <f>Diferidos!H27</f>
        <v>0</v>
      </c>
      <c r="I13" s="87"/>
      <c r="J13" s="80"/>
    </row>
    <row r="14" spans="1:10" s="18" customFormat="1" x14ac:dyDescent="0.25">
      <c r="A14" s="110"/>
      <c r="B14" s="115"/>
      <c r="C14" s="58" t="s">
        <v>57</v>
      </c>
      <c r="D14" s="414">
        <f>D9-SUM(D10:D13)</f>
        <v>26491785.363690436</v>
      </c>
      <c r="E14" s="414">
        <f>E9-SUM(E10:E13)</f>
        <v>267455897.93114877</v>
      </c>
      <c r="F14" s="414">
        <f>F9-SUM(F10:F13)</f>
        <v>310857440.27308232</v>
      </c>
      <c r="G14" s="414">
        <f>G9-SUM(G10:G13)</f>
        <v>553461188.84227061</v>
      </c>
      <c r="H14" s="414">
        <f>H9-SUM(H10:H13)</f>
        <v>603590290.02366054</v>
      </c>
      <c r="I14" s="116"/>
      <c r="J14" s="110"/>
    </row>
    <row r="15" spans="1:10" s="19" customFormat="1" outlineLevel="1" x14ac:dyDescent="0.25">
      <c r="A15" s="111"/>
      <c r="B15" s="117"/>
      <c r="C15" s="223" t="s">
        <v>58</v>
      </c>
      <c r="D15" s="412">
        <f>+'Precios Ventas'!F42</f>
        <v>0</v>
      </c>
      <c r="E15" s="412">
        <f>+'Precios Ventas'!G42</f>
        <v>0</v>
      </c>
      <c r="F15" s="412">
        <f>+'Precios Ventas'!H42</f>
        <v>0</v>
      </c>
      <c r="G15" s="412">
        <f>+'Precios Ventas'!I42</f>
        <v>0</v>
      </c>
      <c r="H15" s="412">
        <f>+'Precios Ventas'!J42</f>
        <v>0</v>
      </c>
      <c r="I15" s="118"/>
      <c r="J15" s="111"/>
    </row>
    <row r="16" spans="1:10" s="19" customFormat="1" outlineLevel="1" x14ac:dyDescent="0.25">
      <c r="A16" s="111"/>
      <c r="B16" s="117"/>
      <c r="C16" s="223" t="s">
        <v>59</v>
      </c>
      <c r="D16" s="412">
        <f>'Deuda $'!D30</f>
        <v>16641020.574248031</v>
      </c>
      <c r="E16" s="412">
        <f>'Deuda $'!E30</f>
        <v>16208538.421720795</v>
      </c>
      <c r="F16" s="412">
        <f>'Deuda $'!F30</f>
        <v>0</v>
      </c>
      <c r="G16" s="412">
        <f>'Deuda $'!G30</f>
        <v>0</v>
      </c>
      <c r="H16" s="412">
        <f>'Deuda $'!H30</f>
        <v>0</v>
      </c>
      <c r="I16" s="118"/>
      <c r="J16" s="111"/>
    </row>
    <row r="17" spans="1:10" x14ac:dyDescent="0.25">
      <c r="A17" s="80"/>
      <c r="B17" s="86"/>
      <c r="C17" s="60" t="s">
        <v>60</v>
      </c>
      <c r="D17" s="406">
        <f>D15-D16</f>
        <v>-16641020.574248031</v>
      </c>
      <c r="E17" s="406">
        <f>E15-E16</f>
        <v>-16208538.421720795</v>
      </c>
      <c r="F17" s="406">
        <f>F15-F16</f>
        <v>0</v>
      </c>
      <c r="G17" s="406">
        <f>G15-G16</f>
        <v>0</v>
      </c>
      <c r="H17" s="406">
        <f>H15-H16</f>
        <v>0</v>
      </c>
      <c r="I17" s="87"/>
      <c r="J17" s="80"/>
    </row>
    <row r="18" spans="1:10" s="19" customFormat="1" hidden="1" outlineLevel="1" x14ac:dyDescent="0.25">
      <c r="A18" s="111"/>
      <c r="B18" s="117"/>
      <c r="C18" s="59" t="s">
        <v>61</v>
      </c>
      <c r="D18" s="415">
        <f>-'Estructura de Capital'!F92</f>
        <v>0</v>
      </c>
      <c r="E18" s="415">
        <f>-'Estructura de Capital'!G92</f>
        <v>0</v>
      </c>
      <c r="F18" s="415">
        <f>-'Estructura de Capital'!H92</f>
        <v>0</v>
      </c>
      <c r="G18" s="415">
        <f>-'Estructura de Capital'!I92</f>
        <v>0</v>
      </c>
      <c r="H18" s="415">
        <f>-'Estructura de Capital'!J92</f>
        <v>0</v>
      </c>
      <c r="I18" s="118"/>
      <c r="J18" s="111"/>
    </row>
    <row r="19" spans="1:10" s="19" customFormat="1" hidden="1" outlineLevel="1" x14ac:dyDescent="0.25">
      <c r="A19" s="111"/>
      <c r="B19" s="117"/>
      <c r="C19" s="59" t="s">
        <v>62</v>
      </c>
      <c r="D19" s="415">
        <f>'Estructura de Capital'!F9+'Estructura de Capital'!F12+'Estructura de Capital'!F26+'Estructura de Capital'!F33+'Estructura de Capital'!F40+'Estructura de Capital'!F47+'Estructura de Capital'!F54+'Estructura de Capital'!F61+Terrenos!C11+Construcciones!C10+Maquinaria!C10+Muebles!C10+Transporte!C10+Oficina!C10+Semovientes!C10+Permanentes!C10+Diferidos!D11</f>
        <v>0</v>
      </c>
      <c r="E19" s="415">
        <f>'Estructura de Capital'!G9+'Estructura de Capital'!G12+'Estructura de Capital'!G26+'Estructura de Capital'!G33+'Estructura de Capital'!G40+'Estructura de Capital'!G47+'Estructura de Capital'!G54+'Estructura de Capital'!G61+Terrenos!D11+Construcciones!D10+Maquinaria!D10+Muebles!D10+Transporte!D10+Oficina!D10+Semovientes!D10+Permanentes!D10+Diferidos!E11</f>
        <v>0</v>
      </c>
      <c r="F19" s="415">
        <f>'Estructura de Capital'!H9+'Estructura de Capital'!H12+'Estructura de Capital'!H26+'Estructura de Capital'!H33+'Estructura de Capital'!H40+'Estructura de Capital'!H47+'Estructura de Capital'!H54+'Estructura de Capital'!H61+Terrenos!E11+Construcciones!E10+Maquinaria!E10+Muebles!E10+Transporte!E10+Oficina!E10+Semovientes!E10+Permanentes!E10+Diferidos!F11</f>
        <v>0</v>
      </c>
      <c r="G19" s="415">
        <f>'Estructura de Capital'!I9+'Estructura de Capital'!I12+'Estructura de Capital'!I26+'Estructura de Capital'!I33+'Estructura de Capital'!I40+'Estructura de Capital'!I47+'Estructura de Capital'!I54+'Estructura de Capital'!I61+Terrenos!F11+Construcciones!F10+Maquinaria!F10+Muebles!F10+Transporte!F10+Oficina!F10+Semovientes!F10+Permanentes!F10+Diferidos!G11</f>
        <v>0</v>
      </c>
      <c r="H19" s="415">
        <f>'Estructura de Capital'!J9+'Estructura de Capital'!J12+'Estructura de Capital'!J26+'Estructura de Capital'!J33+'Estructura de Capital'!J40+'Estructura de Capital'!J47+'Estructura de Capital'!J54+'Estructura de Capital'!J61+Terrenos!G11+Construcciones!G10+Maquinaria!G10+Muebles!G10+Transporte!G10+Oficina!G10+Semovientes!G10+Permanentes!G10+Diferidos!H11</f>
        <v>0</v>
      </c>
      <c r="I19" s="118"/>
      <c r="J19" s="111"/>
    </row>
    <row r="20" spans="1:10" s="19" customFormat="1" hidden="1" outlineLevel="1" x14ac:dyDescent="0.25">
      <c r="A20" s="111"/>
      <c r="B20" s="117"/>
      <c r="C20" s="59" t="s">
        <v>63</v>
      </c>
      <c r="D20" s="415">
        <f>-'Estructura de Capital'!F14-'Estructura de Capital'!F28-'Estructura de Capital'!F35-'Estructura de Capital'!F42-'Estructura de Capital'!F49-Construcciones!C31-Maquinaria!C31-Muebles!C31-Transporte!C31-Oficina!C31</f>
        <v>0</v>
      </c>
      <c r="E20" s="415">
        <f>-'Estructura de Capital'!G14-'Estructura de Capital'!G28-'Estructura de Capital'!G35-'Estructura de Capital'!G42-'Estructura de Capital'!G49-Construcciones!D31-Maquinaria!D31-Muebles!D31-Transporte!D31-Oficina!D31</f>
        <v>0</v>
      </c>
      <c r="F20" s="415">
        <f>-'Estructura de Capital'!H14-'Estructura de Capital'!H28-'Estructura de Capital'!H35-'Estructura de Capital'!H42-'Estructura de Capital'!H49-Construcciones!E31-Maquinaria!E31-Muebles!E31-Transporte!E31-Oficina!E31</f>
        <v>0</v>
      </c>
      <c r="G20" s="415">
        <f>-'Estructura de Capital'!I14-'Estructura de Capital'!I28-'Estructura de Capital'!I35-'Estructura de Capital'!I42-'Estructura de Capital'!I49-Construcciones!F31-Maquinaria!F31-Muebles!F31-Transporte!F31-Oficina!F31</f>
        <v>0</v>
      </c>
      <c r="H20" s="415">
        <f>-'Estructura de Capital'!J14-'Estructura de Capital'!J28-'Estructura de Capital'!J35-'Estructura de Capital'!J42-'Estructura de Capital'!J49-Construcciones!G31-Maquinaria!G31-Muebles!G31-Transporte!G31-Oficina!G31</f>
        <v>0</v>
      </c>
      <c r="I20" s="118"/>
      <c r="J20" s="111"/>
    </row>
    <row r="21" spans="1:10" s="19" customFormat="1" hidden="1" outlineLevel="1" x14ac:dyDescent="0.25">
      <c r="A21" s="111"/>
      <c r="B21" s="117"/>
      <c r="C21" s="59" t="s">
        <v>164</v>
      </c>
      <c r="D21" s="415">
        <f>-Diferidos!D35</f>
        <v>0</v>
      </c>
      <c r="E21" s="415">
        <f>-Diferidos!E35</f>
        <v>0</v>
      </c>
      <c r="F21" s="415">
        <f>-Diferidos!F35</f>
        <v>0</v>
      </c>
      <c r="G21" s="415">
        <f>-Diferidos!G35</f>
        <v>0</v>
      </c>
      <c r="H21" s="415">
        <f>-Diferidos!H35</f>
        <v>0</v>
      </c>
      <c r="I21" s="118"/>
      <c r="J21" s="111"/>
    </row>
    <row r="22" spans="1:10" s="19" customFormat="1" hidden="1" outlineLevel="1" x14ac:dyDescent="0.25">
      <c r="A22" s="111"/>
      <c r="B22" s="117"/>
      <c r="C22" s="59" t="s">
        <v>190</v>
      </c>
      <c r="D22" s="415">
        <f>-'Estructura de Capital'!F56-'Estructura de Capital'!F63-Semovientes!C31-Permanentes!C31</f>
        <v>0</v>
      </c>
      <c r="E22" s="415">
        <f>-'Estructura de Capital'!G56-'Estructura de Capital'!G63-Semovientes!D31-Permanentes!D31</f>
        <v>0</v>
      </c>
      <c r="F22" s="415">
        <f>-'Estructura de Capital'!H56-'Estructura de Capital'!H63-Semovientes!E31-Permanentes!E31</f>
        <v>0</v>
      </c>
      <c r="G22" s="415">
        <f>-'Estructura de Capital'!I56-'Estructura de Capital'!I63-Semovientes!F31-Permanentes!F31</f>
        <v>0</v>
      </c>
      <c r="H22" s="415">
        <f>-'Estructura de Capital'!J56-'Estructura de Capital'!J63-Semovientes!G31-Permanentes!G31</f>
        <v>0</v>
      </c>
      <c r="I22" s="118"/>
      <c r="J22" s="111"/>
    </row>
    <row r="23" spans="1:10" hidden="1" outlineLevel="1" x14ac:dyDescent="0.25">
      <c r="A23" s="80"/>
      <c r="B23" s="86"/>
      <c r="C23" s="61" t="s">
        <v>64</v>
      </c>
      <c r="D23" s="406">
        <f>D18+D19+D20+D21+D22</f>
        <v>0</v>
      </c>
      <c r="E23" s="406">
        <f>E18+E19+E20+E21+E22</f>
        <v>0</v>
      </c>
      <c r="F23" s="406">
        <f>F18+F19+F20+F21+F22</f>
        <v>0</v>
      </c>
      <c r="G23" s="406">
        <f>G18+G19+G20+G21+G22</f>
        <v>0</v>
      </c>
      <c r="H23" s="406">
        <f>H18+H19+H20+H21+H22</f>
        <v>0</v>
      </c>
      <c r="I23" s="87"/>
      <c r="J23" s="80"/>
    </row>
    <row r="24" spans="1:10" s="18" customFormat="1" collapsed="1" x14ac:dyDescent="0.25">
      <c r="A24" s="110"/>
      <c r="B24" s="115"/>
      <c r="C24" s="62" t="s">
        <v>65</v>
      </c>
      <c r="D24" s="414">
        <f>D14+D17+D23</f>
        <v>9850764.7894424051</v>
      </c>
      <c r="E24" s="414">
        <f>E14+E17+E23</f>
        <v>251247359.50942796</v>
      </c>
      <c r="F24" s="414">
        <f>F14+F17+F23</f>
        <v>310857440.27308232</v>
      </c>
      <c r="G24" s="414">
        <f>G14+G17+G23</f>
        <v>553461188.84227061</v>
      </c>
      <c r="H24" s="414">
        <f>H14+H17+H23</f>
        <v>603590290.02366054</v>
      </c>
      <c r="I24" s="116"/>
      <c r="J24" s="110"/>
    </row>
    <row r="25" spans="1:10" x14ac:dyDescent="0.25">
      <c r="A25" s="80"/>
      <c r="B25" s="86"/>
      <c r="C25" s="503" t="s">
        <v>478</v>
      </c>
      <c r="D25" s="406">
        <f>+'Estructura de Capital'!F78</f>
        <v>3447767.6763048414</v>
      </c>
      <c r="E25" s="406">
        <f>+'Estructura de Capital'!G78</f>
        <v>87936575.828299776</v>
      </c>
      <c r="F25" s="406">
        <f>+'Estructura de Capital'!H78</f>
        <v>108800104.0955788</v>
      </c>
      <c r="G25" s="406">
        <f>+'Estructura de Capital'!I78</f>
        <v>193711416.09479469</v>
      </c>
      <c r="H25" s="406">
        <f>+'Estructura de Capital'!J78</f>
        <v>211256601.50828117</v>
      </c>
      <c r="I25" s="87"/>
      <c r="J25" s="80"/>
    </row>
    <row r="26" spans="1:10" s="12" customFormat="1" x14ac:dyDescent="0.25">
      <c r="A26" s="102"/>
      <c r="B26" s="106"/>
      <c r="C26" s="63" t="s">
        <v>66</v>
      </c>
      <c r="D26" s="409">
        <f>D24-D25</f>
        <v>6402997.1131375637</v>
      </c>
      <c r="E26" s="409">
        <f>E24-E25</f>
        <v>163310783.6811282</v>
      </c>
      <c r="F26" s="409">
        <f>F24-F25</f>
        <v>202057336.17750353</v>
      </c>
      <c r="G26" s="409">
        <f>G24-G25</f>
        <v>359749772.74747592</v>
      </c>
      <c r="H26" s="409">
        <f>H24-H25</f>
        <v>392333688.51537937</v>
      </c>
      <c r="I26" s="107"/>
      <c r="J26" s="102"/>
    </row>
    <row r="27" spans="1:10" ht="13.8" thickBot="1" x14ac:dyDescent="0.3">
      <c r="A27" s="80"/>
      <c r="B27" s="90"/>
      <c r="C27" s="119"/>
      <c r="D27" s="120"/>
      <c r="E27" s="108"/>
      <c r="F27" s="108"/>
      <c r="G27" s="108"/>
      <c r="H27" s="108"/>
      <c r="I27" s="93"/>
      <c r="J27" s="80"/>
    </row>
    <row r="28" spans="1:10" x14ac:dyDescent="0.25">
      <c r="A28" s="80"/>
      <c r="B28" s="80"/>
      <c r="C28" s="112"/>
      <c r="D28" s="113"/>
      <c r="E28" s="113"/>
      <c r="F28" s="113"/>
      <c r="G28" s="113"/>
      <c r="H28" s="113"/>
      <c r="I28" s="80"/>
      <c r="J28" s="80"/>
    </row>
    <row r="29" spans="1:10" hidden="1" x14ac:dyDescent="0.25">
      <c r="C29" s="21"/>
      <c r="D29" s="23"/>
      <c r="E29" s="23"/>
      <c r="F29" s="23"/>
      <c r="G29" s="23"/>
      <c r="H29" s="23"/>
    </row>
    <row r="30" spans="1:10" hidden="1" x14ac:dyDescent="0.25">
      <c r="C30" s="21"/>
      <c r="D30" s="22"/>
      <c r="E30" s="22"/>
      <c r="F30" s="22"/>
      <c r="G30" s="22"/>
      <c r="H30" s="22"/>
    </row>
  </sheetData>
  <sheetProtection password="CA1B" sheet="1" formatColumns="0" formatRows="0"/>
  <phoneticPr fontId="0" type="noConversion"/>
  <hyperlinks>
    <hyperlink ref="C1" location="Inicio!A1" display="Inicio" xr:uid="{00000000-0004-0000-0C00-000000000000}"/>
  </hyperlinks>
  <printOptions horizontalCentered="1" gridLinesSet="0"/>
  <pageMargins left="0.19685039370078741" right="0.19685039370078741" top="1.47" bottom="0.39370078740157483" header="0.86" footer="0.51181102362204722"/>
  <pageSetup orientation="landscape" horizontalDpi="300" verticalDpi="300"/>
  <headerFooter alignWithMargins="0">
    <oddHeader xml:space="preserve">&amp;C&amp;"Arial,Negrita"&amp;14MODELO FINANCIERO
&amp;12ESTADO DE RESULTADOS ANUAL&amp;"Arial,Normal"&amp;10
</oddHeader>
    <oddFooter>&amp;L&amp;"Arial,Negrita"&amp;8&amp;F&amp;C&amp;"Arial,Negrita"&amp;8Página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3">
    <tabColor indexed="21"/>
    <pageSetUpPr fitToPage="1"/>
  </sheetPr>
  <dimension ref="A1:IV66"/>
  <sheetViews>
    <sheetView showGridLines="0" tabSelected="1" showOutlineSymbols="0" topLeftCell="A44" zoomScale="110" zoomScaleNormal="110" workbookViewId="0">
      <selection activeCell="E48" sqref="E48"/>
    </sheetView>
  </sheetViews>
  <sheetFormatPr baseColWidth="10" defaultColWidth="0" defaultRowHeight="13.2" zeroHeight="1" outlineLevelRow="1" x14ac:dyDescent="0.25"/>
  <cols>
    <col min="1" max="1" width="2.21875" style="1" customWidth="1"/>
    <col min="2" max="2" width="2.6640625" style="1" customWidth="1"/>
    <col min="3" max="3" width="34.33203125" style="5" customWidth="1"/>
    <col min="4" max="4" width="15.44140625" style="10" customWidth="1"/>
    <col min="5" max="6" width="15.44140625" style="11" customWidth="1"/>
    <col min="7" max="9" width="16.21875" style="11" customWidth="1"/>
    <col min="10" max="11" width="3.6640625" style="1" hidden="1" customWidth="1"/>
    <col min="12" max="16384" width="0" style="1" hidden="1"/>
  </cols>
  <sheetData>
    <row r="1" spans="1:256" ht="9.75" hidden="1" customHeight="1" outlineLevel="1" thickBot="1" x14ac:dyDescent="0.3">
      <c r="D1" s="8">
        <v>0</v>
      </c>
      <c r="E1" s="8">
        <v>1</v>
      </c>
      <c r="F1" s="8">
        <v>2</v>
      </c>
      <c r="G1" s="8">
        <v>3</v>
      </c>
      <c r="H1" s="8">
        <v>4</v>
      </c>
      <c r="I1" s="8">
        <v>5</v>
      </c>
    </row>
    <row r="2" spans="1:256" ht="16.5" customHeight="1" collapsed="1" x14ac:dyDescent="0.25">
      <c r="A2" s="80"/>
      <c r="B2" s="95"/>
      <c r="C2" s="329" t="s">
        <v>350</v>
      </c>
      <c r="D2" s="97">
        <f>+Bases!D5</f>
        <v>0</v>
      </c>
      <c r="E2" s="97">
        <f>+D2+1</f>
        <v>1</v>
      </c>
      <c r="F2" s="97">
        <f t="shared" ref="F2:BQ2" si="0">+E2+1</f>
        <v>2</v>
      </c>
      <c r="G2" s="97">
        <f t="shared" si="0"/>
        <v>3</v>
      </c>
      <c r="H2" s="97">
        <f t="shared" si="0"/>
        <v>4</v>
      </c>
      <c r="I2" s="97">
        <f t="shared" si="0"/>
        <v>5</v>
      </c>
      <c r="J2" s="97">
        <f t="shared" si="0"/>
        <v>6</v>
      </c>
      <c r="K2" s="97">
        <f t="shared" si="0"/>
        <v>7</v>
      </c>
      <c r="L2" s="97">
        <f t="shared" si="0"/>
        <v>8</v>
      </c>
      <c r="M2" s="97">
        <f t="shared" si="0"/>
        <v>9</v>
      </c>
      <c r="N2" s="97">
        <f t="shared" si="0"/>
        <v>10</v>
      </c>
      <c r="O2" s="97">
        <f t="shared" si="0"/>
        <v>11</v>
      </c>
      <c r="P2" s="97">
        <f t="shared" si="0"/>
        <v>12</v>
      </c>
      <c r="Q2" s="97">
        <f t="shared" si="0"/>
        <v>13</v>
      </c>
      <c r="R2" s="97">
        <f t="shared" si="0"/>
        <v>14</v>
      </c>
      <c r="S2" s="97">
        <f t="shared" si="0"/>
        <v>15</v>
      </c>
      <c r="T2" s="97">
        <f t="shared" si="0"/>
        <v>16</v>
      </c>
      <c r="U2" s="97">
        <f t="shared" si="0"/>
        <v>17</v>
      </c>
      <c r="V2" s="97">
        <f t="shared" si="0"/>
        <v>18</v>
      </c>
      <c r="W2" s="97">
        <f t="shared" si="0"/>
        <v>19</v>
      </c>
      <c r="X2" s="97">
        <f t="shared" si="0"/>
        <v>20</v>
      </c>
      <c r="Y2" s="97">
        <f t="shared" si="0"/>
        <v>21</v>
      </c>
      <c r="Z2" s="97">
        <f t="shared" si="0"/>
        <v>22</v>
      </c>
      <c r="AA2" s="97">
        <f t="shared" si="0"/>
        <v>23</v>
      </c>
      <c r="AB2" s="97">
        <f t="shared" si="0"/>
        <v>24</v>
      </c>
      <c r="AC2" s="97">
        <f t="shared" si="0"/>
        <v>25</v>
      </c>
      <c r="AD2" s="97">
        <f t="shared" si="0"/>
        <v>26</v>
      </c>
      <c r="AE2" s="97">
        <f t="shared" si="0"/>
        <v>27</v>
      </c>
      <c r="AF2" s="97">
        <f t="shared" si="0"/>
        <v>28</v>
      </c>
      <c r="AG2" s="97">
        <f t="shared" si="0"/>
        <v>29</v>
      </c>
      <c r="AH2" s="97">
        <f t="shared" si="0"/>
        <v>30</v>
      </c>
      <c r="AI2" s="97">
        <f t="shared" si="0"/>
        <v>31</v>
      </c>
      <c r="AJ2" s="97">
        <f t="shared" si="0"/>
        <v>32</v>
      </c>
      <c r="AK2" s="97">
        <f t="shared" si="0"/>
        <v>33</v>
      </c>
      <c r="AL2" s="97">
        <f t="shared" si="0"/>
        <v>34</v>
      </c>
      <c r="AM2" s="97">
        <f t="shared" si="0"/>
        <v>35</v>
      </c>
      <c r="AN2" s="97">
        <f t="shared" si="0"/>
        <v>36</v>
      </c>
      <c r="AO2" s="97">
        <f t="shared" si="0"/>
        <v>37</v>
      </c>
      <c r="AP2" s="97">
        <f t="shared" si="0"/>
        <v>38</v>
      </c>
      <c r="AQ2" s="97">
        <f t="shared" si="0"/>
        <v>39</v>
      </c>
      <c r="AR2" s="97">
        <f t="shared" si="0"/>
        <v>40</v>
      </c>
      <c r="AS2" s="97">
        <f t="shared" si="0"/>
        <v>41</v>
      </c>
      <c r="AT2" s="97">
        <f t="shared" si="0"/>
        <v>42</v>
      </c>
      <c r="AU2" s="97">
        <f t="shared" si="0"/>
        <v>43</v>
      </c>
      <c r="AV2" s="97">
        <f t="shared" si="0"/>
        <v>44</v>
      </c>
      <c r="AW2" s="97">
        <f t="shared" si="0"/>
        <v>45</v>
      </c>
      <c r="AX2" s="97">
        <f t="shared" si="0"/>
        <v>46</v>
      </c>
      <c r="AY2" s="97">
        <f t="shared" si="0"/>
        <v>47</v>
      </c>
      <c r="AZ2" s="97">
        <f t="shared" si="0"/>
        <v>48</v>
      </c>
      <c r="BA2" s="97">
        <f t="shared" si="0"/>
        <v>49</v>
      </c>
      <c r="BB2" s="97">
        <f t="shared" si="0"/>
        <v>50</v>
      </c>
      <c r="BC2" s="97">
        <f t="shared" si="0"/>
        <v>51</v>
      </c>
      <c r="BD2" s="97">
        <f t="shared" si="0"/>
        <v>52</v>
      </c>
      <c r="BE2" s="97">
        <f t="shared" si="0"/>
        <v>53</v>
      </c>
      <c r="BF2" s="97">
        <f t="shared" si="0"/>
        <v>54</v>
      </c>
      <c r="BG2" s="97">
        <f t="shared" si="0"/>
        <v>55</v>
      </c>
      <c r="BH2" s="97">
        <f t="shared" si="0"/>
        <v>56</v>
      </c>
      <c r="BI2" s="97">
        <f t="shared" si="0"/>
        <v>57</v>
      </c>
      <c r="BJ2" s="97">
        <f t="shared" si="0"/>
        <v>58</v>
      </c>
      <c r="BK2" s="97">
        <f t="shared" si="0"/>
        <v>59</v>
      </c>
      <c r="BL2" s="97">
        <f t="shared" si="0"/>
        <v>60</v>
      </c>
      <c r="BM2" s="97">
        <f t="shared" si="0"/>
        <v>61</v>
      </c>
      <c r="BN2" s="97">
        <f t="shared" si="0"/>
        <v>62</v>
      </c>
      <c r="BO2" s="97">
        <f t="shared" si="0"/>
        <v>63</v>
      </c>
      <c r="BP2" s="97">
        <f t="shared" si="0"/>
        <v>64</v>
      </c>
      <c r="BQ2" s="97">
        <f t="shared" si="0"/>
        <v>65</v>
      </c>
      <c r="BR2" s="97">
        <f t="shared" ref="BR2:EC2" si="1">+BQ2+1</f>
        <v>66</v>
      </c>
      <c r="BS2" s="97">
        <f t="shared" si="1"/>
        <v>67</v>
      </c>
      <c r="BT2" s="97">
        <f t="shared" si="1"/>
        <v>68</v>
      </c>
      <c r="BU2" s="97">
        <f t="shared" si="1"/>
        <v>69</v>
      </c>
      <c r="BV2" s="97">
        <f t="shared" si="1"/>
        <v>70</v>
      </c>
      <c r="BW2" s="97">
        <f t="shared" si="1"/>
        <v>71</v>
      </c>
      <c r="BX2" s="97">
        <f t="shared" si="1"/>
        <v>72</v>
      </c>
      <c r="BY2" s="97">
        <f t="shared" si="1"/>
        <v>73</v>
      </c>
      <c r="BZ2" s="97">
        <f t="shared" si="1"/>
        <v>74</v>
      </c>
      <c r="CA2" s="97">
        <f t="shared" si="1"/>
        <v>75</v>
      </c>
      <c r="CB2" s="97">
        <f t="shared" si="1"/>
        <v>76</v>
      </c>
      <c r="CC2" s="97">
        <f t="shared" si="1"/>
        <v>77</v>
      </c>
      <c r="CD2" s="97">
        <f t="shared" si="1"/>
        <v>78</v>
      </c>
      <c r="CE2" s="97">
        <f t="shared" si="1"/>
        <v>79</v>
      </c>
      <c r="CF2" s="97">
        <f t="shared" si="1"/>
        <v>80</v>
      </c>
      <c r="CG2" s="97">
        <f t="shared" si="1"/>
        <v>81</v>
      </c>
      <c r="CH2" s="97">
        <f t="shared" si="1"/>
        <v>82</v>
      </c>
      <c r="CI2" s="97">
        <f t="shared" si="1"/>
        <v>83</v>
      </c>
      <c r="CJ2" s="97">
        <f t="shared" si="1"/>
        <v>84</v>
      </c>
      <c r="CK2" s="97">
        <f t="shared" si="1"/>
        <v>85</v>
      </c>
      <c r="CL2" s="97">
        <f t="shared" si="1"/>
        <v>86</v>
      </c>
      <c r="CM2" s="97">
        <f t="shared" si="1"/>
        <v>87</v>
      </c>
      <c r="CN2" s="97">
        <f t="shared" si="1"/>
        <v>88</v>
      </c>
      <c r="CO2" s="97">
        <f t="shared" si="1"/>
        <v>89</v>
      </c>
      <c r="CP2" s="97">
        <f t="shared" si="1"/>
        <v>90</v>
      </c>
      <c r="CQ2" s="97">
        <f t="shared" si="1"/>
        <v>91</v>
      </c>
      <c r="CR2" s="97">
        <f t="shared" si="1"/>
        <v>92</v>
      </c>
      <c r="CS2" s="97">
        <f t="shared" si="1"/>
        <v>93</v>
      </c>
      <c r="CT2" s="97">
        <f t="shared" si="1"/>
        <v>94</v>
      </c>
      <c r="CU2" s="97">
        <f t="shared" si="1"/>
        <v>95</v>
      </c>
      <c r="CV2" s="97">
        <f t="shared" si="1"/>
        <v>96</v>
      </c>
      <c r="CW2" s="97">
        <f t="shared" si="1"/>
        <v>97</v>
      </c>
      <c r="CX2" s="97">
        <f t="shared" si="1"/>
        <v>98</v>
      </c>
      <c r="CY2" s="97">
        <f t="shared" si="1"/>
        <v>99</v>
      </c>
      <c r="CZ2" s="97">
        <f t="shared" si="1"/>
        <v>100</v>
      </c>
      <c r="DA2" s="97">
        <f t="shared" si="1"/>
        <v>101</v>
      </c>
      <c r="DB2" s="97">
        <f t="shared" si="1"/>
        <v>102</v>
      </c>
      <c r="DC2" s="97">
        <f t="shared" si="1"/>
        <v>103</v>
      </c>
      <c r="DD2" s="97">
        <f t="shared" si="1"/>
        <v>104</v>
      </c>
      <c r="DE2" s="97">
        <f t="shared" si="1"/>
        <v>105</v>
      </c>
      <c r="DF2" s="97">
        <f t="shared" si="1"/>
        <v>106</v>
      </c>
      <c r="DG2" s="97">
        <f t="shared" si="1"/>
        <v>107</v>
      </c>
      <c r="DH2" s="97">
        <f t="shared" si="1"/>
        <v>108</v>
      </c>
      <c r="DI2" s="97">
        <f t="shared" si="1"/>
        <v>109</v>
      </c>
      <c r="DJ2" s="97">
        <f t="shared" si="1"/>
        <v>110</v>
      </c>
      <c r="DK2" s="97">
        <f t="shared" si="1"/>
        <v>111</v>
      </c>
      <c r="DL2" s="97">
        <f t="shared" si="1"/>
        <v>112</v>
      </c>
      <c r="DM2" s="97">
        <f t="shared" si="1"/>
        <v>113</v>
      </c>
      <c r="DN2" s="97">
        <f t="shared" si="1"/>
        <v>114</v>
      </c>
      <c r="DO2" s="97">
        <f t="shared" si="1"/>
        <v>115</v>
      </c>
      <c r="DP2" s="97">
        <f t="shared" si="1"/>
        <v>116</v>
      </c>
      <c r="DQ2" s="97">
        <f t="shared" si="1"/>
        <v>117</v>
      </c>
      <c r="DR2" s="97">
        <f t="shared" si="1"/>
        <v>118</v>
      </c>
      <c r="DS2" s="97">
        <f t="shared" si="1"/>
        <v>119</v>
      </c>
      <c r="DT2" s="97">
        <f t="shared" si="1"/>
        <v>120</v>
      </c>
      <c r="DU2" s="97">
        <f t="shared" si="1"/>
        <v>121</v>
      </c>
      <c r="DV2" s="97">
        <f t="shared" si="1"/>
        <v>122</v>
      </c>
      <c r="DW2" s="97">
        <f t="shared" si="1"/>
        <v>123</v>
      </c>
      <c r="DX2" s="97">
        <f t="shared" si="1"/>
        <v>124</v>
      </c>
      <c r="DY2" s="97">
        <f t="shared" si="1"/>
        <v>125</v>
      </c>
      <c r="DZ2" s="97">
        <f t="shared" si="1"/>
        <v>126</v>
      </c>
      <c r="EA2" s="97">
        <f t="shared" si="1"/>
        <v>127</v>
      </c>
      <c r="EB2" s="97">
        <f t="shared" si="1"/>
        <v>128</v>
      </c>
      <c r="EC2" s="97">
        <f t="shared" si="1"/>
        <v>129</v>
      </c>
      <c r="ED2" s="97">
        <f t="shared" ref="ED2:GO2" si="2">+EC2+1</f>
        <v>130</v>
      </c>
      <c r="EE2" s="97">
        <f t="shared" si="2"/>
        <v>131</v>
      </c>
      <c r="EF2" s="97">
        <f t="shared" si="2"/>
        <v>132</v>
      </c>
      <c r="EG2" s="97">
        <f t="shared" si="2"/>
        <v>133</v>
      </c>
      <c r="EH2" s="97">
        <f t="shared" si="2"/>
        <v>134</v>
      </c>
      <c r="EI2" s="97">
        <f t="shared" si="2"/>
        <v>135</v>
      </c>
      <c r="EJ2" s="97">
        <f t="shared" si="2"/>
        <v>136</v>
      </c>
      <c r="EK2" s="97">
        <f t="shared" si="2"/>
        <v>137</v>
      </c>
      <c r="EL2" s="97">
        <f t="shared" si="2"/>
        <v>138</v>
      </c>
      <c r="EM2" s="97">
        <f t="shared" si="2"/>
        <v>139</v>
      </c>
      <c r="EN2" s="97">
        <f t="shared" si="2"/>
        <v>140</v>
      </c>
      <c r="EO2" s="97">
        <f t="shared" si="2"/>
        <v>141</v>
      </c>
      <c r="EP2" s="97">
        <f t="shared" si="2"/>
        <v>142</v>
      </c>
      <c r="EQ2" s="97">
        <f t="shared" si="2"/>
        <v>143</v>
      </c>
      <c r="ER2" s="97">
        <f t="shared" si="2"/>
        <v>144</v>
      </c>
      <c r="ES2" s="97">
        <f t="shared" si="2"/>
        <v>145</v>
      </c>
      <c r="ET2" s="97">
        <f t="shared" si="2"/>
        <v>146</v>
      </c>
      <c r="EU2" s="97">
        <f t="shared" si="2"/>
        <v>147</v>
      </c>
      <c r="EV2" s="97">
        <f t="shared" si="2"/>
        <v>148</v>
      </c>
      <c r="EW2" s="97">
        <f t="shared" si="2"/>
        <v>149</v>
      </c>
      <c r="EX2" s="97">
        <f t="shared" si="2"/>
        <v>150</v>
      </c>
      <c r="EY2" s="97">
        <f t="shared" si="2"/>
        <v>151</v>
      </c>
      <c r="EZ2" s="97">
        <f t="shared" si="2"/>
        <v>152</v>
      </c>
      <c r="FA2" s="97">
        <f t="shared" si="2"/>
        <v>153</v>
      </c>
      <c r="FB2" s="97">
        <f t="shared" si="2"/>
        <v>154</v>
      </c>
      <c r="FC2" s="97">
        <f t="shared" si="2"/>
        <v>155</v>
      </c>
      <c r="FD2" s="97">
        <f t="shared" si="2"/>
        <v>156</v>
      </c>
      <c r="FE2" s="97">
        <f t="shared" si="2"/>
        <v>157</v>
      </c>
      <c r="FF2" s="97">
        <f t="shared" si="2"/>
        <v>158</v>
      </c>
      <c r="FG2" s="97">
        <f t="shared" si="2"/>
        <v>159</v>
      </c>
      <c r="FH2" s="97">
        <f t="shared" si="2"/>
        <v>160</v>
      </c>
      <c r="FI2" s="97">
        <f t="shared" si="2"/>
        <v>161</v>
      </c>
      <c r="FJ2" s="97">
        <f t="shared" si="2"/>
        <v>162</v>
      </c>
      <c r="FK2" s="97">
        <f t="shared" si="2"/>
        <v>163</v>
      </c>
      <c r="FL2" s="97">
        <f t="shared" si="2"/>
        <v>164</v>
      </c>
      <c r="FM2" s="97">
        <f t="shared" si="2"/>
        <v>165</v>
      </c>
      <c r="FN2" s="97">
        <f t="shared" si="2"/>
        <v>166</v>
      </c>
      <c r="FO2" s="97">
        <f t="shared" si="2"/>
        <v>167</v>
      </c>
      <c r="FP2" s="97">
        <f t="shared" si="2"/>
        <v>168</v>
      </c>
      <c r="FQ2" s="97">
        <f t="shared" si="2"/>
        <v>169</v>
      </c>
      <c r="FR2" s="97">
        <f t="shared" si="2"/>
        <v>170</v>
      </c>
      <c r="FS2" s="97">
        <f t="shared" si="2"/>
        <v>171</v>
      </c>
      <c r="FT2" s="97">
        <f t="shared" si="2"/>
        <v>172</v>
      </c>
      <c r="FU2" s="97">
        <f t="shared" si="2"/>
        <v>173</v>
      </c>
      <c r="FV2" s="97">
        <f t="shared" si="2"/>
        <v>174</v>
      </c>
      <c r="FW2" s="97">
        <f t="shared" si="2"/>
        <v>175</v>
      </c>
      <c r="FX2" s="97">
        <f t="shared" si="2"/>
        <v>176</v>
      </c>
      <c r="FY2" s="97">
        <f t="shared" si="2"/>
        <v>177</v>
      </c>
      <c r="FZ2" s="97">
        <f t="shared" si="2"/>
        <v>178</v>
      </c>
      <c r="GA2" s="97">
        <f t="shared" si="2"/>
        <v>179</v>
      </c>
      <c r="GB2" s="97">
        <f t="shared" si="2"/>
        <v>180</v>
      </c>
      <c r="GC2" s="97">
        <f t="shared" si="2"/>
        <v>181</v>
      </c>
      <c r="GD2" s="97">
        <f t="shared" si="2"/>
        <v>182</v>
      </c>
      <c r="GE2" s="97">
        <f t="shared" si="2"/>
        <v>183</v>
      </c>
      <c r="GF2" s="97">
        <f t="shared" si="2"/>
        <v>184</v>
      </c>
      <c r="GG2" s="97">
        <f t="shared" si="2"/>
        <v>185</v>
      </c>
      <c r="GH2" s="97">
        <f t="shared" si="2"/>
        <v>186</v>
      </c>
      <c r="GI2" s="97">
        <f t="shared" si="2"/>
        <v>187</v>
      </c>
      <c r="GJ2" s="97">
        <f t="shared" si="2"/>
        <v>188</v>
      </c>
      <c r="GK2" s="97">
        <f t="shared" si="2"/>
        <v>189</v>
      </c>
      <c r="GL2" s="97">
        <f t="shared" si="2"/>
        <v>190</v>
      </c>
      <c r="GM2" s="97">
        <f t="shared" si="2"/>
        <v>191</v>
      </c>
      <c r="GN2" s="97">
        <f t="shared" si="2"/>
        <v>192</v>
      </c>
      <c r="GO2" s="97">
        <f t="shared" si="2"/>
        <v>193</v>
      </c>
      <c r="GP2" s="97">
        <f t="shared" ref="GP2:IV2" si="3">+GO2+1</f>
        <v>194</v>
      </c>
      <c r="GQ2" s="97">
        <f t="shared" si="3"/>
        <v>195</v>
      </c>
      <c r="GR2" s="97">
        <f t="shared" si="3"/>
        <v>196</v>
      </c>
      <c r="GS2" s="97">
        <f t="shared" si="3"/>
        <v>197</v>
      </c>
      <c r="GT2" s="97">
        <f t="shared" si="3"/>
        <v>198</v>
      </c>
      <c r="GU2" s="97">
        <f t="shared" si="3"/>
        <v>199</v>
      </c>
      <c r="GV2" s="97">
        <f t="shared" si="3"/>
        <v>200</v>
      </c>
      <c r="GW2" s="97">
        <f t="shared" si="3"/>
        <v>201</v>
      </c>
      <c r="GX2" s="97">
        <f t="shared" si="3"/>
        <v>202</v>
      </c>
      <c r="GY2" s="97">
        <f t="shared" si="3"/>
        <v>203</v>
      </c>
      <c r="GZ2" s="97">
        <f t="shared" si="3"/>
        <v>204</v>
      </c>
      <c r="HA2" s="97">
        <f t="shared" si="3"/>
        <v>205</v>
      </c>
      <c r="HB2" s="97">
        <f t="shared" si="3"/>
        <v>206</v>
      </c>
      <c r="HC2" s="97">
        <f t="shared" si="3"/>
        <v>207</v>
      </c>
      <c r="HD2" s="97">
        <f t="shared" si="3"/>
        <v>208</v>
      </c>
      <c r="HE2" s="97">
        <f t="shared" si="3"/>
        <v>209</v>
      </c>
      <c r="HF2" s="97">
        <f t="shared" si="3"/>
        <v>210</v>
      </c>
      <c r="HG2" s="97">
        <f t="shared" si="3"/>
        <v>211</v>
      </c>
      <c r="HH2" s="97">
        <f t="shared" si="3"/>
        <v>212</v>
      </c>
      <c r="HI2" s="97">
        <f t="shared" si="3"/>
        <v>213</v>
      </c>
      <c r="HJ2" s="97">
        <f t="shared" si="3"/>
        <v>214</v>
      </c>
      <c r="HK2" s="97">
        <f t="shared" si="3"/>
        <v>215</v>
      </c>
      <c r="HL2" s="97">
        <f t="shared" si="3"/>
        <v>216</v>
      </c>
      <c r="HM2" s="97">
        <f t="shared" si="3"/>
        <v>217</v>
      </c>
      <c r="HN2" s="97">
        <f t="shared" si="3"/>
        <v>218</v>
      </c>
      <c r="HO2" s="97">
        <f t="shared" si="3"/>
        <v>219</v>
      </c>
      <c r="HP2" s="97">
        <f t="shared" si="3"/>
        <v>220</v>
      </c>
      <c r="HQ2" s="97">
        <f t="shared" si="3"/>
        <v>221</v>
      </c>
      <c r="HR2" s="97">
        <f t="shared" si="3"/>
        <v>222</v>
      </c>
      <c r="HS2" s="97">
        <f t="shared" si="3"/>
        <v>223</v>
      </c>
      <c r="HT2" s="97">
        <f t="shared" si="3"/>
        <v>224</v>
      </c>
      <c r="HU2" s="97">
        <f t="shared" si="3"/>
        <v>225</v>
      </c>
      <c r="HV2" s="97">
        <f t="shared" si="3"/>
        <v>226</v>
      </c>
      <c r="HW2" s="97">
        <f t="shared" si="3"/>
        <v>227</v>
      </c>
      <c r="HX2" s="97">
        <f t="shared" si="3"/>
        <v>228</v>
      </c>
      <c r="HY2" s="97">
        <f t="shared" si="3"/>
        <v>229</v>
      </c>
      <c r="HZ2" s="97">
        <f t="shared" si="3"/>
        <v>230</v>
      </c>
      <c r="IA2" s="97">
        <f t="shared" si="3"/>
        <v>231</v>
      </c>
      <c r="IB2" s="97">
        <f t="shared" si="3"/>
        <v>232</v>
      </c>
      <c r="IC2" s="97">
        <f t="shared" si="3"/>
        <v>233</v>
      </c>
      <c r="ID2" s="97">
        <f t="shared" si="3"/>
        <v>234</v>
      </c>
      <c r="IE2" s="97">
        <f t="shared" si="3"/>
        <v>235</v>
      </c>
      <c r="IF2" s="97">
        <f t="shared" si="3"/>
        <v>236</v>
      </c>
      <c r="IG2" s="97">
        <f t="shared" si="3"/>
        <v>237</v>
      </c>
      <c r="IH2" s="97">
        <f t="shared" si="3"/>
        <v>238</v>
      </c>
      <c r="II2" s="97">
        <f t="shared" si="3"/>
        <v>239</v>
      </c>
      <c r="IJ2" s="97">
        <f t="shared" si="3"/>
        <v>240</v>
      </c>
      <c r="IK2" s="97">
        <f t="shared" si="3"/>
        <v>241</v>
      </c>
      <c r="IL2" s="97">
        <f t="shared" si="3"/>
        <v>242</v>
      </c>
      <c r="IM2" s="97">
        <f t="shared" si="3"/>
        <v>243</v>
      </c>
      <c r="IN2" s="97">
        <f t="shared" si="3"/>
        <v>244</v>
      </c>
      <c r="IO2" s="97">
        <f t="shared" si="3"/>
        <v>245</v>
      </c>
      <c r="IP2" s="97">
        <f t="shared" si="3"/>
        <v>246</v>
      </c>
      <c r="IQ2" s="97">
        <f t="shared" si="3"/>
        <v>247</v>
      </c>
      <c r="IR2" s="97">
        <f t="shared" si="3"/>
        <v>248</v>
      </c>
      <c r="IS2" s="97">
        <f t="shared" si="3"/>
        <v>249</v>
      </c>
      <c r="IT2" s="97">
        <f t="shared" si="3"/>
        <v>250</v>
      </c>
      <c r="IU2" s="97">
        <f t="shared" si="3"/>
        <v>251</v>
      </c>
      <c r="IV2" s="97">
        <f t="shared" si="3"/>
        <v>252</v>
      </c>
    </row>
    <row r="3" spans="1:256" ht="15.6" x14ac:dyDescent="0.3">
      <c r="A3" s="80"/>
      <c r="B3" s="86"/>
      <c r="C3" s="9" t="s">
        <v>42</v>
      </c>
      <c r="D3" s="30"/>
      <c r="E3" s="1"/>
      <c r="F3" s="1"/>
      <c r="G3" s="1"/>
      <c r="H3" s="1"/>
      <c r="I3" s="1"/>
      <c r="J3" s="87"/>
      <c r="K3" s="80"/>
    </row>
    <row r="4" spans="1:256" x14ac:dyDescent="0.25">
      <c r="A4" s="80"/>
      <c r="B4" s="86"/>
      <c r="C4" s="50" t="s">
        <v>257</v>
      </c>
      <c r="D4" s="13"/>
      <c r="E4" s="13"/>
      <c r="F4" s="13"/>
      <c r="G4" s="13"/>
      <c r="H4" s="13"/>
      <c r="I4" s="13"/>
      <c r="J4" s="87"/>
      <c r="K4" s="80"/>
    </row>
    <row r="5" spans="1:256" x14ac:dyDescent="0.25">
      <c r="A5" s="80"/>
      <c r="B5" s="86"/>
      <c r="C5" s="147" t="s">
        <v>43</v>
      </c>
      <c r="D5" s="410">
        <f>D59-D6-D8-D9-D10-D11-D41-D13-D16-D19-D22-D25-D28-D31-D34-D37-D42</f>
        <v>-21697998.320337303</v>
      </c>
      <c r="E5" s="406">
        <f>'Flujo de Caja'!E47</f>
        <v>30675569.769105099</v>
      </c>
      <c r="F5" s="406">
        <f>'Flujo de Caja'!F47</f>
        <v>210297195.66049087</v>
      </c>
      <c r="G5" s="406">
        <f>'Flujo de Caja'!G47</f>
        <v>403075718.73672426</v>
      </c>
      <c r="H5" s="406">
        <f>'Flujo de Caja'!H47</f>
        <v>771432530.09703708</v>
      </c>
      <c r="I5" s="406">
        <f>'Flujo de Caja'!I47</f>
        <v>1039351524.1549261</v>
      </c>
      <c r="J5" s="87"/>
      <c r="K5" s="80"/>
    </row>
    <row r="6" spans="1:256" x14ac:dyDescent="0.25">
      <c r="A6" s="80"/>
      <c r="B6" s="86"/>
      <c r="C6" s="147" t="s">
        <v>410</v>
      </c>
      <c r="D6" s="410">
        <f>'Capital de Trabajo'!E8</f>
        <v>0</v>
      </c>
      <c r="E6" s="406">
        <f>'Capital de Trabajo'!F8</f>
        <v>0</v>
      </c>
      <c r="F6" s="406">
        <f>'Capital de Trabajo'!G8</f>
        <v>0</v>
      </c>
      <c r="G6" s="406">
        <f>'Capital de Trabajo'!H8</f>
        <v>0</v>
      </c>
      <c r="H6" s="406">
        <f>'Capital de Trabajo'!I8</f>
        <v>0</v>
      </c>
      <c r="I6" s="406">
        <f>'Capital de Trabajo'!J8</f>
        <v>0</v>
      </c>
      <c r="J6" s="87"/>
      <c r="K6" s="80"/>
    </row>
    <row r="7" spans="1:256" x14ac:dyDescent="0.25">
      <c r="A7" s="80"/>
      <c r="B7" s="86"/>
      <c r="C7" s="147" t="s">
        <v>411</v>
      </c>
      <c r="D7" s="410"/>
      <c r="E7" s="406">
        <f>-'Capital de Trabajo'!F11</f>
        <v>0</v>
      </c>
      <c r="F7" s="406">
        <f>-'Capital de Trabajo'!G11</f>
        <v>0</v>
      </c>
      <c r="G7" s="406">
        <f>-'Capital de Trabajo'!H11</f>
        <v>0</v>
      </c>
      <c r="H7" s="406">
        <f>-'Capital de Trabajo'!I11</f>
        <v>0</v>
      </c>
      <c r="I7" s="406">
        <f>-'Capital de Trabajo'!J11</f>
        <v>0</v>
      </c>
      <c r="J7" s="87"/>
      <c r="K7" s="80"/>
    </row>
    <row r="8" spans="1:256" s="5" customFormat="1" hidden="1" x14ac:dyDescent="0.25">
      <c r="A8" s="94"/>
      <c r="B8" s="99"/>
      <c r="C8" s="148"/>
      <c r="D8" s="410"/>
      <c r="E8" s="406"/>
      <c r="F8" s="406"/>
      <c r="G8" s="406"/>
      <c r="H8" s="406"/>
      <c r="I8" s="406"/>
      <c r="J8" s="100"/>
      <c r="K8" s="94"/>
    </row>
    <row r="9" spans="1:256" s="5" customFormat="1" hidden="1" x14ac:dyDescent="0.25">
      <c r="A9" s="94"/>
      <c r="B9" s="99"/>
      <c r="C9" s="148"/>
      <c r="D9" s="410"/>
      <c r="E9" s="410"/>
      <c r="F9" s="410"/>
      <c r="G9" s="410"/>
      <c r="H9" s="410"/>
      <c r="I9" s="410"/>
      <c r="J9" s="100"/>
      <c r="K9" s="94"/>
    </row>
    <row r="10" spans="1:256" s="5" customFormat="1" x14ac:dyDescent="0.25">
      <c r="A10" s="94"/>
      <c r="B10" s="99"/>
      <c r="C10" s="148" t="s">
        <v>129</v>
      </c>
      <c r="D10" s="410">
        <f>'Capital de Trabajo'!E15</f>
        <v>21697998.320337303</v>
      </c>
      <c r="E10" s="410">
        <f>'Capital de Trabajo'!F15</f>
        <v>21697998.320337303</v>
      </c>
      <c r="F10" s="410">
        <f>'Capital de Trabajo'!G15</f>
        <v>39667639.850760914</v>
      </c>
      <c r="G10" s="410">
        <f>'Capital de Trabajo'!H15</f>
        <v>40878063.783084504</v>
      </c>
      <c r="H10" s="410">
        <f>'Capital de Trabajo'!I15</f>
        <v>60295375.616212487</v>
      </c>
      <c r="I10" s="410">
        <f>'Capital de Trabajo'!J15</f>
        <v>62085585.68819885</v>
      </c>
      <c r="J10" s="100"/>
      <c r="K10" s="94"/>
    </row>
    <row r="11" spans="1:256" s="5" customFormat="1" x14ac:dyDescent="0.25">
      <c r="A11" s="94"/>
      <c r="B11" s="99"/>
      <c r="C11" s="148" t="s">
        <v>409</v>
      </c>
      <c r="D11" s="410"/>
      <c r="E11" s="410">
        <f>'Capital de Trabajo'!F25</f>
        <v>0</v>
      </c>
      <c r="F11" s="410">
        <f>'Capital de Trabajo'!G25</f>
        <v>0</v>
      </c>
      <c r="G11" s="410">
        <f>'Capital de Trabajo'!H25</f>
        <v>0</v>
      </c>
      <c r="H11" s="410">
        <f>'Capital de Trabajo'!I25</f>
        <v>0</v>
      </c>
      <c r="I11" s="410">
        <f>'Capital de Trabajo'!J25</f>
        <v>0</v>
      </c>
      <c r="J11" s="100"/>
      <c r="K11" s="94"/>
    </row>
    <row r="12" spans="1:256" s="12" customFormat="1" ht="13.5" customHeight="1" x14ac:dyDescent="0.25">
      <c r="A12" s="102"/>
      <c r="B12" s="106"/>
      <c r="C12" s="150" t="s">
        <v>44</v>
      </c>
      <c r="D12" s="409">
        <f t="shared" ref="D12:I12" si="4">SUM(D5:D11)</f>
        <v>0</v>
      </c>
      <c r="E12" s="409">
        <f t="shared" si="4"/>
        <v>52373568.089442402</v>
      </c>
      <c r="F12" s="409">
        <f t="shared" si="4"/>
        <v>249964835.51125178</v>
      </c>
      <c r="G12" s="409">
        <f t="shared" si="4"/>
        <v>443953782.51980877</v>
      </c>
      <c r="H12" s="409">
        <f t="shared" si="4"/>
        <v>831727905.71324956</v>
      </c>
      <c r="I12" s="409">
        <f t="shared" si="4"/>
        <v>1101437109.8431249</v>
      </c>
      <c r="J12" s="107"/>
      <c r="K12" s="102"/>
    </row>
    <row r="13" spans="1:256" x14ac:dyDescent="0.25">
      <c r="A13" s="80"/>
      <c r="B13" s="86"/>
      <c r="C13" s="148" t="s">
        <v>115</v>
      </c>
      <c r="D13" s="410">
        <f>'Estructura de Capital'!E8</f>
        <v>0</v>
      </c>
      <c r="E13" s="406">
        <f>'Estructura de Capital'!F8+Terrenos!C18</f>
        <v>0</v>
      </c>
      <c r="F13" s="406">
        <f>'Estructura de Capital'!G8+Terrenos!D18</f>
        <v>0</v>
      </c>
      <c r="G13" s="406">
        <f>'Estructura de Capital'!H8+Terrenos!E18</f>
        <v>0</v>
      </c>
      <c r="H13" s="406">
        <f>'Estructura de Capital'!I8+Terrenos!F18</f>
        <v>0</v>
      </c>
      <c r="I13" s="406">
        <f>'Estructura de Capital'!J8+Terrenos!G18</f>
        <v>0</v>
      </c>
      <c r="J13" s="87"/>
      <c r="K13" s="80"/>
    </row>
    <row r="14" spans="1:256" ht="12.75" hidden="1" customHeight="1" outlineLevel="1" x14ac:dyDescent="0.25">
      <c r="A14" s="80"/>
      <c r="B14" s="86"/>
      <c r="C14" s="149" t="s">
        <v>117</v>
      </c>
      <c r="D14" s="410">
        <f>'Estructura de Capital'!E11</f>
        <v>0</v>
      </c>
      <c r="E14" s="406">
        <f>'Estructura de Capital'!F11+Construcciones!C17</f>
        <v>0</v>
      </c>
      <c r="F14" s="406">
        <f>'Estructura de Capital'!G11+Construcciones!D17</f>
        <v>0</v>
      </c>
      <c r="G14" s="406">
        <f>'Estructura de Capital'!H11+Construcciones!E17</f>
        <v>0</v>
      </c>
      <c r="H14" s="406">
        <f>'Estructura de Capital'!I11+Construcciones!F17</f>
        <v>0</v>
      </c>
      <c r="I14" s="406">
        <f>'Estructura de Capital'!J11+Construcciones!G17</f>
        <v>0</v>
      </c>
      <c r="J14" s="87"/>
      <c r="K14" s="80"/>
    </row>
    <row r="15" spans="1:256" ht="12.75" hidden="1" customHeight="1" outlineLevel="1" x14ac:dyDescent="0.25">
      <c r="A15" s="80"/>
      <c r="B15" s="86"/>
      <c r="C15" s="149" t="s">
        <v>45</v>
      </c>
      <c r="D15" s="410"/>
      <c r="E15" s="406">
        <f>-'Estructura de Capital'!F15-Construcciones!C38</f>
        <v>0</v>
      </c>
      <c r="F15" s="406">
        <f>-'Estructura de Capital'!G15-Construcciones!D38</f>
        <v>0</v>
      </c>
      <c r="G15" s="406">
        <f>-'Estructura de Capital'!H15-Construcciones!E38</f>
        <v>0</v>
      </c>
      <c r="H15" s="406">
        <f>-'Estructura de Capital'!I15-Construcciones!F38</f>
        <v>0</v>
      </c>
      <c r="I15" s="406">
        <f>-'Estructura de Capital'!J15-Construcciones!G38</f>
        <v>0</v>
      </c>
      <c r="J15" s="87"/>
      <c r="K15" s="80"/>
    </row>
    <row r="16" spans="1:256" collapsed="1" x14ac:dyDescent="0.25">
      <c r="A16" s="80"/>
      <c r="B16" s="86"/>
      <c r="C16" s="148" t="s">
        <v>117</v>
      </c>
      <c r="D16" s="406">
        <f t="shared" ref="D16:I16" si="5">D14+D15</f>
        <v>0</v>
      </c>
      <c r="E16" s="406">
        <f t="shared" si="5"/>
        <v>0</v>
      </c>
      <c r="F16" s="406">
        <f t="shared" si="5"/>
        <v>0</v>
      </c>
      <c r="G16" s="406">
        <f t="shared" si="5"/>
        <v>0</v>
      </c>
      <c r="H16" s="406">
        <f t="shared" si="5"/>
        <v>0</v>
      </c>
      <c r="I16" s="406">
        <f t="shared" si="5"/>
        <v>0</v>
      </c>
      <c r="J16" s="87"/>
      <c r="K16" s="80"/>
    </row>
    <row r="17" spans="1:11" ht="12.75" hidden="1" customHeight="1" x14ac:dyDescent="0.25">
      <c r="A17" s="80"/>
      <c r="B17" s="86"/>
      <c r="C17" s="221" t="s">
        <v>291</v>
      </c>
      <c r="D17" s="406">
        <f>+'Estructura de Capital'!E18</f>
        <v>0</v>
      </c>
      <c r="E17" s="406">
        <f>+'Estructura de Capital'!F18+'Adecuaciones y Mejoras'!C17</f>
        <v>0</v>
      </c>
      <c r="F17" s="406">
        <f>+'Estructura de Capital'!G18+'Adecuaciones y Mejoras'!D17</f>
        <v>0</v>
      </c>
      <c r="G17" s="406">
        <f>+'Estructura de Capital'!H18+'Adecuaciones y Mejoras'!E17</f>
        <v>0</v>
      </c>
      <c r="H17" s="406">
        <f>+'Estructura de Capital'!I18+'Adecuaciones y Mejoras'!F17</f>
        <v>0</v>
      </c>
      <c r="I17" s="406">
        <f>+'Estructura de Capital'!J18+'Adecuaciones y Mejoras'!G17</f>
        <v>0</v>
      </c>
      <c r="J17" s="87"/>
      <c r="K17" s="80"/>
    </row>
    <row r="18" spans="1:11" ht="12.75" hidden="1" customHeight="1" x14ac:dyDescent="0.25">
      <c r="A18" s="80"/>
      <c r="B18" s="86"/>
      <c r="C18" s="221" t="s">
        <v>299</v>
      </c>
      <c r="D18" s="406"/>
      <c r="E18" s="406">
        <f>-'Estructura de Capital'!F22-'Adecuaciones y Mejoras'!C38</f>
        <v>0</v>
      </c>
      <c r="F18" s="406">
        <f>-'Estructura de Capital'!G22-'Adecuaciones y Mejoras'!D38</f>
        <v>0</v>
      </c>
      <c r="G18" s="406">
        <f>-'Estructura de Capital'!H22-'Adecuaciones y Mejoras'!E38</f>
        <v>0</v>
      </c>
      <c r="H18" s="406">
        <f>-'Estructura de Capital'!I22-'Adecuaciones y Mejoras'!F38</f>
        <v>0</v>
      </c>
      <c r="I18" s="406">
        <f>-'Estructura de Capital'!J22-'Adecuaciones y Mejoras'!G38</f>
        <v>0</v>
      </c>
      <c r="J18" s="87"/>
      <c r="K18" s="80"/>
    </row>
    <row r="19" spans="1:11" x14ac:dyDescent="0.25">
      <c r="A19" s="80"/>
      <c r="B19" s="86"/>
      <c r="C19" s="257" t="s">
        <v>300</v>
      </c>
      <c r="D19" s="406">
        <f t="shared" ref="D19:I19" si="6">+D17+D18</f>
        <v>0</v>
      </c>
      <c r="E19" s="406">
        <f t="shared" si="6"/>
        <v>0</v>
      </c>
      <c r="F19" s="406">
        <f t="shared" si="6"/>
        <v>0</v>
      </c>
      <c r="G19" s="406">
        <f t="shared" si="6"/>
        <v>0</v>
      </c>
      <c r="H19" s="406">
        <f t="shared" si="6"/>
        <v>0</v>
      </c>
      <c r="I19" s="406">
        <f t="shared" si="6"/>
        <v>0</v>
      </c>
      <c r="J19" s="87"/>
      <c r="K19" s="80"/>
    </row>
    <row r="20" spans="1:11" ht="13.95" hidden="1" customHeight="1" outlineLevel="1" x14ac:dyDescent="0.25">
      <c r="A20" s="80"/>
      <c r="B20" s="86"/>
      <c r="C20" s="149" t="s">
        <v>118</v>
      </c>
      <c r="D20" s="410">
        <f>'Estructura de Capital'!E25</f>
        <v>36302393</v>
      </c>
      <c r="E20" s="406">
        <f>'Estructura de Capital'!F25+Maquinaria!C17</f>
        <v>36302393</v>
      </c>
      <c r="F20" s="406">
        <f>'Estructura de Capital'!G25+Maquinaria!D17</f>
        <v>36302393</v>
      </c>
      <c r="G20" s="406">
        <f>'Estructura de Capital'!H25+Maquinaria!E17</f>
        <v>36302393</v>
      </c>
      <c r="H20" s="406">
        <f>'Estructura de Capital'!I25+Maquinaria!F17</f>
        <v>36302393</v>
      </c>
      <c r="I20" s="406">
        <f>'Estructura de Capital'!J25+Maquinaria!G17</f>
        <v>36302393</v>
      </c>
      <c r="J20" s="87"/>
      <c r="K20" s="80"/>
    </row>
    <row r="21" spans="1:11" ht="12.75" hidden="1" customHeight="1" outlineLevel="1" x14ac:dyDescent="0.25">
      <c r="A21" s="80"/>
      <c r="B21" s="86"/>
      <c r="C21" s="149" t="s">
        <v>162</v>
      </c>
      <c r="D21" s="410"/>
      <c r="E21" s="406">
        <f>-'Estructura de Capital'!F29-Maquinaria!C38</f>
        <v>-3630239.3</v>
      </c>
      <c r="F21" s="406">
        <f>-'Estructura de Capital'!G29-Maquinaria!D38</f>
        <v>-7260478.5999999996</v>
      </c>
      <c r="G21" s="406">
        <f>-'Estructura de Capital'!H29-Maquinaria!E38</f>
        <v>-10890717.899999999</v>
      </c>
      <c r="H21" s="406">
        <f>-'Estructura de Capital'!I29-Maquinaria!F38</f>
        <v>-14520957.199999999</v>
      </c>
      <c r="I21" s="406">
        <f>-'Estructura de Capital'!J29-Maquinaria!G38</f>
        <v>-18151196.5</v>
      </c>
      <c r="J21" s="87"/>
      <c r="K21" s="80"/>
    </row>
    <row r="22" spans="1:11" collapsed="1" x14ac:dyDescent="0.25">
      <c r="A22" s="80"/>
      <c r="B22" s="86"/>
      <c r="C22" s="148" t="s">
        <v>118</v>
      </c>
      <c r="D22" s="406">
        <f>D20-D21</f>
        <v>36302393</v>
      </c>
      <c r="E22" s="406">
        <f>E20+E21</f>
        <v>32672153.699999999</v>
      </c>
      <c r="F22" s="406">
        <f>F20+F21</f>
        <v>29041914.399999999</v>
      </c>
      <c r="G22" s="406">
        <f>G20+G21</f>
        <v>25411675.100000001</v>
      </c>
      <c r="H22" s="406">
        <f>H20+H21</f>
        <v>21781435.800000001</v>
      </c>
      <c r="I22" s="406">
        <f>I20+I21</f>
        <v>18151196.5</v>
      </c>
      <c r="J22" s="87"/>
      <c r="K22" s="80"/>
    </row>
    <row r="23" spans="1:11" ht="12.75" hidden="1" customHeight="1" outlineLevel="1" x14ac:dyDescent="0.25">
      <c r="A23" s="80"/>
      <c r="B23" s="86"/>
      <c r="C23" s="149" t="s">
        <v>122</v>
      </c>
      <c r="D23" s="410">
        <f>'Estructura de Capital'!E32</f>
        <v>1000000</v>
      </c>
      <c r="E23" s="406">
        <f>'Estructura de Capital'!F32+Muebles!C17</f>
        <v>1000000</v>
      </c>
      <c r="F23" s="406">
        <f>'Estructura de Capital'!G32+Muebles!D17</f>
        <v>1000000</v>
      </c>
      <c r="G23" s="406">
        <f>'Estructura de Capital'!H32+Muebles!E17</f>
        <v>1000000</v>
      </c>
      <c r="H23" s="406">
        <f>'Estructura de Capital'!I32+Muebles!F17</f>
        <v>1000000</v>
      </c>
      <c r="I23" s="406">
        <f>'Estructura de Capital'!J32+Muebles!G17</f>
        <v>1000000</v>
      </c>
      <c r="J23" s="87"/>
      <c r="K23" s="80"/>
    </row>
    <row r="24" spans="1:11" ht="12.75" hidden="1" customHeight="1" outlineLevel="1" x14ac:dyDescent="0.25">
      <c r="A24" s="80"/>
      <c r="B24" s="86"/>
      <c r="C24" s="149" t="s">
        <v>162</v>
      </c>
      <c r="D24" s="410"/>
      <c r="E24" s="406">
        <f>-'Estructura de Capital'!F36-Muebles!C38</f>
        <v>-100000</v>
      </c>
      <c r="F24" s="406">
        <f>-'Estructura de Capital'!G36-Muebles!D38</f>
        <v>-200000</v>
      </c>
      <c r="G24" s="406">
        <f>-'Estructura de Capital'!H36-Muebles!E38</f>
        <v>-300000</v>
      </c>
      <c r="H24" s="406">
        <f>-'Estructura de Capital'!I36-Muebles!F38</f>
        <v>-400000</v>
      </c>
      <c r="I24" s="406">
        <f>-'Estructura de Capital'!J36-Muebles!G38</f>
        <v>-500000</v>
      </c>
      <c r="J24" s="87"/>
      <c r="K24" s="80"/>
    </row>
    <row r="25" spans="1:11" collapsed="1" x14ac:dyDescent="0.25">
      <c r="A25" s="80"/>
      <c r="B25" s="86"/>
      <c r="C25" s="148" t="s">
        <v>122</v>
      </c>
      <c r="D25" s="406">
        <f>D23-D24</f>
        <v>1000000</v>
      </c>
      <c r="E25" s="406">
        <f>E23+E24</f>
        <v>900000</v>
      </c>
      <c r="F25" s="406">
        <f>F23+F24</f>
        <v>800000</v>
      </c>
      <c r="G25" s="406">
        <f>G23+G24</f>
        <v>700000</v>
      </c>
      <c r="H25" s="406">
        <f>H23+H24</f>
        <v>600000</v>
      </c>
      <c r="I25" s="406">
        <f>I23+I24</f>
        <v>500000</v>
      </c>
      <c r="J25" s="87"/>
      <c r="K25" s="80"/>
    </row>
    <row r="26" spans="1:11" ht="12.75" hidden="1" customHeight="1" outlineLevel="1" x14ac:dyDescent="0.25">
      <c r="A26" s="80"/>
      <c r="B26" s="86"/>
      <c r="C26" s="149" t="s">
        <v>119</v>
      </c>
      <c r="D26" s="410">
        <f>'Estructura de Capital'!E39</f>
        <v>0</v>
      </c>
      <c r="E26" s="406">
        <f>'Estructura de Capital'!F39+Transporte!C17</f>
        <v>0</v>
      </c>
      <c r="F26" s="406">
        <f>'Estructura de Capital'!G39+Transporte!D17</f>
        <v>0</v>
      </c>
      <c r="G26" s="406">
        <f>'Estructura de Capital'!H39+Transporte!E17</f>
        <v>0</v>
      </c>
      <c r="H26" s="406">
        <f>'Estructura de Capital'!I39+Transporte!F17</f>
        <v>0</v>
      </c>
      <c r="I26" s="406">
        <f>'Estructura de Capital'!J39+Transporte!G17</f>
        <v>0</v>
      </c>
      <c r="J26" s="87"/>
      <c r="K26" s="80"/>
    </row>
    <row r="27" spans="1:11" ht="12.75" hidden="1" customHeight="1" outlineLevel="1" x14ac:dyDescent="0.25">
      <c r="A27" s="80"/>
      <c r="B27" s="86"/>
      <c r="C27" s="149" t="s">
        <v>162</v>
      </c>
      <c r="D27" s="410"/>
      <c r="E27" s="406">
        <f>-'Estructura de Capital'!F43-Transporte!C38</f>
        <v>0</v>
      </c>
      <c r="F27" s="406">
        <f>-'Estructura de Capital'!G43-Transporte!D38</f>
        <v>0</v>
      </c>
      <c r="G27" s="406">
        <f>-'Estructura de Capital'!H43-Transporte!E38</f>
        <v>0</v>
      </c>
      <c r="H27" s="406">
        <f>-'Estructura de Capital'!I43-Transporte!F38</f>
        <v>0</v>
      </c>
      <c r="I27" s="406">
        <f>-'Estructura de Capital'!J43-Transporte!G38</f>
        <v>0</v>
      </c>
      <c r="J27" s="87"/>
      <c r="K27" s="80"/>
    </row>
    <row r="28" spans="1:11" collapsed="1" x14ac:dyDescent="0.25">
      <c r="A28" s="80"/>
      <c r="B28" s="86"/>
      <c r="C28" s="148" t="s">
        <v>119</v>
      </c>
      <c r="D28" s="406">
        <f>D26-D27</f>
        <v>0</v>
      </c>
      <c r="E28" s="406">
        <f>E26+E27</f>
        <v>0</v>
      </c>
      <c r="F28" s="406">
        <f>F26+F27</f>
        <v>0</v>
      </c>
      <c r="G28" s="406">
        <f>G26+G27</f>
        <v>0</v>
      </c>
      <c r="H28" s="406">
        <f>H26+H27</f>
        <v>0</v>
      </c>
      <c r="I28" s="406">
        <f>I26+I27</f>
        <v>0</v>
      </c>
      <c r="J28" s="87"/>
      <c r="K28" s="80"/>
    </row>
    <row r="29" spans="1:11" ht="13.95" hidden="1" customHeight="1" outlineLevel="1" x14ac:dyDescent="0.25">
      <c r="A29" s="80"/>
      <c r="B29" s="86"/>
      <c r="C29" s="149" t="s">
        <v>124</v>
      </c>
      <c r="D29" s="410">
        <f>'Estructura de Capital'!E46</f>
        <v>0</v>
      </c>
      <c r="E29" s="406">
        <f>'Estructura de Capital'!F46+Oficina!C17</f>
        <v>0</v>
      </c>
      <c r="F29" s="406">
        <f>'Estructura de Capital'!G46+Oficina!D17</f>
        <v>0</v>
      </c>
      <c r="G29" s="406">
        <f>'Estructura de Capital'!H46+Oficina!E17</f>
        <v>0</v>
      </c>
      <c r="H29" s="406">
        <f>'Estructura de Capital'!I46+Oficina!F17</f>
        <v>0</v>
      </c>
      <c r="I29" s="406">
        <f>'Estructura de Capital'!J46+Oficina!G17</f>
        <v>0</v>
      </c>
      <c r="J29" s="87"/>
      <c r="K29" s="80"/>
    </row>
    <row r="30" spans="1:11" hidden="1" outlineLevel="1" x14ac:dyDescent="0.25">
      <c r="A30" s="80"/>
      <c r="B30" s="86"/>
      <c r="C30" s="149" t="s">
        <v>162</v>
      </c>
      <c r="D30" s="410"/>
      <c r="E30" s="406">
        <f>-'Estructura de Capital'!F50-Oficina!C38</f>
        <v>0</v>
      </c>
      <c r="F30" s="406">
        <f>-'Estructura de Capital'!G50-Oficina!D38</f>
        <v>0</v>
      </c>
      <c r="G30" s="406">
        <f>-'Estructura de Capital'!H50-Oficina!E38</f>
        <v>0</v>
      </c>
      <c r="H30" s="406">
        <f>-'Estructura de Capital'!I50-Oficina!F38</f>
        <v>0</v>
      </c>
      <c r="I30" s="406">
        <f>-'Estructura de Capital'!J50-Oficina!G38</f>
        <v>0</v>
      </c>
      <c r="J30" s="87"/>
      <c r="K30" s="80"/>
    </row>
    <row r="31" spans="1:11" ht="12" customHeight="1" collapsed="1" x14ac:dyDescent="0.25">
      <c r="A31" s="80"/>
      <c r="B31" s="86"/>
      <c r="C31" s="148" t="s">
        <v>124</v>
      </c>
      <c r="D31" s="406">
        <f>D29-D30</f>
        <v>0</v>
      </c>
      <c r="E31" s="406">
        <f>E29+E30</f>
        <v>0</v>
      </c>
      <c r="F31" s="406">
        <f>F29+F30</f>
        <v>0</v>
      </c>
      <c r="G31" s="406">
        <f>G29+G30</f>
        <v>0</v>
      </c>
      <c r="H31" s="406">
        <f>H29+H30</f>
        <v>0</v>
      </c>
      <c r="I31" s="406">
        <f>I29+I30</f>
        <v>0</v>
      </c>
      <c r="J31" s="87"/>
      <c r="K31" s="80"/>
    </row>
    <row r="32" spans="1:11" ht="10.95" hidden="1" customHeight="1" outlineLevel="1" x14ac:dyDescent="0.25">
      <c r="A32" s="80"/>
      <c r="B32" s="86"/>
      <c r="C32" s="149" t="s">
        <v>130</v>
      </c>
      <c r="D32" s="410">
        <f>'Estructura de Capital'!E53</f>
        <v>0</v>
      </c>
      <c r="E32" s="410">
        <f>'Estructura de Capital'!F53+Semovientes!C17</f>
        <v>0</v>
      </c>
      <c r="F32" s="410">
        <f>'Estructura de Capital'!G53+Semovientes!D17</f>
        <v>0</v>
      </c>
      <c r="G32" s="410">
        <f>'Estructura de Capital'!H53+Semovientes!E17</f>
        <v>0</v>
      </c>
      <c r="H32" s="410">
        <f>'Estructura de Capital'!I53+Semovientes!F17</f>
        <v>0</v>
      </c>
      <c r="I32" s="410">
        <f>'Estructura de Capital'!J53+Semovientes!G17</f>
        <v>0</v>
      </c>
      <c r="J32" s="87"/>
      <c r="K32" s="80"/>
    </row>
    <row r="33" spans="1:11" ht="12" hidden="1" customHeight="1" outlineLevel="1" x14ac:dyDescent="0.25">
      <c r="A33" s="80"/>
      <c r="B33" s="86"/>
      <c r="C33" s="149" t="s">
        <v>175</v>
      </c>
      <c r="D33" s="410"/>
      <c r="E33" s="406">
        <f>-'Estructura de Capital'!F57-Semovientes!C38</f>
        <v>0</v>
      </c>
      <c r="F33" s="406">
        <f>-'Estructura de Capital'!G57-Semovientes!D38</f>
        <v>0</v>
      </c>
      <c r="G33" s="406">
        <f>-'Estructura de Capital'!H57-Semovientes!E38</f>
        <v>0</v>
      </c>
      <c r="H33" s="406">
        <f>-'Estructura de Capital'!I57-Semovientes!F38</f>
        <v>0</v>
      </c>
      <c r="I33" s="406">
        <f>-'Estructura de Capital'!J57-Semovientes!G38</f>
        <v>0</v>
      </c>
      <c r="J33" s="87"/>
      <c r="K33" s="80"/>
    </row>
    <row r="34" spans="1:11" ht="12" hidden="1" customHeight="1" collapsed="1" x14ac:dyDescent="0.25">
      <c r="A34" s="80"/>
      <c r="B34" s="86"/>
      <c r="C34" s="257" t="s">
        <v>132</v>
      </c>
      <c r="D34" s="406">
        <f t="shared" ref="D34:I34" si="7">+D32+D33</f>
        <v>0</v>
      </c>
      <c r="E34" s="406">
        <f t="shared" si="7"/>
        <v>0</v>
      </c>
      <c r="F34" s="406">
        <f t="shared" si="7"/>
        <v>0</v>
      </c>
      <c r="G34" s="406">
        <f t="shared" si="7"/>
        <v>0</v>
      </c>
      <c r="H34" s="406">
        <f t="shared" si="7"/>
        <v>0</v>
      </c>
      <c r="I34" s="406">
        <f t="shared" si="7"/>
        <v>0</v>
      </c>
      <c r="J34" s="87"/>
      <c r="K34" s="80"/>
    </row>
    <row r="35" spans="1:11" ht="12.75" hidden="1" customHeight="1" outlineLevel="1" x14ac:dyDescent="0.25">
      <c r="A35" s="80"/>
      <c r="B35" s="86"/>
      <c r="C35" s="149"/>
      <c r="D35" s="410"/>
      <c r="E35" s="410"/>
      <c r="F35" s="410"/>
      <c r="G35" s="410"/>
      <c r="H35" s="410"/>
      <c r="I35" s="410"/>
      <c r="J35" s="87"/>
      <c r="K35" s="80"/>
    </row>
    <row r="36" spans="1:11" ht="12.75" hidden="1" customHeight="1" outlineLevel="1" x14ac:dyDescent="0.25">
      <c r="A36" s="80"/>
      <c r="B36" s="86"/>
      <c r="C36" s="149"/>
      <c r="D36" s="410"/>
      <c r="E36" s="406"/>
      <c r="F36" s="406"/>
      <c r="G36" s="406"/>
      <c r="H36" s="406"/>
      <c r="I36" s="406"/>
      <c r="J36" s="87"/>
      <c r="K36" s="80"/>
    </row>
    <row r="37" spans="1:11" hidden="1" collapsed="1" x14ac:dyDescent="0.25">
      <c r="A37" s="80"/>
      <c r="B37" s="86"/>
      <c r="C37" s="148"/>
      <c r="D37" s="406"/>
      <c r="E37" s="406"/>
      <c r="F37" s="406"/>
      <c r="G37" s="406"/>
      <c r="H37" s="406"/>
      <c r="I37" s="406"/>
      <c r="J37" s="87"/>
      <c r="K37" s="80"/>
    </row>
    <row r="38" spans="1:11" s="12" customFormat="1" x14ac:dyDescent="0.25">
      <c r="A38" s="102"/>
      <c r="B38" s="106"/>
      <c r="C38" s="151" t="s">
        <v>47</v>
      </c>
      <c r="D38" s="409">
        <f t="shared" ref="D38:I38" si="8">D13+D16+D19+D22+D25+D28+D31+D34+D37</f>
        <v>37302393</v>
      </c>
      <c r="E38" s="409">
        <f t="shared" si="8"/>
        <v>33572153.700000003</v>
      </c>
      <c r="F38" s="409">
        <f t="shared" si="8"/>
        <v>29841914.399999999</v>
      </c>
      <c r="G38" s="409">
        <f t="shared" si="8"/>
        <v>26111675.100000001</v>
      </c>
      <c r="H38" s="409">
        <f t="shared" si="8"/>
        <v>22381435.800000001</v>
      </c>
      <c r="I38" s="409">
        <f t="shared" si="8"/>
        <v>18651196.5</v>
      </c>
      <c r="J38" s="107"/>
      <c r="K38" s="102"/>
    </row>
    <row r="39" spans="1:11" s="12" customFormat="1" ht="13.95" hidden="1" customHeight="1" x14ac:dyDescent="0.25">
      <c r="A39" s="102"/>
      <c r="B39" s="106"/>
      <c r="C39" s="221" t="s">
        <v>302</v>
      </c>
      <c r="D39" s="410">
        <f>Diferidos!C19</f>
        <v>38792564</v>
      </c>
      <c r="E39" s="410">
        <f>Diferidos!D19</f>
        <v>38792564</v>
      </c>
      <c r="F39" s="410">
        <f>Diferidos!E19</f>
        <v>38792564</v>
      </c>
      <c r="G39" s="410">
        <f>Diferidos!F19</f>
        <v>38792564</v>
      </c>
      <c r="H39" s="410">
        <f>Diferidos!G19</f>
        <v>38792564</v>
      </c>
      <c r="I39" s="410">
        <f>Diferidos!H19</f>
        <v>38792564</v>
      </c>
      <c r="J39" s="107"/>
      <c r="K39" s="102"/>
    </row>
    <row r="40" spans="1:11" s="12" customFormat="1" ht="13.95" hidden="1" customHeight="1" x14ac:dyDescent="0.25">
      <c r="A40" s="102"/>
      <c r="B40" s="106"/>
      <c r="C40" s="149" t="s">
        <v>166</v>
      </c>
      <c r="D40" s="416"/>
      <c r="E40" s="410">
        <f>-Diferidos!C43</f>
        <v>-38792564</v>
      </c>
      <c r="F40" s="410">
        <f>-Diferidos!D43</f>
        <v>-38792564</v>
      </c>
      <c r="G40" s="410">
        <f>-Diferidos!E43</f>
        <v>-38792564</v>
      </c>
      <c r="H40" s="410">
        <f>-Diferidos!F43</f>
        <v>-38792564</v>
      </c>
      <c r="I40" s="410">
        <f>-Diferidos!G43</f>
        <v>-38792564</v>
      </c>
      <c r="J40" s="107"/>
      <c r="K40" s="102"/>
    </row>
    <row r="41" spans="1:11" s="12" customFormat="1" x14ac:dyDescent="0.25">
      <c r="A41" s="102"/>
      <c r="B41" s="106"/>
      <c r="C41" s="151" t="s">
        <v>281</v>
      </c>
      <c r="D41" s="410">
        <f t="shared" ref="D41:I41" si="9">+D39+D40</f>
        <v>38792564</v>
      </c>
      <c r="E41" s="410">
        <f t="shared" si="9"/>
        <v>0</v>
      </c>
      <c r="F41" s="410">
        <f t="shared" si="9"/>
        <v>0</v>
      </c>
      <c r="G41" s="410">
        <f t="shared" si="9"/>
        <v>0</v>
      </c>
      <c r="H41" s="410">
        <f t="shared" si="9"/>
        <v>0</v>
      </c>
      <c r="I41" s="410">
        <f t="shared" si="9"/>
        <v>0</v>
      </c>
      <c r="J41" s="107"/>
      <c r="K41" s="102"/>
    </row>
    <row r="42" spans="1:11" s="12" customFormat="1" x14ac:dyDescent="0.25">
      <c r="A42" s="102"/>
      <c r="B42" s="106"/>
      <c r="C42" s="150" t="s">
        <v>182</v>
      </c>
      <c r="D42" s="409">
        <f>' Inversiones Fijas y Diferidas'!G171</f>
        <v>0</v>
      </c>
      <c r="E42" s="409">
        <f>' Inversiones Fijas y Diferidas'!H171</f>
        <v>0</v>
      </c>
      <c r="F42" s="409">
        <f>' Inversiones Fijas y Diferidas'!I171</f>
        <v>0</v>
      </c>
      <c r="G42" s="409">
        <f>' Inversiones Fijas y Diferidas'!J171</f>
        <v>0</v>
      </c>
      <c r="H42" s="409">
        <f>' Inversiones Fijas y Diferidas'!K171</f>
        <v>0</v>
      </c>
      <c r="I42" s="409">
        <f>' Inversiones Fijas y Diferidas'!L171</f>
        <v>0</v>
      </c>
      <c r="J42" s="107"/>
      <c r="K42" s="102"/>
    </row>
    <row r="43" spans="1:11" x14ac:dyDescent="0.25">
      <c r="A43" s="80"/>
      <c r="B43" s="86"/>
      <c r="C43" s="51" t="s">
        <v>253</v>
      </c>
      <c r="D43" s="409">
        <f t="shared" ref="D43:I43" si="10">D12+D38+D41+D42</f>
        <v>76094957</v>
      </c>
      <c r="E43" s="409">
        <f t="shared" si="10"/>
        <v>85945721.789442405</v>
      </c>
      <c r="F43" s="409">
        <f t="shared" si="10"/>
        <v>279806749.91125178</v>
      </c>
      <c r="G43" s="409">
        <f t="shared" si="10"/>
        <v>470065457.61980879</v>
      </c>
      <c r="H43" s="409">
        <f t="shared" si="10"/>
        <v>854109341.51324952</v>
      </c>
      <c r="I43" s="409">
        <f t="shared" si="10"/>
        <v>1120088306.3431249</v>
      </c>
      <c r="J43" s="87"/>
      <c r="K43" s="80"/>
    </row>
    <row r="44" spans="1:11" x14ac:dyDescent="0.25">
      <c r="A44" s="80"/>
      <c r="B44" s="86"/>
      <c r="C44" s="50" t="s">
        <v>134</v>
      </c>
      <c r="D44" s="417"/>
      <c r="E44" s="417"/>
      <c r="F44" s="417"/>
      <c r="G44" s="417"/>
      <c r="H44" s="417"/>
      <c r="I44" s="417"/>
      <c r="J44" s="87"/>
      <c r="K44" s="80"/>
    </row>
    <row r="45" spans="1:11" x14ac:dyDescent="0.25">
      <c r="A45" s="80"/>
      <c r="B45" s="86"/>
      <c r="C45" s="66" t="s">
        <v>183</v>
      </c>
      <c r="D45" s="410">
        <f>'Capital de Trabajo'!E30</f>
        <v>0</v>
      </c>
      <c r="E45" s="410">
        <f>'Capital de Trabajo'!F30</f>
        <v>0</v>
      </c>
      <c r="F45" s="410">
        <f>'Capital de Trabajo'!G30</f>
        <v>0</v>
      </c>
      <c r="G45" s="410">
        <f>'Capital de Trabajo'!H30</f>
        <v>0</v>
      </c>
      <c r="H45" s="410">
        <f>'Capital de Trabajo'!I30</f>
        <v>0</v>
      </c>
      <c r="I45" s="410">
        <f>'Capital de Trabajo'!J30</f>
        <v>0</v>
      </c>
      <c r="J45" s="87"/>
      <c r="K45" s="80"/>
    </row>
    <row r="46" spans="1:11" x14ac:dyDescent="0.25">
      <c r="A46" s="80"/>
      <c r="B46" s="86"/>
      <c r="C46" s="66" t="s">
        <v>48</v>
      </c>
      <c r="D46" s="410">
        <v>0</v>
      </c>
      <c r="E46" s="406">
        <f>'Estructura de Capital'!F78</f>
        <v>3447767.6763048414</v>
      </c>
      <c r="F46" s="406">
        <f>'Estructura de Capital'!G78</f>
        <v>87936575.828299776</v>
      </c>
      <c r="G46" s="406">
        <f>'Estructura de Capital'!H78</f>
        <v>108800104.0955788</v>
      </c>
      <c r="H46" s="406">
        <f>'Estructura de Capital'!I78</f>
        <v>193711416.09479469</v>
      </c>
      <c r="I46" s="406">
        <f>'Estructura de Capital'!J78</f>
        <v>211256601.50828117</v>
      </c>
      <c r="J46" s="87"/>
      <c r="K46" s="80"/>
    </row>
    <row r="47" spans="1:11" x14ac:dyDescent="0.25">
      <c r="A47" s="80"/>
      <c r="B47" s="86"/>
      <c r="C47" s="66" t="s">
        <v>185</v>
      </c>
      <c r="D47" s="410"/>
      <c r="E47" s="406">
        <f>'Capital de Trabajo'!F32</f>
        <v>0</v>
      </c>
      <c r="F47" s="406">
        <f>'Capital de Trabajo'!G32</f>
        <v>0</v>
      </c>
      <c r="G47" s="406">
        <f>'Capital de Trabajo'!H32</f>
        <v>0</v>
      </c>
      <c r="H47" s="406">
        <f>'Capital de Trabajo'!I32</f>
        <v>0</v>
      </c>
      <c r="I47" s="406">
        <f>'Capital de Trabajo'!J32</f>
        <v>0</v>
      </c>
      <c r="J47" s="87"/>
      <c r="K47" s="80"/>
    </row>
    <row r="48" spans="1:11" x14ac:dyDescent="0.25">
      <c r="A48" s="80"/>
      <c r="B48" s="86"/>
      <c r="C48" s="66" t="s">
        <v>49</v>
      </c>
      <c r="D48" s="406">
        <f>'Deuda $'!C14</f>
        <v>53298264</v>
      </c>
      <c r="E48" s="406">
        <f>'Deuda $'!D14</f>
        <v>53298264</v>
      </c>
      <c r="F48" s="406">
        <f>'Deuda $'!E14</f>
        <v>0</v>
      </c>
      <c r="G48" s="406">
        <f>'Deuda $'!F14</f>
        <v>0</v>
      </c>
      <c r="H48" s="406">
        <f>'Deuda $'!G14</f>
        <v>0</v>
      </c>
      <c r="I48" s="406">
        <f>'Deuda $'!H14</f>
        <v>0</v>
      </c>
      <c r="J48" s="87"/>
      <c r="K48" s="80"/>
    </row>
    <row r="49" spans="1:11" x14ac:dyDescent="0.25">
      <c r="A49" s="80"/>
      <c r="B49" s="86"/>
      <c r="C49" s="66" t="s">
        <v>50</v>
      </c>
      <c r="D49" s="410"/>
      <c r="E49" s="406">
        <f>'Capital de Trabajo'!F34</f>
        <v>0</v>
      </c>
      <c r="F49" s="406">
        <f>'Capital de Trabajo'!G34</f>
        <v>0</v>
      </c>
      <c r="G49" s="406">
        <f>'Capital de Trabajo'!H34</f>
        <v>0</v>
      </c>
      <c r="H49" s="406">
        <f>'Capital de Trabajo'!I34</f>
        <v>0</v>
      </c>
      <c r="I49" s="406">
        <f>'Capital de Trabajo'!J34</f>
        <v>0</v>
      </c>
      <c r="J49" s="87"/>
      <c r="K49" s="80"/>
    </row>
    <row r="50" spans="1:11" x14ac:dyDescent="0.25">
      <c r="A50" s="80"/>
      <c r="B50" s="86"/>
      <c r="C50" s="66" t="s">
        <v>135</v>
      </c>
      <c r="D50" s="410">
        <f>'Estructura de Capital'!E83</f>
        <v>0</v>
      </c>
      <c r="E50" s="410">
        <f>'Estructura de Capital'!F83</f>
        <v>0</v>
      </c>
      <c r="F50" s="410">
        <f>'Estructura de Capital'!G83</f>
        <v>0</v>
      </c>
      <c r="G50" s="410">
        <f>'Estructura de Capital'!H83</f>
        <v>0</v>
      </c>
      <c r="H50" s="410">
        <f>'Estructura de Capital'!I83</f>
        <v>0</v>
      </c>
      <c r="I50" s="410">
        <f>'Estructura de Capital'!J83</f>
        <v>0</v>
      </c>
      <c r="J50" s="87"/>
      <c r="K50" s="80"/>
    </row>
    <row r="51" spans="1:11" s="12" customFormat="1" x14ac:dyDescent="0.25">
      <c r="A51" s="102"/>
      <c r="B51" s="106"/>
      <c r="C51" s="51" t="s">
        <v>254</v>
      </c>
      <c r="D51" s="409">
        <f t="shared" ref="D51:I51" si="11">SUM(D45:D50)</f>
        <v>53298264</v>
      </c>
      <c r="E51" s="409">
        <f t="shared" si="11"/>
        <v>56746031.67630484</v>
      </c>
      <c r="F51" s="409">
        <f t="shared" si="11"/>
        <v>87936575.828299776</v>
      </c>
      <c r="G51" s="409">
        <f t="shared" si="11"/>
        <v>108800104.0955788</v>
      </c>
      <c r="H51" s="409">
        <f t="shared" si="11"/>
        <v>193711416.09479469</v>
      </c>
      <c r="I51" s="409">
        <f t="shared" si="11"/>
        <v>211256601.50828117</v>
      </c>
      <c r="J51" s="107"/>
      <c r="K51" s="102"/>
    </row>
    <row r="52" spans="1:11" x14ac:dyDescent="0.25">
      <c r="A52" s="80"/>
      <c r="B52" s="86"/>
      <c r="C52" s="53" t="s">
        <v>21</v>
      </c>
      <c r="D52" s="417"/>
      <c r="E52" s="417"/>
      <c r="F52" s="417"/>
      <c r="G52" s="417"/>
      <c r="H52" s="417"/>
      <c r="I52" s="417"/>
      <c r="J52" s="87"/>
      <c r="K52" s="80"/>
    </row>
    <row r="53" spans="1:11" x14ac:dyDescent="0.25">
      <c r="A53" s="80"/>
      <c r="B53" s="86"/>
      <c r="C53" s="67" t="s">
        <v>24</v>
      </c>
      <c r="D53" s="410">
        <f>'Estructura de Capital'!E81</f>
        <v>22796693</v>
      </c>
      <c r="E53" s="406">
        <f>'Estructura de Capital'!F86</f>
        <v>22796693</v>
      </c>
      <c r="F53" s="406">
        <f>'Estructura de Capital'!G86</f>
        <v>22796693</v>
      </c>
      <c r="G53" s="406">
        <f>'Estructura de Capital'!H86</f>
        <v>22796693</v>
      </c>
      <c r="H53" s="406">
        <f>'Estructura de Capital'!I86</f>
        <v>22796693</v>
      </c>
      <c r="I53" s="406">
        <f>'Estructura de Capital'!J86</f>
        <v>22796693</v>
      </c>
      <c r="J53" s="87"/>
      <c r="K53" s="80"/>
    </row>
    <row r="54" spans="1:11" s="5" customFormat="1" x14ac:dyDescent="0.25">
      <c r="A54" s="94"/>
      <c r="B54" s="99"/>
      <c r="C54" s="67" t="s">
        <v>27</v>
      </c>
      <c r="D54" s="410">
        <v>0</v>
      </c>
      <c r="E54" s="406">
        <f>'Estructura de Capital'!F88</f>
        <v>0</v>
      </c>
      <c r="F54" s="406">
        <f>'Estructura de Capital'!G88</f>
        <v>640299.71131375642</v>
      </c>
      <c r="G54" s="406">
        <f>'Estructura de Capital'!H88</f>
        <v>11398346.5</v>
      </c>
      <c r="H54" s="406">
        <f>'Estructura de Capital'!I88</f>
        <v>11398346.5</v>
      </c>
      <c r="I54" s="406">
        <f>'Estructura de Capital'!J88</f>
        <v>11398346.5</v>
      </c>
      <c r="J54" s="100"/>
      <c r="K54" s="94"/>
    </row>
    <row r="55" spans="1:11" x14ac:dyDescent="0.25">
      <c r="A55" s="80"/>
      <c r="B55" s="86"/>
      <c r="C55" s="67" t="s">
        <v>28</v>
      </c>
      <c r="D55" s="410">
        <v>0</v>
      </c>
      <c r="E55" s="406">
        <f>'Estructura de Capital'!F89</f>
        <v>0</v>
      </c>
      <c r="F55" s="406">
        <f>'Estructura de Capital'!G89</f>
        <v>5122397.6905100513</v>
      </c>
      <c r="G55" s="406">
        <f>'Estructura de Capital'!H89</f>
        <v>125012977.84672639</v>
      </c>
      <c r="H55" s="406">
        <f>'Estructura de Capital'!I89</f>
        <v>266453113.17097884</v>
      </c>
      <c r="I55" s="406">
        <f>'Estructura de Capital'!J89</f>
        <v>482302976.81946439</v>
      </c>
      <c r="J55" s="87"/>
      <c r="K55" s="80"/>
    </row>
    <row r="56" spans="1:11" x14ac:dyDescent="0.25">
      <c r="A56" s="80"/>
      <c r="B56" s="86"/>
      <c r="C56" s="67" t="s">
        <v>29</v>
      </c>
      <c r="D56" s="410">
        <v>0</v>
      </c>
      <c r="E56" s="406">
        <f>'Estructura de Capital'!F90</f>
        <v>6402997.1131375637</v>
      </c>
      <c r="F56" s="406">
        <f>'Estructura de Capital'!G90</f>
        <v>163310783.6811282</v>
      </c>
      <c r="G56" s="406">
        <f>'Estructura de Capital'!H90</f>
        <v>202057336.17750353</v>
      </c>
      <c r="H56" s="406">
        <f>'Estructura de Capital'!I90</f>
        <v>359749772.74747592</v>
      </c>
      <c r="I56" s="406">
        <f>'Estructura de Capital'!J90</f>
        <v>392333688.51537937</v>
      </c>
      <c r="J56" s="87"/>
      <c r="K56" s="80"/>
    </row>
    <row r="57" spans="1:11" s="5" customFormat="1" x14ac:dyDescent="0.25">
      <c r="A57" s="94"/>
      <c r="B57" s="99"/>
      <c r="C57" s="68" t="s">
        <v>51</v>
      </c>
      <c r="D57" s="410">
        <v>0</v>
      </c>
      <c r="E57" s="406">
        <f>'Estructura de Capital'!F93</f>
        <v>0</v>
      </c>
      <c r="F57" s="406">
        <f>'Estructura de Capital'!G93</f>
        <v>0</v>
      </c>
      <c r="G57" s="406">
        <f>'Estructura de Capital'!H93</f>
        <v>0</v>
      </c>
      <c r="H57" s="406">
        <f>'Estructura de Capital'!I93</f>
        <v>0</v>
      </c>
      <c r="I57" s="406">
        <f>'Estructura de Capital'!J93</f>
        <v>0</v>
      </c>
      <c r="J57" s="100"/>
      <c r="K57" s="94"/>
    </row>
    <row r="58" spans="1:11" s="12" customFormat="1" x14ac:dyDescent="0.25">
      <c r="A58" s="102"/>
      <c r="B58" s="106"/>
      <c r="C58" s="51" t="s">
        <v>255</v>
      </c>
      <c r="D58" s="409">
        <f t="shared" ref="D58:I58" si="12">D53+D54+D55+D56+D57</f>
        <v>22796693</v>
      </c>
      <c r="E58" s="409">
        <f t="shared" si="12"/>
        <v>29199690.113137566</v>
      </c>
      <c r="F58" s="409">
        <f t="shared" si="12"/>
        <v>191870174.08295202</v>
      </c>
      <c r="G58" s="409">
        <f t="shared" si="12"/>
        <v>361265353.52422988</v>
      </c>
      <c r="H58" s="409">
        <f t="shared" si="12"/>
        <v>660397925.41845477</v>
      </c>
      <c r="I58" s="409">
        <f t="shared" si="12"/>
        <v>908831704.83484375</v>
      </c>
      <c r="J58" s="107"/>
      <c r="K58" s="102"/>
    </row>
    <row r="59" spans="1:11" s="12" customFormat="1" x14ac:dyDescent="0.25">
      <c r="A59" s="102"/>
      <c r="B59" s="106"/>
      <c r="C59" s="51" t="s">
        <v>256</v>
      </c>
      <c r="D59" s="409">
        <f t="shared" ref="D59:I59" si="13">D51+D58</f>
        <v>76094957</v>
      </c>
      <c r="E59" s="409">
        <f t="shared" si="13"/>
        <v>85945721.789442405</v>
      </c>
      <c r="F59" s="409">
        <f t="shared" si="13"/>
        <v>279806749.91125178</v>
      </c>
      <c r="G59" s="409">
        <f t="shared" si="13"/>
        <v>470065457.61980867</v>
      </c>
      <c r="H59" s="409">
        <f t="shared" si="13"/>
        <v>854109341.5132494</v>
      </c>
      <c r="I59" s="409">
        <f t="shared" si="13"/>
        <v>1120088306.3431249</v>
      </c>
      <c r="J59" s="107"/>
      <c r="K59" s="102"/>
    </row>
    <row r="60" spans="1:11" ht="13.8" thickBot="1" x14ac:dyDescent="0.3">
      <c r="A60" s="80"/>
      <c r="B60" s="90"/>
      <c r="C60" s="108"/>
      <c r="D60" s="109">
        <f>+D43-D59</f>
        <v>0</v>
      </c>
      <c r="E60" s="109">
        <f t="shared" ref="E60:J60" si="14">+E43-E59</f>
        <v>0</v>
      </c>
      <c r="F60" s="109">
        <f t="shared" si="14"/>
        <v>0</v>
      </c>
      <c r="G60" s="109">
        <f t="shared" si="14"/>
        <v>0</v>
      </c>
      <c r="H60" s="109">
        <f t="shared" si="14"/>
        <v>0</v>
      </c>
      <c r="I60" s="109">
        <f t="shared" si="14"/>
        <v>0</v>
      </c>
      <c r="J60" s="109">
        <f t="shared" si="14"/>
        <v>0</v>
      </c>
      <c r="K60" s="80"/>
    </row>
    <row r="61" spans="1:11" s="16" customFormat="1" hidden="1" outlineLevel="1" x14ac:dyDescent="0.25">
      <c r="A61" s="103"/>
      <c r="C61" s="14" t="s">
        <v>52</v>
      </c>
      <c r="D61" s="15">
        <f t="shared" ref="D61:I61" si="15">D59-D43</f>
        <v>0</v>
      </c>
      <c r="E61" s="15">
        <f t="shared" si="15"/>
        <v>0</v>
      </c>
      <c r="F61" s="15">
        <f t="shared" si="15"/>
        <v>0</v>
      </c>
      <c r="G61" s="15">
        <f t="shared" si="15"/>
        <v>0</v>
      </c>
      <c r="H61" s="15">
        <f t="shared" si="15"/>
        <v>0</v>
      </c>
      <c r="I61" s="15">
        <f t="shared" si="15"/>
        <v>0</v>
      </c>
      <c r="K61" s="103"/>
    </row>
    <row r="62" spans="1:11" collapsed="1" x14ac:dyDescent="0.25">
      <c r="A62" s="80"/>
      <c r="B62" s="80"/>
      <c r="C62" s="94"/>
      <c r="D62" s="104"/>
      <c r="E62" s="81"/>
      <c r="F62" s="81"/>
      <c r="G62" s="81"/>
      <c r="H62" s="81"/>
      <c r="I62" s="81"/>
      <c r="J62" s="80"/>
      <c r="K62" s="80"/>
    </row>
    <row r="64" spans="1:11" x14ac:dyDescent="0.25"/>
    <row r="65" x14ac:dyDescent="0.25"/>
    <row r="66" x14ac:dyDescent="0.25"/>
  </sheetData>
  <sheetProtection password="CA1B" sheet="1" formatColumns="0" formatRows="0"/>
  <phoneticPr fontId="0" type="noConversion"/>
  <conditionalFormatting sqref="D61:I61">
    <cfRule type="cellIs" dxfId="1" priority="1" stopIfTrue="1" operator="notEqual">
      <formula>0</formula>
    </cfRule>
  </conditionalFormatting>
  <conditionalFormatting sqref="D5:I5">
    <cfRule type="cellIs" dxfId="0" priority="2" stopIfTrue="1" operator="lessThan">
      <formula>0</formula>
    </cfRule>
  </conditionalFormatting>
  <hyperlinks>
    <hyperlink ref="C2" location="Inicio!A1" display="Inicio" xr:uid="{00000000-0004-0000-0D00-000000000000}"/>
  </hyperlinks>
  <printOptions horizontalCentered="1" verticalCentered="1" gridLinesSet="0"/>
  <pageMargins left="0.42" right="0.19685039370078741" top="0.99" bottom="0.11" header="0.53" footer="0.24"/>
  <pageSetup orientation="landscape" horizontalDpi="300" verticalDpi="300"/>
  <headerFooter alignWithMargins="0">
    <oddHeader xml:space="preserve">&amp;C&amp;"Arial,Negrita"&amp;14MODELO FINANCIERO
&amp;12BALANCE GENERAL
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5">
    <tabColor indexed="21"/>
  </sheetPr>
  <dimension ref="A1:K49"/>
  <sheetViews>
    <sheetView showGridLines="0" showOutlineSymbols="0" zoomScale="118" zoomScaleNormal="118" workbookViewId="0">
      <selection activeCell="E6" sqref="E6"/>
    </sheetView>
  </sheetViews>
  <sheetFormatPr baseColWidth="10" defaultColWidth="0" defaultRowHeight="13.2" zeroHeight="1" outlineLevelRow="2" x14ac:dyDescent="0.25"/>
  <cols>
    <col min="1" max="1" width="2.44140625" style="1" customWidth="1"/>
    <col min="2" max="2" width="2.33203125" style="1" customWidth="1"/>
    <col min="3" max="3" width="39.77734375" style="20" customWidth="1"/>
    <col min="4" max="5" width="14.44140625" style="4" customWidth="1"/>
    <col min="6" max="9" width="14.44140625" style="1" customWidth="1"/>
    <col min="10" max="11" width="4.77734375" style="1" customWidth="1"/>
    <col min="12" max="16384" width="0" style="1" hidden="1"/>
  </cols>
  <sheetData>
    <row r="1" spans="1:11" ht="18" thickBot="1" x14ac:dyDescent="0.3">
      <c r="A1" s="80"/>
      <c r="B1" s="95"/>
      <c r="C1" s="329" t="s">
        <v>350</v>
      </c>
      <c r="J1" s="98"/>
      <c r="K1" s="80"/>
    </row>
    <row r="2" spans="1:11" ht="15.6" x14ac:dyDescent="0.3">
      <c r="A2" s="80"/>
      <c r="B2" s="86"/>
      <c r="C2" s="65" t="s">
        <v>67</v>
      </c>
      <c r="D2" s="97">
        <f>+Bases!D5</f>
        <v>0</v>
      </c>
      <c r="E2" s="97">
        <f>+D2+1</f>
        <v>1</v>
      </c>
      <c r="F2" s="97">
        <f>+E2+1</f>
        <v>2</v>
      </c>
      <c r="G2" s="97">
        <f>+F2+1</f>
        <v>3</v>
      </c>
      <c r="H2" s="97">
        <f>+G2+1</f>
        <v>4</v>
      </c>
      <c r="I2" s="97">
        <f>+H2+1</f>
        <v>5</v>
      </c>
      <c r="J2" s="87"/>
      <c r="K2" s="80"/>
    </row>
    <row r="3" spans="1:11" x14ac:dyDescent="0.25">
      <c r="A3" s="121"/>
      <c r="B3" s="86"/>
      <c r="C3" s="50" t="s">
        <v>68</v>
      </c>
      <c r="D3" s="10"/>
      <c r="E3" s="10"/>
      <c r="F3" s="11"/>
      <c r="G3" s="11"/>
      <c r="H3" s="11"/>
      <c r="I3" s="11"/>
      <c r="J3" s="125"/>
      <c r="K3" s="80"/>
    </row>
    <row r="4" spans="1:11" outlineLevel="1" x14ac:dyDescent="0.25">
      <c r="A4" s="80"/>
      <c r="B4" s="86"/>
      <c r="C4" s="461" t="s">
        <v>111</v>
      </c>
      <c r="D4" s="3"/>
      <c r="E4" s="406">
        <f>'P&amp;G'!D14</f>
        <v>26491785.363690436</v>
      </c>
      <c r="F4" s="406">
        <f>'P&amp;G'!E14</f>
        <v>267455897.93114877</v>
      </c>
      <c r="G4" s="406">
        <f>'P&amp;G'!F14</f>
        <v>310857440.27308232</v>
      </c>
      <c r="H4" s="406">
        <f>'P&amp;G'!G14</f>
        <v>553461188.84227061</v>
      </c>
      <c r="I4" s="406">
        <f>'P&amp;G'!H14</f>
        <v>603590290.02366054</v>
      </c>
      <c r="J4" s="87"/>
      <c r="K4" s="80"/>
    </row>
    <row r="5" spans="1:11" outlineLevel="1" x14ac:dyDescent="0.25">
      <c r="A5" s="80"/>
      <c r="B5" s="86"/>
      <c r="C5" s="462" t="s">
        <v>127</v>
      </c>
      <c r="D5" s="3"/>
      <c r="E5" s="406">
        <f>Producción!F18</f>
        <v>3730239.3</v>
      </c>
      <c r="F5" s="406">
        <f>Producción!G18</f>
        <v>3730239.3</v>
      </c>
      <c r="G5" s="406">
        <f>Producción!H18</f>
        <v>3730239.3</v>
      </c>
      <c r="H5" s="406">
        <f>Producción!I18</f>
        <v>3730239.3</v>
      </c>
      <c r="I5" s="406">
        <f>Producción!J18</f>
        <v>3730239.3</v>
      </c>
      <c r="J5" s="87"/>
      <c r="K5" s="80"/>
    </row>
    <row r="6" spans="1:11" outlineLevel="1" x14ac:dyDescent="0.25">
      <c r="A6" s="80"/>
      <c r="B6" s="86"/>
      <c r="C6" s="463" t="s">
        <v>280</v>
      </c>
      <c r="D6" s="3"/>
      <c r="E6" s="406">
        <f>'P&amp;G'!D13</f>
        <v>38792564</v>
      </c>
      <c r="F6" s="406">
        <f>'P&amp;G'!E13</f>
        <v>0</v>
      </c>
      <c r="G6" s="406">
        <f>'P&amp;G'!F13</f>
        <v>0</v>
      </c>
      <c r="H6" s="406">
        <f>'P&amp;G'!G13</f>
        <v>0</v>
      </c>
      <c r="I6" s="406">
        <f>'P&amp;G'!H13</f>
        <v>0</v>
      </c>
      <c r="J6" s="87"/>
      <c r="K6" s="80"/>
    </row>
    <row r="7" spans="1:11" hidden="1" outlineLevel="1" x14ac:dyDescent="0.25">
      <c r="A7" s="80"/>
      <c r="B7" s="86"/>
      <c r="C7" s="462"/>
      <c r="D7" s="3"/>
      <c r="E7" s="406"/>
      <c r="F7" s="406"/>
      <c r="G7" s="406"/>
      <c r="H7" s="406"/>
      <c r="I7" s="406"/>
      <c r="J7" s="87"/>
      <c r="K7" s="80"/>
    </row>
    <row r="8" spans="1:11" outlineLevel="1" x14ac:dyDescent="0.25">
      <c r="A8" s="80"/>
      <c r="B8" s="86"/>
      <c r="C8" s="462" t="s">
        <v>126</v>
      </c>
      <c r="D8" s="3"/>
      <c r="E8" s="406">
        <f>'Capital de Trabajo'!F12</f>
        <v>0</v>
      </c>
      <c r="F8" s="406">
        <f>'Capital de Trabajo'!G12</f>
        <v>0</v>
      </c>
      <c r="G8" s="406">
        <f>'Capital de Trabajo'!H12</f>
        <v>0</v>
      </c>
      <c r="H8" s="406">
        <f>'Capital de Trabajo'!I12</f>
        <v>0</v>
      </c>
      <c r="I8" s="406">
        <f>'Capital de Trabajo'!J12</f>
        <v>0</v>
      </c>
      <c r="J8" s="87"/>
      <c r="K8" s="80"/>
    </row>
    <row r="9" spans="1:11" outlineLevel="1" x14ac:dyDescent="0.25">
      <c r="A9" s="80"/>
      <c r="B9" s="86"/>
      <c r="C9" s="461" t="s">
        <v>20</v>
      </c>
      <c r="D9" s="3"/>
      <c r="E9" s="406">
        <f>-'Estructura de Capital'!F79</f>
        <v>0</v>
      </c>
      <c r="F9" s="406">
        <f>-'Estructura de Capital'!G79</f>
        <v>-3447767.6763048414</v>
      </c>
      <c r="G9" s="406">
        <f>-'Estructura de Capital'!H79</f>
        <v>-87936575.828299776</v>
      </c>
      <c r="H9" s="406">
        <f>-'Estructura de Capital'!I79</f>
        <v>-108800104.0955788</v>
      </c>
      <c r="I9" s="406">
        <f>-'Estructura de Capital'!J79</f>
        <v>-193711416.09479469</v>
      </c>
      <c r="J9" s="87"/>
      <c r="K9" s="80"/>
    </row>
    <row r="10" spans="1:11" s="24" customFormat="1" ht="13.5" customHeight="1" x14ac:dyDescent="0.25">
      <c r="A10" s="122"/>
      <c r="B10" s="126"/>
      <c r="C10" s="77" t="s">
        <v>69</v>
      </c>
      <c r="D10" s="38"/>
      <c r="E10" s="418">
        <f>SUM(E4:E9)</f>
        <v>69014588.663690433</v>
      </c>
      <c r="F10" s="418">
        <f>SUM(F4:F9)</f>
        <v>267738369.55484393</v>
      </c>
      <c r="G10" s="418">
        <f>SUM(G4:G9)</f>
        <v>226651103.74478257</v>
      </c>
      <c r="H10" s="418">
        <f>SUM(H4:H9)</f>
        <v>448391324.04669178</v>
      </c>
      <c r="I10" s="418">
        <f>SUM(I4:I9)</f>
        <v>413609113.2288658</v>
      </c>
      <c r="J10" s="127"/>
      <c r="K10" s="122"/>
    </row>
    <row r="11" spans="1:11" x14ac:dyDescent="0.25">
      <c r="A11" s="121"/>
      <c r="B11" s="86"/>
      <c r="C11" s="50" t="s">
        <v>70</v>
      </c>
      <c r="D11" s="13"/>
      <c r="E11" s="417"/>
      <c r="F11" s="417"/>
      <c r="G11" s="417"/>
      <c r="H11" s="417"/>
      <c r="I11" s="417"/>
      <c r="J11" s="125"/>
      <c r="K11" s="80"/>
    </row>
    <row r="12" spans="1:11" s="19" customFormat="1" outlineLevel="2" x14ac:dyDescent="0.25">
      <c r="A12" s="111"/>
      <c r="B12" s="117"/>
      <c r="C12" s="464" t="s">
        <v>136</v>
      </c>
      <c r="D12" s="456">
        <f>-'Capital de Trabajo'!E8</f>
        <v>0</v>
      </c>
      <c r="E12" s="456">
        <f>'Capital de Trabajo'!F9</f>
        <v>0</v>
      </c>
      <c r="F12" s="456">
        <f>'Capital de Trabajo'!G9</f>
        <v>0</v>
      </c>
      <c r="G12" s="456">
        <f>'Capital de Trabajo'!H9</f>
        <v>0</v>
      </c>
      <c r="H12" s="456">
        <f>'Capital de Trabajo'!I9</f>
        <v>0</v>
      </c>
      <c r="I12" s="456">
        <f>'Capital de Trabajo'!J9</f>
        <v>0</v>
      </c>
      <c r="J12" s="118"/>
      <c r="K12" s="111"/>
    </row>
    <row r="13" spans="1:11" s="19" customFormat="1" hidden="1" outlineLevel="2" x14ac:dyDescent="0.25">
      <c r="A13" s="111"/>
      <c r="B13" s="117"/>
      <c r="C13" s="464"/>
      <c r="D13" s="456"/>
      <c r="E13" s="456"/>
      <c r="F13" s="456"/>
      <c r="G13" s="456"/>
      <c r="H13" s="456"/>
      <c r="I13" s="456"/>
      <c r="J13" s="118"/>
      <c r="K13" s="111"/>
    </row>
    <row r="14" spans="1:11" s="19" customFormat="1" hidden="1" outlineLevel="2" x14ac:dyDescent="0.25">
      <c r="A14" s="111"/>
      <c r="B14" s="117"/>
      <c r="C14" s="464"/>
      <c r="D14" s="456"/>
      <c r="E14" s="456"/>
      <c r="F14" s="456"/>
      <c r="G14" s="456"/>
      <c r="H14" s="456"/>
      <c r="I14" s="456"/>
      <c r="J14" s="118"/>
      <c r="K14" s="111"/>
    </row>
    <row r="15" spans="1:11" s="19" customFormat="1" outlineLevel="2" x14ac:dyDescent="0.25">
      <c r="A15" s="111"/>
      <c r="B15" s="117"/>
      <c r="C15" s="464" t="s">
        <v>137</v>
      </c>
      <c r="D15" s="456">
        <f>-'Capital de Trabajo'!E15</f>
        <v>-21697998.320337303</v>
      </c>
      <c r="E15" s="456">
        <f>'Capital de Trabajo'!F16</f>
        <v>0</v>
      </c>
      <c r="F15" s="456">
        <f>'Capital de Trabajo'!G16</f>
        <v>-17969641.530423611</v>
      </c>
      <c r="G15" s="456">
        <f>'Capital de Trabajo'!H16</f>
        <v>-1210423.9323235899</v>
      </c>
      <c r="H15" s="456">
        <f>'Capital de Trabajo'!I16</f>
        <v>-19417311.833127983</v>
      </c>
      <c r="I15" s="456">
        <f>'Capital de Trabajo'!J16</f>
        <v>-1790210.0719863623</v>
      </c>
      <c r="J15" s="118"/>
      <c r="K15" s="111"/>
    </row>
    <row r="16" spans="1:11" s="19" customFormat="1" outlineLevel="2" x14ac:dyDescent="0.25">
      <c r="A16" s="111"/>
      <c r="B16" s="117"/>
      <c r="C16" s="464" t="s">
        <v>188</v>
      </c>
      <c r="D16" s="457"/>
      <c r="E16" s="456">
        <f>-'Capital de Trabajo'!F25</f>
        <v>0</v>
      </c>
      <c r="F16" s="456">
        <f>-'Capital de Trabajo'!G26</f>
        <v>0</v>
      </c>
      <c r="G16" s="456">
        <f>-'Capital de Trabajo'!H26</f>
        <v>0</v>
      </c>
      <c r="H16" s="456">
        <f>-'Capital de Trabajo'!I26</f>
        <v>0</v>
      </c>
      <c r="I16" s="456">
        <f>-'Capital de Trabajo'!J26</f>
        <v>0</v>
      </c>
      <c r="J16" s="118"/>
      <c r="K16" s="111"/>
    </row>
    <row r="17" spans="1:11" s="19" customFormat="1" outlineLevel="2" x14ac:dyDescent="0.25">
      <c r="A17" s="111"/>
      <c r="B17" s="117"/>
      <c r="C17" s="464"/>
      <c r="D17" s="458"/>
      <c r="E17" s="456"/>
      <c r="F17" s="456"/>
      <c r="G17" s="456"/>
      <c r="H17" s="456"/>
      <c r="I17" s="456"/>
      <c r="J17" s="118"/>
      <c r="K17" s="111"/>
    </row>
    <row r="18" spans="1:11" s="19" customFormat="1" outlineLevel="2" x14ac:dyDescent="0.25">
      <c r="A18" s="111"/>
      <c r="B18" s="117"/>
      <c r="C18" s="464" t="s">
        <v>138</v>
      </c>
      <c r="D18" s="456">
        <f>+'Capital de Trabajo'!E30</f>
        <v>0</v>
      </c>
      <c r="E18" s="456">
        <f>'Capital de Trabajo'!F31</f>
        <v>0</v>
      </c>
      <c r="F18" s="456">
        <f>'Capital de Trabajo'!G31</f>
        <v>0</v>
      </c>
      <c r="G18" s="456">
        <f>'Capital de Trabajo'!H31</f>
        <v>0</v>
      </c>
      <c r="H18" s="456">
        <f>'Capital de Trabajo'!I31</f>
        <v>0</v>
      </c>
      <c r="I18" s="456">
        <f>'Capital de Trabajo'!J31</f>
        <v>0</v>
      </c>
      <c r="J18" s="118"/>
      <c r="K18" s="111"/>
    </row>
    <row r="19" spans="1:11" s="19" customFormat="1" outlineLevel="2" x14ac:dyDescent="0.25">
      <c r="A19" s="111"/>
      <c r="B19" s="117"/>
      <c r="C19" s="464" t="s">
        <v>186</v>
      </c>
      <c r="D19" s="456"/>
      <c r="E19" s="456">
        <f>'Capital de Trabajo'!F33</f>
        <v>0</v>
      </c>
      <c r="F19" s="456">
        <f>'Capital de Trabajo'!G33</f>
        <v>0</v>
      </c>
      <c r="G19" s="456">
        <f>'Capital de Trabajo'!H33</f>
        <v>0</v>
      </c>
      <c r="H19" s="456">
        <f>'Capital de Trabajo'!I33</f>
        <v>0</v>
      </c>
      <c r="I19" s="456">
        <f>'Capital de Trabajo'!J33</f>
        <v>0</v>
      </c>
      <c r="J19" s="118"/>
      <c r="K19" s="111"/>
    </row>
    <row r="20" spans="1:11" s="19" customFormat="1" outlineLevel="2" x14ac:dyDescent="0.25">
      <c r="A20" s="111"/>
      <c r="B20" s="117"/>
      <c r="C20" s="464" t="s">
        <v>187</v>
      </c>
      <c r="D20" s="459"/>
      <c r="E20" s="459">
        <f>'Capital de Trabajo'!F35</f>
        <v>0</v>
      </c>
      <c r="F20" s="459">
        <f>'Capital de Trabajo'!G35</f>
        <v>0</v>
      </c>
      <c r="G20" s="459">
        <f>'Capital de Trabajo'!H35</f>
        <v>0</v>
      </c>
      <c r="H20" s="459">
        <f>'Capital de Trabajo'!I35</f>
        <v>0</v>
      </c>
      <c r="I20" s="459">
        <f>'Capital de Trabajo'!J35</f>
        <v>0</v>
      </c>
      <c r="J20" s="118"/>
      <c r="K20" s="111"/>
    </row>
    <row r="21" spans="1:11" outlineLevel="1" x14ac:dyDescent="0.25">
      <c r="A21" s="80"/>
      <c r="B21" s="86"/>
      <c r="C21" s="461" t="s">
        <v>71</v>
      </c>
      <c r="D21" s="419">
        <f t="shared" ref="D21:I21" si="0">SUM(D12:D20)</f>
        <v>-21697998.320337303</v>
      </c>
      <c r="E21" s="406">
        <f>SUM(E12:E20)</f>
        <v>0</v>
      </c>
      <c r="F21" s="406">
        <f t="shared" si="0"/>
        <v>-17969641.530423611</v>
      </c>
      <c r="G21" s="406">
        <f t="shared" si="0"/>
        <v>-1210423.9323235899</v>
      </c>
      <c r="H21" s="406">
        <f t="shared" si="0"/>
        <v>-19417311.833127983</v>
      </c>
      <c r="I21" s="406">
        <f t="shared" si="0"/>
        <v>-1790210.0719863623</v>
      </c>
      <c r="J21" s="87"/>
      <c r="K21" s="80"/>
    </row>
    <row r="22" spans="1:11" s="19" customFormat="1" outlineLevel="2" x14ac:dyDescent="0.25">
      <c r="A22" s="111"/>
      <c r="B22" s="117"/>
      <c r="C22" s="464" t="s">
        <v>147</v>
      </c>
      <c r="D22" s="460">
        <f>-' Inversiones Fijas y Diferidas'!G66</f>
        <v>0</v>
      </c>
      <c r="E22" s="460">
        <f>-' Inversiones Fijas y Diferidas'!H66</f>
        <v>0</v>
      </c>
      <c r="F22" s="460">
        <f>-' Inversiones Fijas y Diferidas'!I66</f>
        <v>0</v>
      </c>
      <c r="G22" s="460">
        <f>-' Inversiones Fijas y Diferidas'!J66</f>
        <v>0</v>
      </c>
      <c r="H22" s="460">
        <f>-' Inversiones Fijas y Diferidas'!K66</f>
        <v>0</v>
      </c>
      <c r="I22" s="460">
        <f>-' Inversiones Fijas y Diferidas'!L66</f>
        <v>0</v>
      </c>
      <c r="J22" s="118"/>
      <c r="K22" s="111"/>
    </row>
    <row r="23" spans="1:11" s="19" customFormat="1" outlineLevel="2" x14ac:dyDescent="0.25">
      <c r="A23" s="111"/>
      <c r="B23" s="117"/>
      <c r="C23" s="464" t="s">
        <v>149</v>
      </c>
      <c r="D23" s="460">
        <f>-' Inversiones Fijas y Diferidas'!G67</f>
        <v>0</v>
      </c>
      <c r="E23" s="460">
        <f>-' Inversiones Fijas y Diferidas'!H67</f>
        <v>0</v>
      </c>
      <c r="F23" s="460">
        <f>-' Inversiones Fijas y Diferidas'!I67</f>
        <v>0</v>
      </c>
      <c r="G23" s="460">
        <f>-' Inversiones Fijas y Diferidas'!J67</f>
        <v>0</v>
      </c>
      <c r="H23" s="460">
        <f>-' Inversiones Fijas y Diferidas'!K67</f>
        <v>0</v>
      </c>
      <c r="I23" s="460">
        <f>-' Inversiones Fijas y Diferidas'!L67</f>
        <v>0</v>
      </c>
      <c r="J23" s="118"/>
      <c r="K23" s="111"/>
    </row>
    <row r="24" spans="1:11" s="19" customFormat="1" outlineLevel="2" x14ac:dyDescent="0.25">
      <c r="A24" s="111"/>
      <c r="B24" s="117"/>
      <c r="C24" s="464" t="s">
        <v>301</v>
      </c>
      <c r="D24" s="460">
        <f>-' Inversiones Fijas y Diferidas'!G68</f>
        <v>0</v>
      </c>
      <c r="E24" s="460">
        <f>-' Inversiones Fijas y Diferidas'!H68</f>
        <v>0</v>
      </c>
      <c r="F24" s="460">
        <f>-' Inversiones Fijas y Diferidas'!I68</f>
        <v>0</v>
      </c>
      <c r="G24" s="460">
        <f>-' Inversiones Fijas y Diferidas'!J68</f>
        <v>0</v>
      </c>
      <c r="H24" s="460">
        <f>-' Inversiones Fijas y Diferidas'!K68</f>
        <v>0</v>
      </c>
      <c r="I24" s="460">
        <f>-' Inversiones Fijas y Diferidas'!L68</f>
        <v>0</v>
      </c>
      <c r="J24" s="118"/>
      <c r="K24" s="111"/>
    </row>
    <row r="25" spans="1:11" s="19" customFormat="1" outlineLevel="2" x14ac:dyDescent="0.25">
      <c r="A25" s="111"/>
      <c r="B25" s="117"/>
      <c r="C25" s="464" t="s">
        <v>150</v>
      </c>
      <c r="D25" s="460">
        <f>-' Inversiones Fijas y Diferidas'!G95</f>
        <v>-36302393</v>
      </c>
      <c r="E25" s="460">
        <f>-' Inversiones Fijas y Diferidas'!H95</f>
        <v>0</v>
      </c>
      <c r="F25" s="460">
        <f>-' Inversiones Fijas y Diferidas'!I95</f>
        <v>0</v>
      </c>
      <c r="G25" s="460">
        <f>-' Inversiones Fijas y Diferidas'!J95</f>
        <v>0</v>
      </c>
      <c r="H25" s="460">
        <f>-' Inversiones Fijas y Diferidas'!K95</f>
        <v>0</v>
      </c>
      <c r="I25" s="460">
        <f>-' Inversiones Fijas y Diferidas'!L95</f>
        <v>0</v>
      </c>
      <c r="J25" s="118"/>
      <c r="K25" s="111"/>
    </row>
    <row r="26" spans="1:11" s="19" customFormat="1" outlineLevel="2" x14ac:dyDescent="0.25">
      <c r="A26" s="111"/>
      <c r="B26" s="117"/>
      <c r="C26" s="464" t="s">
        <v>152</v>
      </c>
      <c r="D26" s="460">
        <f>-' Inversiones Fijas y Diferidas'!G107</f>
        <v>-1000000</v>
      </c>
      <c r="E26" s="460">
        <f>-' Inversiones Fijas y Diferidas'!H107</f>
        <v>0</v>
      </c>
      <c r="F26" s="460">
        <f>-' Inversiones Fijas y Diferidas'!I107</f>
        <v>0</v>
      </c>
      <c r="G26" s="460">
        <f>-' Inversiones Fijas y Diferidas'!J107</f>
        <v>0</v>
      </c>
      <c r="H26" s="460">
        <f>-' Inversiones Fijas y Diferidas'!K107</f>
        <v>0</v>
      </c>
      <c r="I26" s="460">
        <f>-' Inversiones Fijas y Diferidas'!L107</f>
        <v>0</v>
      </c>
      <c r="J26" s="118"/>
      <c r="K26" s="111"/>
    </row>
    <row r="27" spans="1:11" s="19" customFormat="1" outlineLevel="2" x14ac:dyDescent="0.25">
      <c r="A27" s="111"/>
      <c r="B27" s="117"/>
      <c r="C27" s="464" t="s">
        <v>153</v>
      </c>
      <c r="D27" s="460">
        <f>-' Inversiones Fijas y Diferidas'!G115</f>
        <v>0</v>
      </c>
      <c r="E27" s="460">
        <f>-' Inversiones Fijas y Diferidas'!H115</f>
        <v>0</v>
      </c>
      <c r="F27" s="460">
        <f>-' Inversiones Fijas y Diferidas'!I115</f>
        <v>0</v>
      </c>
      <c r="G27" s="460">
        <f>-' Inversiones Fijas y Diferidas'!J115</f>
        <v>0</v>
      </c>
      <c r="H27" s="460">
        <f>-' Inversiones Fijas y Diferidas'!K115</f>
        <v>0</v>
      </c>
      <c r="I27" s="460">
        <f>-' Inversiones Fijas y Diferidas'!L115</f>
        <v>0</v>
      </c>
      <c r="J27" s="118"/>
      <c r="K27" s="111"/>
    </row>
    <row r="28" spans="1:11" s="19" customFormat="1" outlineLevel="2" x14ac:dyDescent="0.25">
      <c r="A28" s="111"/>
      <c r="B28" s="117"/>
      <c r="C28" s="464" t="s">
        <v>151</v>
      </c>
      <c r="D28" s="460">
        <f>-' Inversiones Fijas y Diferidas'!G125</f>
        <v>0</v>
      </c>
      <c r="E28" s="460">
        <f>-' Inversiones Fijas y Diferidas'!H125</f>
        <v>0</v>
      </c>
      <c r="F28" s="460">
        <f>-' Inversiones Fijas y Diferidas'!I125</f>
        <v>0</v>
      </c>
      <c r="G28" s="460">
        <f>-' Inversiones Fijas y Diferidas'!J125</f>
        <v>0</v>
      </c>
      <c r="H28" s="460">
        <f>-' Inversiones Fijas y Diferidas'!K125</f>
        <v>0</v>
      </c>
      <c r="I28" s="460">
        <f>-' Inversiones Fijas y Diferidas'!L125</f>
        <v>0</v>
      </c>
      <c r="J28" s="118"/>
      <c r="K28" s="111"/>
    </row>
    <row r="29" spans="1:11" s="19" customFormat="1" hidden="1" outlineLevel="2" x14ac:dyDescent="0.25">
      <c r="A29" s="111"/>
      <c r="B29" s="117"/>
      <c r="C29" s="464"/>
      <c r="D29" s="460"/>
      <c r="E29" s="456"/>
      <c r="F29" s="456"/>
      <c r="G29" s="456"/>
      <c r="H29" s="456"/>
      <c r="I29" s="456"/>
      <c r="J29" s="118"/>
      <c r="K29" s="111"/>
    </row>
    <row r="30" spans="1:11" s="19" customFormat="1" hidden="1" outlineLevel="2" x14ac:dyDescent="0.25">
      <c r="A30" s="111"/>
      <c r="B30" s="117"/>
      <c r="C30" s="464"/>
      <c r="D30" s="460"/>
      <c r="E30" s="456"/>
      <c r="F30" s="456"/>
      <c r="G30" s="456"/>
      <c r="H30" s="456"/>
      <c r="I30" s="456"/>
      <c r="J30" s="118"/>
      <c r="K30" s="111"/>
    </row>
    <row r="31" spans="1:11" s="19" customFormat="1" outlineLevel="2" x14ac:dyDescent="0.25">
      <c r="A31" s="111"/>
      <c r="B31" s="117"/>
      <c r="C31" s="464" t="s">
        <v>179</v>
      </c>
      <c r="D31" s="460">
        <f>-' Inversiones Fijas y Diferidas'!G171</f>
        <v>0</v>
      </c>
      <c r="E31" s="456">
        <f>-' Inversiones Fijas y Diferidas'!H172</f>
        <v>0</v>
      </c>
      <c r="F31" s="456">
        <f>-' Inversiones Fijas y Diferidas'!I172</f>
        <v>0</v>
      </c>
      <c r="G31" s="456">
        <f>-' Inversiones Fijas y Diferidas'!J172</f>
        <v>0</v>
      </c>
      <c r="H31" s="456">
        <f>-' Inversiones Fijas y Diferidas'!K172</f>
        <v>0</v>
      </c>
      <c r="I31" s="456">
        <f>-' Inversiones Fijas y Diferidas'!L172</f>
        <v>0</v>
      </c>
      <c r="J31" s="118"/>
      <c r="K31" s="111"/>
    </row>
    <row r="32" spans="1:11" outlineLevel="1" x14ac:dyDescent="0.25">
      <c r="A32" s="80"/>
      <c r="B32" s="86"/>
      <c r="C32" s="465" t="s">
        <v>328</v>
      </c>
      <c r="D32" s="419">
        <f t="shared" ref="D32:I32" si="1">SUM(D22:D31)</f>
        <v>-37302393</v>
      </c>
      <c r="E32" s="406">
        <f t="shared" si="1"/>
        <v>0</v>
      </c>
      <c r="F32" s="406">
        <f t="shared" si="1"/>
        <v>0</v>
      </c>
      <c r="G32" s="406">
        <f t="shared" si="1"/>
        <v>0</v>
      </c>
      <c r="H32" s="406">
        <f t="shared" si="1"/>
        <v>0</v>
      </c>
      <c r="I32" s="406">
        <f t="shared" si="1"/>
        <v>0</v>
      </c>
      <c r="J32" s="87"/>
      <c r="K32" s="80"/>
    </row>
    <row r="33" spans="1:11" outlineLevel="1" x14ac:dyDescent="0.25">
      <c r="A33" s="80"/>
      <c r="B33" s="86"/>
      <c r="C33" s="463" t="s">
        <v>276</v>
      </c>
      <c r="D33" s="419">
        <f>-' Inversiones Fijas y Diferidas'!G167</f>
        <v>-38792564</v>
      </c>
      <c r="E33" s="419">
        <f>-' Inversiones Fijas y Diferidas'!H167</f>
        <v>0</v>
      </c>
      <c r="F33" s="419">
        <f>-' Inversiones Fijas y Diferidas'!I167</f>
        <v>0</v>
      </c>
      <c r="G33" s="419">
        <f>-' Inversiones Fijas y Diferidas'!J167</f>
        <v>0</v>
      </c>
      <c r="H33" s="419">
        <f>-' Inversiones Fijas y Diferidas'!K167</f>
        <v>0</v>
      </c>
      <c r="I33" s="419">
        <f>-' Inversiones Fijas y Diferidas'!L167</f>
        <v>0</v>
      </c>
      <c r="J33" s="87"/>
      <c r="K33" s="80"/>
    </row>
    <row r="34" spans="1:11" s="24" customFormat="1" x14ac:dyDescent="0.25">
      <c r="A34" s="122"/>
      <c r="B34" s="126"/>
      <c r="C34" s="77" t="s">
        <v>72</v>
      </c>
      <c r="D34" s="420">
        <f t="shared" ref="D34:I34" si="2">D21+D32+D33</f>
        <v>-97792955.320337296</v>
      </c>
      <c r="E34" s="420">
        <f t="shared" si="2"/>
        <v>0</v>
      </c>
      <c r="F34" s="420">
        <f t="shared" si="2"/>
        <v>-17969641.530423611</v>
      </c>
      <c r="G34" s="420">
        <f t="shared" si="2"/>
        <v>-1210423.9323235899</v>
      </c>
      <c r="H34" s="420">
        <f t="shared" si="2"/>
        <v>-19417311.833127983</v>
      </c>
      <c r="I34" s="420">
        <f t="shared" si="2"/>
        <v>-1790210.0719863623</v>
      </c>
      <c r="J34" s="127"/>
      <c r="K34" s="122"/>
    </row>
    <row r="35" spans="1:11" x14ac:dyDescent="0.25">
      <c r="A35" s="121"/>
      <c r="B35" s="86"/>
      <c r="C35" s="50" t="s">
        <v>73</v>
      </c>
      <c r="D35" s="417"/>
      <c r="E35" s="417"/>
      <c r="F35" s="417"/>
      <c r="G35" s="417"/>
      <c r="H35" s="417"/>
      <c r="I35" s="417"/>
      <c r="J35" s="125"/>
      <c r="K35" s="80"/>
    </row>
    <row r="36" spans="1:11" outlineLevel="1" x14ac:dyDescent="0.25">
      <c r="A36" s="80"/>
      <c r="B36" s="86"/>
      <c r="C36" s="461" t="s">
        <v>245</v>
      </c>
      <c r="D36" s="419">
        <f>'Estructura de Capital'!E83</f>
        <v>0</v>
      </c>
      <c r="E36" s="406"/>
      <c r="F36" s="406"/>
      <c r="G36" s="406"/>
      <c r="H36" s="406"/>
      <c r="I36" s="406"/>
      <c r="J36" s="87"/>
      <c r="K36" s="80"/>
    </row>
    <row r="37" spans="1:11" outlineLevel="1" x14ac:dyDescent="0.25">
      <c r="A37" s="80"/>
      <c r="B37" s="86"/>
      <c r="C37" s="461" t="s">
        <v>114</v>
      </c>
      <c r="D37" s="419">
        <f>'Deuda $'!C5</f>
        <v>53298264</v>
      </c>
      <c r="E37" s="406">
        <f>'Deuda $'!D5</f>
        <v>0</v>
      </c>
      <c r="F37" s="406">
        <f>'Deuda $'!E5</f>
        <v>0</v>
      </c>
      <c r="G37" s="406">
        <f>'Deuda $'!F5</f>
        <v>0</v>
      </c>
      <c r="H37" s="406">
        <f>'Deuda $'!G5</f>
        <v>0</v>
      </c>
      <c r="I37" s="406">
        <f>'Deuda $'!H5</f>
        <v>0</v>
      </c>
      <c r="J37" s="87"/>
      <c r="K37" s="80"/>
    </row>
    <row r="38" spans="1:11" outlineLevel="1" x14ac:dyDescent="0.25">
      <c r="A38" s="80"/>
      <c r="B38" s="86"/>
      <c r="C38" s="461" t="s">
        <v>74</v>
      </c>
      <c r="D38" s="419"/>
      <c r="E38" s="406">
        <f>-'Deuda $'!D22</f>
        <v>0</v>
      </c>
      <c r="F38" s="406">
        <f>-'Deuda $'!E22</f>
        <v>-53298264</v>
      </c>
      <c r="G38" s="406">
        <f>-'Deuda $'!F22</f>
        <v>0</v>
      </c>
      <c r="H38" s="406">
        <f>-'Deuda $'!G22</f>
        <v>0</v>
      </c>
      <c r="I38" s="406">
        <f>-'Deuda $'!H22</f>
        <v>0</v>
      </c>
      <c r="J38" s="87"/>
      <c r="K38" s="80"/>
    </row>
    <row r="39" spans="1:11" outlineLevel="1" x14ac:dyDescent="0.25">
      <c r="A39" s="80"/>
      <c r="B39" s="86"/>
      <c r="C39" s="461" t="s">
        <v>75</v>
      </c>
      <c r="D39" s="419"/>
      <c r="E39" s="406">
        <f>-'Deuda $'!D30</f>
        <v>-16641020.574248031</v>
      </c>
      <c r="F39" s="406">
        <f>-'Deuda $'!E30</f>
        <v>-16208538.421720795</v>
      </c>
      <c r="G39" s="406">
        <f>-'Deuda $'!F30</f>
        <v>0</v>
      </c>
      <c r="H39" s="406">
        <f>-'Deuda $'!G30</f>
        <v>0</v>
      </c>
      <c r="I39" s="406">
        <f>-'Deuda $'!H30</f>
        <v>0</v>
      </c>
      <c r="J39" s="87"/>
      <c r="K39" s="80"/>
    </row>
    <row r="40" spans="1:11" outlineLevel="1" x14ac:dyDescent="0.25">
      <c r="A40" s="80"/>
      <c r="B40" s="86"/>
      <c r="C40" s="462" t="s">
        <v>76</v>
      </c>
      <c r="D40" s="419"/>
      <c r="E40" s="406">
        <f>-'Estructura de Capital'!F101</f>
        <v>0</v>
      </c>
      <c r="F40" s="406">
        <f>-'Estructura de Capital'!G101</f>
        <v>-640299.71131375642</v>
      </c>
      <c r="G40" s="406">
        <f>-'Estructura de Capital'!H101</f>
        <v>-32662156.736225642</v>
      </c>
      <c r="H40" s="406">
        <f>-'Estructura de Capital'!I101</f>
        <v>-60617200.853251055</v>
      </c>
      <c r="I40" s="406">
        <f>-'Estructura de Capital'!J101</f>
        <v>-143899909.09899038</v>
      </c>
      <c r="J40" s="87"/>
      <c r="K40" s="80"/>
    </row>
    <row r="41" spans="1:11" outlineLevel="1" x14ac:dyDescent="0.25">
      <c r="A41" s="80"/>
      <c r="B41" s="86"/>
      <c r="C41" s="461" t="s">
        <v>77</v>
      </c>
      <c r="D41" s="419">
        <f>'Estructura de Capital'!E81</f>
        <v>22796693</v>
      </c>
      <c r="E41" s="406">
        <f>'Estructura de Capital'!F82</f>
        <v>0</v>
      </c>
      <c r="F41" s="406">
        <f>'Estructura de Capital'!G82</f>
        <v>0</v>
      </c>
      <c r="G41" s="406">
        <f>'Estructura de Capital'!H82</f>
        <v>0</v>
      </c>
      <c r="H41" s="406">
        <f>'Estructura de Capital'!I82</f>
        <v>0</v>
      </c>
      <c r="I41" s="406">
        <f>'Estructura de Capital'!J82</f>
        <v>0</v>
      </c>
      <c r="J41" s="87"/>
      <c r="K41" s="80"/>
    </row>
    <row r="42" spans="1:11" outlineLevel="1" x14ac:dyDescent="0.25">
      <c r="A42" s="80"/>
      <c r="B42" s="86"/>
      <c r="C42" s="465" t="s">
        <v>343</v>
      </c>
      <c r="D42" s="419"/>
      <c r="E42" s="406">
        <f>+'Precios Ventas'!F42</f>
        <v>0</v>
      </c>
      <c r="F42" s="406">
        <f>+'Precios Ventas'!G42</f>
        <v>0</v>
      </c>
      <c r="G42" s="406">
        <f>+'Precios Ventas'!H42</f>
        <v>0</v>
      </c>
      <c r="H42" s="406">
        <f>+'Precios Ventas'!I42</f>
        <v>0</v>
      </c>
      <c r="I42" s="406">
        <f>+'Precios Ventas'!J42</f>
        <v>0</v>
      </c>
      <c r="J42" s="87"/>
      <c r="K42" s="80"/>
    </row>
    <row r="43" spans="1:11" s="24" customFormat="1" x14ac:dyDescent="0.25">
      <c r="A43" s="122"/>
      <c r="B43" s="126"/>
      <c r="C43" s="77" t="s">
        <v>78</v>
      </c>
      <c r="D43" s="418">
        <f t="shared" ref="D43:I43" si="3">SUM(D36:D42)</f>
        <v>76094957</v>
      </c>
      <c r="E43" s="418">
        <f t="shared" si="3"/>
        <v>-16641020.574248031</v>
      </c>
      <c r="F43" s="418">
        <f t="shared" si="3"/>
        <v>-70147102.133034557</v>
      </c>
      <c r="G43" s="418">
        <f t="shared" si="3"/>
        <v>-32662156.736225642</v>
      </c>
      <c r="H43" s="418">
        <f t="shared" si="3"/>
        <v>-60617200.853251055</v>
      </c>
      <c r="I43" s="418">
        <f t="shared" si="3"/>
        <v>-143899909.09899038</v>
      </c>
      <c r="J43" s="127"/>
      <c r="K43" s="122"/>
    </row>
    <row r="44" spans="1:11" s="24" customFormat="1" x14ac:dyDescent="0.25">
      <c r="A44" s="122"/>
      <c r="B44" s="126"/>
      <c r="C44" s="128"/>
      <c r="D44" s="421"/>
      <c r="E44" s="421"/>
      <c r="F44" s="421"/>
      <c r="G44" s="421"/>
      <c r="H44" s="421"/>
      <c r="I44" s="421"/>
      <c r="J44" s="127"/>
      <c r="K44" s="122"/>
    </row>
    <row r="45" spans="1:11" s="12" customFormat="1" x14ac:dyDescent="0.25">
      <c r="A45" s="102"/>
      <c r="B45" s="106"/>
      <c r="C45" s="51" t="s">
        <v>79</v>
      </c>
      <c r="D45" s="409">
        <f t="shared" ref="D45:I45" si="4">D10+D34+D43</f>
        <v>-21697998.320337296</v>
      </c>
      <c r="E45" s="409">
        <f t="shared" si="4"/>
        <v>52373568.089442402</v>
      </c>
      <c r="F45" s="409">
        <f t="shared" si="4"/>
        <v>179621625.89138576</v>
      </c>
      <c r="G45" s="409">
        <f t="shared" si="4"/>
        <v>192778523.07623336</v>
      </c>
      <c r="H45" s="409">
        <f t="shared" si="4"/>
        <v>368356811.36031276</v>
      </c>
      <c r="I45" s="409">
        <f t="shared" si="4"/>
        <v>267918994.05788904</v>
      </c>
      <c r="J45" s="107"/>
      <c r="K45" s="102"/>
    </row>
    <row r="46" spans="1:11" s="12" customFormat="1" x14ac:dyDescent="0.25">
      <c r="A46" s="102"/>
      <c r="B46" s="106"/>
      <c r="C46" s="466" t="s">
        <v>80</v>
      </c>
      <c r="D46" s="409"/>
      <c r="E46" s="409">
        <f>Balance!D5</f>
        <v>-21697998.320337303</v>
      </c>
      <c r="F46" s="409">
        <f>Balance!E5</f>
        <v>30675569.769105099</v>
      </c>
      <c r="G46" s="409">
        <f>Balance!F5</f>
        <v>210297195.66049087</v>
      </c>
      <c r="H46" s="409">
        <f>Balance!G5</f>
        <v>403075718.73672426</v>
      </c>
      <c r="I46" s="409">
        <f>Balance!H5</f>
        <v>771432530.09703708</v>
      </c>
      <c r="J46" s="107"/>
      <c r="K46" s="102"/>
    </row>
    <row r="47" spans="1:11" s="12" customFormat="1" x14ac:dyDescent="0.25">
      <c r="A47" s="102"/>
      <c r="B47" s="106"/>
      <c r="C47" s="466" t="s">
        <v>81</v>
      </c>
      <c r="D47" s="409">
        <f t="shared" ref="D47:I47" si="5">D45+D46</f>
        <v>-21697998.320337296</v>
      </c>
      <c r="E47" s="409">
        <f t="shared" si="5"/>
        <v>30675569.769105099</v>
      </c>
      <c r="F47" s="409">
        <f t="shared" si="5"/>
        <v>210297195.66049087</v>
      </c>
      <c r="G47" s="409">
        <f t="shared" si="5"/>
        <v>403075718.73672426</v>
      </c>
      <c r="H47" s="409">
        <f t="shared" si="5"/>
        <v>771432530.09703708</v>
      </c>
      <c r="I47" s="409">
        <f t="shared" si="5"/>
        <v>1039351524.1549261</v>
      </c>
      <c r="J47" s="107"/>
      <c r="K47" s="102"/>
    </row>
    <row r="48" spans="1:11" ht="13.8" thickBot="1" x14ac:dyDescent="0.3">
      <c r="A48" s="80"/>
      <c r="B48" s="90"/>
      <c r="C48" s="108"/>
      <c r="D48" s="101"/>
      <c r="E48" s="101"/>
      <c r="F48" s="92"/>
      <c r="G48" s="92"/>
      <c r="H48" s="92"/>
      <c r="I48" s="92"/>
      <c r="J48" s="93"/>
      <c r="K48" s="80"/>
    </row>
    <row r="49" spans="1:11" x14ac:dyDescent="0.25">
      <c r="A49" s="80"/>
      <c r="B49" s="80"/>
      <c r="C49" s="123"/>
      <c r="D49" s="124"/>
      <c r="E49" s="124"/>
      <c r="F49" s="80"/>
      <c r="G49" s="80"/>
      <c r="H49" s="80"/>
      <c r="I49" s="80"/>
      <c r="J49" s="80"/>
      <c r="K49" s="80"/>
    </row>
  </sheetData>
  <sheetProtection password="CA1B" sheet="1" formatColumns="0" formatRows="0"/>
  <phoneticPr fontId="0" type="noConversion"/>
  <hyperlinks>
    <hyperlink ref="C1" location="Inicio!A1" display="Inicio" xr:uid="{00000000-0004-0000-0E00-000000000000}"/>
  </hyperlinks>
  <printOptions horizontalCentered="1" verticalCentered="1" gridLinesSet="0"/>
  <pageMargins left="0.19685039370078741" right="0.19685039370078741" top="0.98425196850393704" bottom="0.31496062992125984" header="0.59055118110236227" footer="0.23622047244094491"/>
  <pageSetup scale="85" orientation="landscape" horizontalDpi="300" verticalDpi="300"/>
  <headerFooter alignWithMargins="0">
    <oddHeader>&amp;C&amp;"Arial,Negrita"&amp;14MODELO FINANCIERO
&amp;12FLUJO DE CAJA ANUAL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29">
    <tabColor theme="8" tint="-0.249977111117893"/>
  </sheetPr>
  <dimension ref="A1:J35"/>
  <sheetViews>
    <sheetView zoomScale="97" zoomScaleNormal="144" workbookViewId="0">
      <selection activeCell="G18" sqref="G18"/>
    </sheetView>
  </sheetViews>
  <sheetFormatPr baseColWidth="10" defaultColWidth="0" defaultRowHeight="13.2" zeroHeight="1" x14ac:dyDescent="0.25"/>
  <cols>
    <col min="1" max="1" width="2.6640625" customWidth="1"/>
    <col min="2" max="2" width="2.77734375" customWidth="1"/>
    <col min="3" max="3" width="43.21875" customWidth="1"/>
    <col min="4" max="4" width="8.21875" customWidth="1"/>
    <col min="5" max="5" width="7.77734375" customWidth="1"/>
    <col min="6" max="6" width="12.77734375" customWidth="1"/>
    <col min="7" max="7" width="13" customWidth="1"/>
    <col min="8" max="8" width="13.77734375" customWidth="1"/>
    <col min="9" max="9" width="13.33203125" customWidth="1"/>
    <col min="10" max="10" width="13.44140625" customWidth="1"/>
  </cols>
  <sheetData>
    <row r="1" spans="1:10" ht="17.399999999999999" x14ac:dyDescent="0.25">
      <c r="A1" s="260"/>
      <c r="B1" s="260"/>
      <c r="C1" s="225" t="s">
        <v>412</v>
      </c>
      <c r="D1" s="226"/>
      <c r="E1" s="226"/>
      <c r="F1" s="225"/>
      <c r="G1" s="226"/>
      <c r="H1" s="226"/>
      <c r="I1" s="226"/>
      <c r="J1" s="226"/>
    </row>
    <row r="2" spans="1:10" ht="18" thickBot="1" x14ac:dyDescent="0.3">
      <c r="A2" s="225"/>
      <c r="B2" s="226"/>
      <c r="C2" s="343" t="s">
        <v>350</v>
      </c>
      <c r="D2" s="226"/>
      <c r="E2" s="226"/>
      <c r="F2" s="226"/>
      <c r="G2" s="226"/>
      <c r="H2" s="226"/>
      <c r="I2" s="226"/>
      <c r="J2" s="226"/>
    </row>
    <row r="3" spans="1:10" x14ac:dyDescent="0.25">
      <c r="A3" s="80"/>
      <c r="B3" s="86"/>
      <c r="D3" s="1"/>
      <c r="E3" s="134">
        <f>Bases!D5</f>
        <v>0</v>
      </c>
      <c r="F3" s="134">
        <f>E3+1</f>
        <v>1</v>
      </c>
      <c r="G3" s="134">
        <f>F3+1</f>
        <v>2</v>
      </c>
      <c r="H3" s="134">
        <f>G3+1</f>
        <v>3</v>
      </c>
      <c r="I3" s="134">
        <f>H3+1</f>
        <v>4</v>
      </c>
      <c r="J3" s="134">
        <f>I3+1</f>
        <v>5</v>
      </c>
    </row>
    <row r="4" spans="1:10" x14ac:dyDescent="0.25">
      <c r="A4" s="129"/>
      <c r="B4" s="182"/>
      <c r="E4" s="304"/>
      <c r="F4" s="304"/>
      <c r="G4" s="304"/>
      <c r="H4" s="304"/>
      <c r="I4" s="304"/>
      <c r="J4" s="304"/>
    </row>
    <row r="5" spans="1:10" x14ac:dyDescent="0.25">
      <c r="A5" s="129"/>
      <c r="B5" s="138"/>
      <c r="C5" s="181" t="s">
        <v>242</v>
      </c>
      <c r="D5" s="35"/>
      <c r="E5" s="353"/>
      <c r="F5" s="353"/>
      <c r="G5" s="353"/>
      <c r="H5" s="353"/>
      <c r="I5" s="353"/>
      <c r="J5" s="353"/>
    </row>
    <row r="6" spans="1:10" x14ac:dyDescent="0.25">
      <c r="A6" s="129"/>
      <c r="B6" s="186"/>
      <c r="C6" s="176" t="s">
        <v>235</v>
      </c>
      <c r="D6" s="173" t="s">
        <v>236</v>
      </c>
      <c r="E6" s="353"/>
      <c r="F6" s="355">
        <f>+'Costo de Mercancías'!F16</f>
        <v>21355.144359308775</v>
      </c>
      <c r="G6" s="355">
        <f>+'Costo de Mercancías'!G16</f>
        <v>22187.994989321815</v>
      </c>
      <c r="H6" s="355">
        <f>+'Costo de Mercancías'!H16</f>
        <v>22875.822833990791</v>
      </c>
      <c r="I6" s="355">
        <f>+'Costo de Mercancías'!I16</f>
        <v>23562.097519010513</v>
      </c>
      <c r="J6" s="355">
        <f>+'Costo de Mercancías'!J16</f>
        <v>24268.960444580829</v>
      </c>
    </row>
    <row r="7" spans="1:10" hidden="1" x14ac:dyDescent="0.25">
      <c r="A7" s="129"/>
      <c r="B7" s="186"/>
      <c r="C7" s="176"/>
      <c r="D7" s="173"/>
      <c r="E7" s="353"/>
      <c r="F7" s="365"/>
      <c r="G7" s="365"/>
      <c r="H7" s="365"/>
      <c r="I7" s="365"/>
      <c r="J7" s="365"/>
    </row>
    <row r="8" spans="1:10" hidden="1" x14ac:dyDescent="0.25">
      <c r="A8" s="129"/>
      <c r="B8" s="186"/>
      <c r="C8" s="176"/>
      <c r="D8" s="173"/>
      <c r="E8" s="353"/>
      <c r="F8" s="422"/>
      <c r="G8" s="422"/>
      <c r="H8" s="422"/>
      <c r="I8" s="422"/>
      <c r="J8" s="422"/>
    </row>
    <row r="9" spans="1:10" hidden="1" x14ac:dyDescent="0.25">
      <c r="A9" s="129"/>
      <c r="B9" s="138"/>
      <c r="E9" s="304"/>
      <c r="F9" s="304"/>
      <c r="G9" s="304"/>
      <c r="H9" s="304"/>
      <c r="I9" s="304"/>
      <c r="J9" s="304"/>
    </row>
    <row r="10" spans="1:10" x14ac:dyDescent="0.25">
      <c r="A10" s="129"/>
      <c r="B10" s="138"/>
      <c r="C10" s="201" t="s">
        <v>456</v>
      </c>
      <c r="D10" s="35"/>
      <c r="E10" s="353"/>
      <c r="F10" s="353"/>
      <c r="G10" s="353"/>
      <c r="H10" s="353"/>
      <c r="I10" s="353"/>
      <c r="J10" s="353"/>
    </row>
    <row r="11" spans="1:10" x14ac:dyDescent="0.25">
      <c r="A11" s="129"/>
      <c r="B11" s="138"/>
      <c r="C11" s="475" t="s">
        <v>457</v>
      </c>
      <c r="D11" s="35"/>
      <c r="E11" s="353"/>
      <c r="F11" s="382">
        <f>IF(+F6=0,0,(+F12)/F6)</f>
        <v>5653.066769822045</v>
      </c>
      <c r="G11" s="382">
        <f>IF(+G6=0,0,(+G12)/G6)</f>
        <v>10083.905078159018</v>
      </c>
      <c r="H11" s="382">
        <f>IF(+H6=0,0,(+H12)/H6)</f>
        <v>9326.9366136274075</v>
      </c>
      <c r="I11" s="382">
        <f>IF(+I6=0,0,(+I12)/I6)</f>
        <v>14735.126685705452</v>
      </c>
      <c r="J11" s="382">
        <f>IF(+J6=0,0,(+J12)/J6)</f>
        <v>13984.801134773104</v>
      </c>
    </row>
    <row r="12" spans="1:10" x14ac:dyDescent="0.25">
      <c r="A12" s="129"/>
      <c r="B12" s="138"/>
      <c r="C12" s="475" t="s">
        <v>458</v>
      </c>
      <c r="D12" s="35"/>
      <c r="E12" s="353"/>
      <c r="F12" s="391">
        <f>+F14+'Capital de Trabajo'!F23</f>
        <v>120722056.94236112</v>
      </c>
      <c r="G12" s="382">
        <f>+G14+'Capital de Trabajo'!G23-'Capital de Trabajo'!F23</f>
        <v>223741635.3469891</v>
      </c>
      <c r="H12" s="382">
        <f>+H14+'Capital de Trabajo'!H23-'Capital de Trabajo'!G23</f>
        <v>213361349.55720261</v>
      </c>
      <c r="I12" s="382">
        <f>+I14+'Capital de Trabajo'!I23-'Capital de Trabajo'!H23</f>
        <v>347190491.92356604</v>
      </c>
      <c r="J12" s="382">
        <f>+J14+'Capital de Trabajo'!J23-'Capital de Trabajo'!I23</f>
        <v>339396585.56513757</v>
      </c>
    </row>
    <row r="13" spans="1:10" x14ac:dyDescent="0.25">
      <c r="A13" s="129"/>
      <c r="B13" s="138"/>
      <c r="C13" s="475" t="s">
        <v>459</v>
      </c>
      <c r="D13" s="35"/>
      <c r="E13" s="353"/>
      <c r="F13" s="382">
        <f>+F12+F16</f>
        <v>120722056.94236112</v>
      </c>
      <c r="G13" s="382">
        <f>+G12+G16</f>
        <v>223741635.3469891</v>
      </c>
      <c r="H13" s="382">
        <f>+H12+H16</f>
        <v>213361349.55720261</v>
      </c>
      <c r="I13" s="382">
        <f>+I12+I16</f>
        <v>347190491.92356604</v>
      </c>
      <c r="J13" s="382">
        <f>+J12+J16</f>
        <v>339396585.56513757</v>
      </c>
    </row>
    <row r="14" spans="1:10" x14ac:dyDescent="0.25">
      <c r="A14" s="129"/>
      <c r="B14" s="186"/>
      <c r="C14" s="202" t="s">
        <v>460</v>
      </c>
      <c r="D14" s="173" t="s">
        <v>3</v>
      </c>
      <c r="E14" s="353"/>
      <c r="F14" s="423">
        <f>+'Márgenes por Productos'!E66</f>
        <v>99024058.622023821</v>
      </c>
      <c r="G14" s="423">
        <f>+'Márgenes por Productos'!F66</f>
        <v>205771993.81656548</v>
      </c>
      <c r="H14" s="423">
        <f>+'Márgenes por Productos'!G66</f>
        <v>212150925.624879</v>
      </c>
      <c r="I14" s="423">
        <f>+'Márgenes por Productos'!H66</f>
        <v>327773180.09043807</v>
      </c>
      <c r="J14" s="423">
        <f>+'Márgenes por Productos'!I66</f>
        <v>337606375.49315119</v>
      </c>
    </row>
    <row r="15" spans="1:10" x14ac:dyDescent="0.25">
      <c r="A15" s="129"/>
      <c r="B15" s="186"/>
      <c r="C15" s="202" t="s">
        <v>529</v>
      </c>
      <c r="D15" s="173"/>
      <c r="E15" s="353"/>
      <c r="F15" s="423">
        <f>+'Gastos Generales Admon y Ventas'!G38</f>
        <v>27433692</v>
      </c>
      <c r="G15" s="423">
        <f>+'Gastos Generales Admon y Ventas'!H38</f>
        <v>28503605.987999998</v>
      </c>
      <c r="H15" s="423">
        <f>+'Gastos Generales Admon y Ventas'!I38</f>
        <v>29387217.773627996</v>
      </c>
      <c r="I15" s="423">
        <f>+'Gastos Generales Admon y Ventas'!J38</f>
        <v>30268834.306836836</v>
      </c>
      <c r="J15" s="423">
        <f>+'Gastos Generales Admon y Ventas'!K38</f>
        <v>31176899.336041942</v>
      </c>
    </row>
    <row r="16" spans="1:10" x14ac:dyDescent="0.25">
      <c r="A16" s="129"/>
      <c r="B16" s="186"/>
      <c r="C16" s="202" t="s">
        <v>455</v>
      </c>
      <c r="D16" s="173" t="s">
        <v>3</v>
      </c>
      <c r="E16" s="353"/>
      <c r="F16" s="391">
        <f>+'Costo de Mercancías'!F27</f>
        <v>0</v>
      </c>
      <c r="G16" s="391">
        <f>+'Costo de Mercancías'!G27</f>
        <v>0</v>
      </c>
      <c r="H16" s="391">
        <f>+'Costo de Mercancías'!H27</f>
        <v>0</v>
      </c>
      <c r="I16" s="391">
        <f>+'Costo de Mercancías'!I27</f>
        <v>0</v>
      </c>
      <c r="J16" s="391">
        <f>+'Costo de Mercancías'!J27</f>
        <v>0</v>
      </c>
    </row>
    <row r="17" spans="1:10" x14ac:dyDescent="0.25">
      <c r="A17" s="129"/>
      <c r="B17" s="186"/>
      <c r="C17" s="202" t="s">
        <v>530</v>
      </c>
      <c r="D17" s="173" t="s">
        <v>3</v>
      </c>
      <c r="E17" s="353"/>
      <c r="F17" s="391">
        <f>+F14+F15+F16</f>
        <v>126457750.62202382</v>
      </c>
      <c r="G17" s="391">
        <f>+G14+G15+G16</f>
        <v>234275599.80456549</v>
      </c>
      <c r="H17" s="391">
        <f>+H14+H15+H16</f>
        <v>241538143.398507</v>
      </c>
      <c r="I17" s="391">
        <f>+I14+I15+I16</f>
        <v>358042014.39727491</v>
      </c>
      <c r="J17" s="391">
        <f>+J14+J15+J16</f>
        <v>368783274.82919312</v>
      </c>
    </row>
    <row r="18" spans="1:10" x14ac:dyDescent="0.25">
      <c r="A18" s="129"/>
      <c r="B18" s="178"/>
      <c r="C18" s="172" t="s">
        <v>18</v>
      </c>
      <c r="D18" s="173" t="s">
        <v>3</v>
      </c>
      <c r="E18" s="353"/>
      <c r="F18" s="391">
        <f>'Estructura de Capital'!F13+'Estructura de Capital'!F20+'Estructura de Capital'!F27+'Estructura de Capital'!F34+'Estructura de Capital'!F41+'Estructura de Capital'!F48+Construcciones!C24+'Adecuaciones y Mejoras'!C24+Maquinaria!C24+Muebles!C24+Transporte!C24+Oficina!C24</f>
        <v>3730239.3</v>
      </c>
      <c r="G18" s="391">
        <f>'Estructura de Capital'!G13+'Estructura de Capital'!G20+'Estructura de Capital'!G27+'Estructura de Capital'!G34+'Estructura de Capital'!G41+'Estructura de Capital'!G48+Construcciones!D24+'Adecuaciones y Mejoras'!D24+Maquinaria!D24+Muebles!D24+Transporte!D24+Oficina!D24</f>
        <v>3730239.3</v>
      </c>
      <c r="H18" s="391">
        <f>'Estructura de Capital'!H13+'Estructura de Capital'!H20+'Estructura de Capital'!H27+'Estructura de Capital'!H34+'Estructura de Capital'!H41+'Estructura de Capital'!H48+Construcciones!E24+'Adecuaciones y Mejoras'!E24+Maquinaria!E24+Muebles!E24+Transporte!E24+Oficina!E24</f>
        <v>3730239.3</v>
      </c>
      <c r="I18" s="391">
        <f>'Estructura de Capital'!I13+'Estructura de Capital'!I20+'Estructura de Capital'!I27+'Estructura de Capital'!I34+'Estructura de Capital'!I41+'Estructura de Capital'!I48+Construcciones!F24+'Adecuaciones y Mejoras'!F24+Maquinaria!F24+Muebles!F24+Transporte!F24+Oficina!F24</f>
        <v>3730239.3</v>
      </c>
      <c r="J18" s="391">
        <f>'Estructura de Capital'!J13+'Estructura de Capital'!J20+'Estructura de Capital'!J27+'Estructura de Capital'!J34+'Estructura de Capital'!J41+'Estructura de Capital'!J48+Construcciones!G24+'Adecuaciones y Mejoras'!G24+Maquinaria!G24+Muebles!G24+Transporte!G24+Oficina!G24</f>
        <v>3730239.3</v>
      </c>
    </row>
    <row r="19" spans="1:10" hidden="1" x14ac:dyDescent="0.25">
      <c r="A19" s="129"/>
      <c r="B19" s="178"/>
      <c r="C19" s="202" t="s">
        <v>303</v>
      </c>
      <c r="D19" s="173" t="s">
        <v>3</v>
      </c>
      <c r="E19" s="353"/>
      <c r="F19" s="382">
        <f>'Estructura de Capital'!F55+'Estructura de Capital'!F61+Semovientes!C24+Permanentes!C24</f>
        <v>0</v>
      </c>
      <c r="G19" s="382">
        <f>'Estructura de Capital'!G55+'Estructura de Capital'!G61+Semovientes!D24+Permanentes!D24</f>
        <v>0</v>
      </c>
      <c r="H19" s="382">
        <f>'Estructura de Capital'!H55+'Estructura de Capital'!H61+Semovientes!E24+Permanentes!E24</f>
        <v>0</v>
      </c>
      <c r="I19" s="382">
        <f>'Estructura de Capital'!I55+'Estructura de Capital'!I61+Semovientes!F24+Permanentes!F24</f>
        <v>0</v>
      </c>
      <c r="J19" s="382">
        <f>'Estructura de Capital'!J55+'Estructura de Capital'!J61+Semovientes!G24+Permanentes!G24</f>
        <v>0</v>
      </c>
    </row>
    <row r="20" spans="1:10" hidden="1" x14ac:dyDescent="0.25">
      <c r="A20" s="129"/>
      <c r="B20" s="178"/>
      <c r="C20" s="202"/>
      <c r="D20" s="173"/>
      <c r="E20" s="353"/>
      <c r="F20" s="382"/>
      <c r="G20" s="382"/>
      <c r="H20" s="382"/>
      <c r="I20" s="382"/>
      <c r="J20" s="382"/>
    </row>
    <row r="21" spans="1:10" hidden="1" x14ac:dyDescent="0.25">
      <c r="A21" s="129"/>
      <c r="B21" s="178"/>
      <c r="C21" s="202"/>
      <c r="D21" s="173"/>
      <c r="E21" s="353"/>
      <c r="F21" s="382"/>
      <c r="G21" s="382"/>
      <c r="H21" s="382"/>
      <c r="I21" s="382"/>
      <c r="J21" s="382"/>
    </row>
    <row r="22" spans="1:10" hidden="1" x14ac:dyDescent="0.25">
      <c r="A22" s="129"/>
      <c r="B22" s="178"/>
      <c r="C22" s="202"/>
      <c r="D22" s="173"/>
      <c r="E22" s="353"/>
      <c r="F22" s="382"/>
      <c r="G22" s="382"/>
      <c r="H22" s="382"/>
      <c r="I22" s="382"/>
      <c r="J22" s="382"/>
    </row>
    <row r="23" spans="1:10" x14ac:dyDescent="0.25">
      <c r="A23" s="129"/>
      <c r="B23" s="186"/>
      <c r="C23" s="202" t="s">
        <v>542</v>
      </c>
      <c r="D23" s="173" t="s">
        <v>3</v>
      </c>
      <c r="E23" s="353"/>
      <c r="F23" s="382">
        <f>SUM(F17:F20)</f>
        <v>130187989.92202382</v>
      </c>
      <c r="G23" s="382">
        <f>SUM(G17:G19)</f>
        <v>238005839.1045655</v>
      </c>
      <c r="H23" s="382">
        <f>SUM(H17:H19)</f>
        <v>245268382.69850701</v>
      </c>
      <c r="I23" s="382">
        <f>SUM(I17:I19)</f>
        <v>361772253.69727492</v>
      </c>
      <c r="J23" s="382">
        <f>SUM(J17:J19)</f>
        <v>372513514.12919313</v>
      </c>
    </row>
    <row r="24" spans="1:10" x14ac:dyDescent="0.25">
      <c r="A24" s="129"/>
      <c r="B24" s="186"/>
      <c r="C24" s="172" t="s">
        <v>110</v>
      </c>
      <c r="D24" s="173" t="s">
        <v>3</v>
      </c>
      <c r="E24" s="353"/>
      <c r="F24" s="424">
        <f>IF(ISERROR(F23/'Precios Ventas'!F37),"N.A.",1-F23/'Precios Ventas'!F37)</f>
        <v>0.60148748462594548</v>
      </c>
      <c r="G24" s="424">
        <f>IF(ISERROR(G23/'Precios Ventas'!G37),"N.A.",1-G23/'Precios Ventas'!G37)</f>
        <v>0.64939903094471219</v>
      </c>
      <c r="H24" s="424">
        <f>IF(ISERROR(H23/'Precios Ventas'!H37),"N.A.",1-H23/'Precios Ventas'!H37)</f>
        <v>0.64956425193545031</v>
      </c>
      <c r="I24" s="424">
        <f>IF(ISERROR(I23/'Precios Ventas'!I37),"N.A.",1-I23/'Precios Ventas'!I37)</f>
        <v>0.66544031502435375</v>
      </c>
      <c r="J24" s="424">
        <f>IF(ISERROR(J23/'Precios Ventas'!J37),"N.A.",1-J23/'Precios Ventas'!J37)</f>
        <v>0.66554079026949764</v>
      </c>
    </row>
    <row r="25" spans="1:10" x14ac:dyDescent="0.25">
      <c r="A25" s="129"/>
      <c r="B25" s="186"/>
      <c r="C25" s="199"/>
      <c r="D25" s="198"/>
      <c r="E25" s="353"/>
      <c r="F25" s="471"/>
      <c r="G25" s="471"/>
      <c r="H25" s="471"/>
      <c r="I25" s="471"/>
      <c r="J25" s="471"/>
    </row>
    <row r="26" spans="1:10" x14ac:dyDescent="0.25">
      <c r="A26" s="129"/>
      <c r="B26" s="186"/>
      <c r="C26" s="201" t="s">
        <v>421</v>
      </c>
      <c r="D26" s="198"/>
      <c r="E26" s="353"/>
      <c r="F26" s="471"/>
      <c r="G26" s="471"/>
      <c r="H26" s="471"/>
      <c r="I26" s="471"/>
      <c r="J26" s="471"/>
    </row>
    <row r="27" spans="1:10" x14ac:dyDescent="0.25">
      <c r="A27" s="129"/>
      <c r="B27" s="186"/>
      <c r="C27" s="202" t="s">
        <v>537</v>
      </c>
      <c r="D27" s="198"/>
      <c r="E27" s="353"/>
      <c r="F27" s="382">
        <v>0</v>
      </c>
      <c r="G27" s="382">
        <f>+F29</f>
        <v>21697998.320337303</v>
      </c>
      <c r="H27" s="382">
        <f>+G29</f>
        <v>39667639.850760914</v>
      </c>
      <c r="I27" s="382">
        <f>+H29</f>
        <v>40878063.783084504</v>
      </c>
      <c r="J27" s="382">
        <f>+I29</f>
        <v>60295375.616212487</v>
      </c>
    </row>
    <row r="28" spans="1:10" x14ac:dyDescent="0.25">
      <c r="A28" s="129"/>
      <c r="B28" s="186"/>
      <c r="C28" s="202" t="s">
        <v>420</v>
      </c>
      <c r="D28" s="198"/>
      <c r="E28" s="353"/>
      <c r="F28" s="382">
        <f>+F12</f>
        <v>120722056.94236112</v>
      </c>
      <c r="G28" s="382">
        <f>+G12</f>
        <v>223741635.3469891</v>
      </c>
      <c r="H28" s="382">
        <f>+H12</f>
        <v>213361349.55720261</v>
      </c>
      <c r="I28" s="382">
        <f>+I12</f>
        <v>347190491.92356604</v>
      </c>
      <c r="J28" s="382">
        <f>+J12</f>
        <v>339396585.56513757</v>
      </c>
    </row>
    <row r="29" spans="1:10" x14ac:dyDescent="0.25">
      <c r="A29" s="129"/>
      <c r="B29" s="186"/>
      <c r="C29" s="202" t="s">
        <v>538</v>
      </c>
      <c r="D29" s="198"/>
      <c r="E29" s="353"/>
      <c r="F29" s="423">
        <f>+'Capital de Trabajo'!F23</f>
        <v>21697998.320337303</v>
      </c>
      <c r="G29" s="423">
        <f>+'Capital de Trabajo'!G23</f>
        <v>39667639.850760914</v>
      </c>
      <c r="H29" s="423">
        <f>+'Capital de Trabajo'!H23</f>
        <v>40878063.783084504</v>
      </c>
      <c r="I29" s="423">
        <f>+'Capital de Trabajo'!I23</f>
        <v>60295375.616212487</v>
      </c>
      <c r="J29" s="423">
        <f>+'Capital de Trabajo'!J23</f>
        <v>62085585.68819885</v>
      </c>
    </row>
    <row r="30" spans="1:10" x14ac:dyDescent="0.25">
      <c r="A30" s="129"/>
      <c r="B30" s="186"/>
      <c r="C30" s="548" t="s">
        <v>539</v>
      </c>
      <c r="D30" s="472"/>
      <c r="E30" s="473"/>
      <c r="F30" s="474">
        <f>+F27+F28-F29</f>
        <v>99024058.622023821</v>
      </c>
      <c r="G30" s="474">
        <f>+G27+G28-G29</f>
        <v>205771993.81656548</v>
      </c>
      <c r="H30" s="474">
        <f>+H27+H28-H29</f>
        <v>212150925.624879</v>
      </c>
      <c r="I30" s="474">
        <f>+I27+I28-I29</f>
        <v>327773180.09043807</v>
      </c>
      <c r="J30" s="474">
        <f>+J27+J28-J29</f>
        <v>337606375.49315119</v>
      </c>
    </row>
    <row r="31" spans="1:10" x14ac:dyDescent="0.25">
      <c r="A31" s="129"/>
      <c r="B31" s="186"/>
      <c r="C31" s="475" t="s">
        <v>529</v>
      </c>
      <c r="D31" s="198"/>
      <c r="E31" s="353"/>
      <c r="F31" s="423">
        <f>+F15</f>
        <v>27433692</v>
      </c>
      <c r="G31" s="423">
        <f>+G15</f>
        <v>28503605.987999998</v>
      </c>
      <c r="H31" s="423">
        <f>+H15</f>
        <v>29387217.773627996</v>
      </c>
      <c r="I31" s="423">
        <f>+I15</f>
        <v>30268834.306836836</v>
      </c>
      <c r="J31" s="423">
        <f>+J15</f>
        <v>31176899.336041942</v>
      </c>
    </row>
    <row r="32" spans="1:10" x14ac:dyDescent="0.25">
      <c r="A32" s="129"/>
      <c r="B32" s="186"/>
      <c r="C32" s="475" t="s">
        <v>18</v>
      </c>
      <c r="D32" s="198"/>
      <c r="E32" s="353"/>
      <c r="F32" s="423">
        <f>+F18</f>
        <v>3730239.3</v>
      </c>
      <c r="G32" s="423">
        <f>+G18</f>
        <v>3730239.3</v>
      </c>
      <c r="H32" s="423">
        <f>+H18</f>
        <v>3730239.3</v>
      </c>
      <c r="I32" s="423">
        <f>+I18</f>
        <v>3730239.3</v>
      </c>
      <c r="J32" s="423">
        <f>+J18</f>
        <v>3730239.3</v>
      </c>
    </row>
    <row r="33" spans="1:10" x14ac:dyDescent="0.25">
      <c r="A33" s="129"/>
      <c r="B33" s="186"/>
      <c r="C33" s="475" t="s">
        <v>540</v>
      </c>
      <c r="D33" s="198"/>
      <c r="E33" s="353"/>
      <c r="F33" s="423">
        <f>+'Costo de Mercancías'!F27</f>
        <v>0</v>
      </c>
      <c r="G33" s="423">
        <f>+'Costo de Mercancías'!G27</f>
        <v>0</v>
      </c>
      <c r="H33" s="423">
        <f>+'Costo de Mercancías'!H27</f>
        <v>0</v>
      </c>
      <c r="I33" s="423">
        <f>+'Costo de Mercancías'!I27</f>
        <v>0</v>
      </c>
      <c r="J33" s="423">
        <f>+'Costo de Mercancías'!J27</f>
        <v>0</v>
      </c>
    </row>
    <row r="34" spans="1:10" x14ac:dyDescent="0.25">
      <c r="A34" s="129"/>
      <c r="B34" s="186"/>
      <c r="C34" s="548" t="s">
        <v>541</v>
      </c>
      <c r="D34" s="472"/>
      <c r="E34" s="473"/>
      <c r="F34" s="474">
        <f>+F30+F31+F32+F33</f>
        <v>130187989.92202382</v>
      </c>
      <c r="G34" s="474">
        <f>+G30+G32+G33</f>
        <v>209502233.1165655</v>
      </c>
      <c r="H34" s="474">
        <f>+H30+H32+H33</f>
        <v>215881164.92487901</v>
      </c>
      <c r="I34" s="474">
        <f>+I30+I32+I33</f>
        <v>331503419.39043808</v>
      </c>
      <c r="J34" s="474">
        <f>+J30+J32+J33</f>
        <v>341336614.7931512</v>
      </c>
    </row>
    <row r="35" spans="1:10" x14ac:dyDescent="0.25">
      <c r="A35" s="129"/>
      <c r="B35" s="186"/>
      <c r="C35" s="202"/>
      <c r="D35" s="198"/>
      <c r="E35" s="353"/>
      <c r="F35" s="423"/>
      <c r="G35" s="423"/>
      <c r="H35" s="423"/>
      <c r="I35" s="423"/>
      <c r="J35" s="423"/>
    </row>
  </sheetData>
  <sheetProtection password="CA1B" sheet="1" formatColumns="0" formatRows="0"/>
  <hyperlinks>
    <hyperlink ref="C2" location="Inicio!A1" display="Inicio" xr:uid="{00000000-0004-0000-0F00-000000000000}"/>
  </hyperlinks>
  <pageMargins left="0.55118110236220474" right="0.11811023622047245" top="1.17" bottom="0.98425196850393704" header="0.63" footer="0.31496062992125984"/>
  <pageSetup orientation="landscape" horizontalDpi="0" verticalDpi="0"/>
  <headerFooter>
    <oddHeader>&amp;C&amp;"Arial,Negrita"&amp;14&amp;A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6">
    <tabColor indexed="21"/>
    <pageSetUpPr fitToPage="1"/>
  </sheetPr>
  <dimension ref="A1:K50"/>
  <sheetViews>
    <sheetView showGridLines="0" topLeftCell="B36" zoomScale="125" zoomScaleNormal="140" workbookViewId="0">
      <selection activeCell="C29" sqref="C29"/>
    </sheetView>
  </sheetViews>
  <sheetFormatPr baseColWidth="10" defaultColWidth="0" defaultRowHeight="13.2" zeroHeight="1" outlineLevelRow="1" x14ac:dyDescent="0.25"/>
  <cols>
    <col min="1" max="1" width="2.33203125" style="34" customWidth="1"/>
    <col min="2" max="2" width="2.77734375" style="34" customWidth="1"/>
    <col min="3" max="3" width="46" style="33" customWidth="1"/>
    <col min="4" max="4" width="13.109375" style="36" bestFit="1" customWidth="1"/>
    <col min="5" max="5" width="12.44140625" style="36" customWidth="1"/>
    <col min="6" max="9" width="12.44140625" style="34" customWidth="1"/>
    <col min="10" max="11" width="4.6640625" style="34" customWidth="1"/>
    <col min="12" max="16384" width="0" style="34" hidden="1"/>
  </cols>
  <sheetData>
    <row r="1" spans="1:11" ht="18" thickBot="1" x14ac:dyDescent="0.3">
      <c r="A1" s="129"/>
      <c r="B1" s="133"/>
      <c r="C1" s="329" t="s">
        <v>350</v>
      </c>
      <c r="D1" s="226"/>
      <c r="E1" s="226"/>
      <c r="F1" s="226"/>
      <c r="G1" s="226"/>
      <c r="H1" s="226"/>
      <c r="I1" s="226"/>
      <c r="J1" s="135"/>
      <c r="K1" s="129"/>
    </row>
    <row r="2" spans="1:11" x14ac:dyDescent="0.25">
      <c r="A2" s="130"/>
      <c r="B2" s="136"/>
      <c r="C2" s="69" t="s">
        <v>195</v>
      </c>
      <c r="D2" s="134">
        <f>+Bases!D5</f>
        <v>0</v>
      </c>
      <c r="E2" s="134">
        <f>+D2+1</f>
        <v>1</v>
      </c>
      <c r="F2" s="134">
        <f>+E2+1</f>
        <v>2</v>
      </c>
      <c r="G2" s="134">
        <f>+F2+1</f>
        <v>3</v>
      </c>
      <c r="H2" s="134">
        <f>+G2+1</f>
        <v>4</v>
      </c>
      <c r="I2" s="134">
        <f>+H2+1</f>
        <v>5</v>
      </c>
      <c r="J2" s="137"/>
      <c r="K2" s="130"/>
    </row>
    <row r="3" spans="1:11" x14ac:dyDescent="0.25">
      <c r="A3" s="129"/>
      <c r="B3" s="138"/>
      <c r="C3" s="70" t="s">
        <v>196</v>
      </c>
      <c r="D3" s="436"/>
      <c r="E3" s="425">
        <f>Bases!F7</f>
        <v>3.9E-2</v>
      </c>
      <c r="F3" s="425">
        <f>Bases!G7</f>
        <v>3.1E-2</v>
      </c>
      <c r="G3" s="425">
        <f>Bases!H7</f>
        <v>0.03</v>
      </c>
      <c r="H3" s="425">
        <f>Bases!I7</f>
        <v>0.03</v>
      </c>
      <c r="I3" s="425">
        <f>Bases!J7</f>
        <v>0.03</v>
      </c>
      <c r="J3" s="139"/>
      <c r="K3" s="129"/>
    </row>
    <row r="4" spans="1:11" x14ac:dyDescent="0.25">
      <c r="A4" s="129"/>
      <c r="B4" s="138"/>
      <c r="C4" s="70" t="s">
        <v>197</v>
      </c>
      <c r="D4" s="436"/>
      <c r="E4" s="425">
        <f>Bases!F8</f>
        <v>-5.8900000000000001E-2</v>
      </c>
      <c r="F4" s="425">
        <f>Bases!G8</f>
        <v>-5.8900000000000001E-2</v>
      </c>
      <c r="G4" s="425">
        <f>Bases!H8</f>
        <v>-5.8900000000000001E-2</v>
      </c>
      <c r="H4" s="425">
        <f>Bases!I8</f>
        <v>-5.8900000000000001E-2</v>
      </c>
      <c r="I4" s="425">
        <f>Bases!J8</f>
        <v>-5.8900000000000001E-2</v>
      </c>
      <c r="J4" s="139"/>
      <c r="K4" s="129"/>
    </row>
    <row r="5" spans="1:11" x14ac:dyDescent="0.25">
      <c r="A5" s="129"/>
      <c r="B5" s="138"/>
      <c r="C5" s="70" t="s">
        <v>198</v>
      </c>
      <c r="D5" s="436"/>
      <c r="E5" s="425">
        <f>Bases!F11</f>
        <v>2.5000000000000001E-2</v>
      </c>
      <c r="F5" s="425">
        <f>Bases!G11</f>
        <v>3.2000000000000001E-2</v>
      </c>
      <c r="G5" s="425">
        <f>Bases!H11</f>
        <v>3.2000000000000001E-2</v>
      </c>
      <c r="H5" s="425">
        <f>Bases!I11</f>
        <v>3.2000000000000001E-2</v>
      </c>
      <c r="I5" s="425">
        <f>Bases!J11</f>
        <v>3.2000000000000001E-2</v>
      </c>
      <c r="J5" s="139"/>
      <c r="K5" s="129"/>
    </row>
    <row r="6" spans="1:11" x14ac:dyDescent="0.25">
      <c r="A6" s="129"/>
      <c r="B6" s="138"/>
      <c r="C6" s="70" t="s">
        <v>199</v>
      </c>
      <c r="D6" s="436"/>
      <c r="E6" s="425">
        <f>Bases!F12</f>
        <v>6.6799999999999998E-2</v>
      </c>
      <c r="F6" s="425">
        <f>Bases!G12</f>
        <v>6.0999999999999999E-2</v>
      </c>
      <c r="G6" s="425">
        <f>Bases!H12</f>
        <v>6.1800000000000001E-2</v>
      </c>
      <c r="H6" s="425">
        <f>Bases!I12</f>
        <v>6.2199999999999998E-2</v>
      </c>
      <c r="I6" s="425">
        <f>Bases!J12</f>
        <v>6.2199999999999998E-2</v>
      </c>
      <c r="J6" s="139"/>
      <c r="K6" s="129"/>
    </row>
    <row r="7" spans="1:11" x14ac:dyDescent="0.25">
      <c r="A7" s="130"/>
      <c r="B7" s="136"/>
      <c r="C7" s="69" t="s">
        <v>200</v>
      </c>
      <c r="D7" s="385"/>
      <c r="E7" s="385"/>
      <c r="F7" s="353"/>
      <c r="G7" s="353"/>
      <c r="H7" s="353"/>
      <c r="I7" s="353"/>
      <c r="J7" s="137"/>
      <c r="K7" s="130"/>
    </row>
    <row r="8" spans="1:11" x14ac:dyDescent="0.25">
      <c r="A8" s="129"/>
      <c r="B8" s="138"/>
      <c r="C8" s="70" t="s">
        <v>201</v>
      </c>
      <c r="D8" s="356"/>
      <c r="E8" s="426" t="str">
        <f>IF(ISERROR('Precios Ventas'!F35/'Precios Ventas'!E35), "N.A.",'Precios Ventas'!F35/'Precios Ventas'!E35-1)</f>
        <v>N.A.</v>
      </c>
      <c r="F8" s="426">
        <f>IF(ISERROR('Precios Ventas'!G35/'Precios Ventas'!F35), "N.A.",'Precios Ventas'!G35/'Precios Ventas'!F35-1)</f>
        <v>3.9000000000000146E-2</v>
      </c>
      <c r="G8" s="426">
        <f>IF(ISERROR('Precios Ventas'!H35/'Precios Ventas'!G35), "N.A.",'Precios Ventas'!H35/'Precios Ventas'!G35-1)</f>
        <v>3.0999999999999917E-2</v>
      </c>
      <c r="H8" s="426">
        <f>IF(ISERROR('Precios Ventas'!I35/'Precios Ventas'!H35), "N.A.",'Precios Ventas'!I35/'Precios Ventas'!H35-1)</f>
        <v>3.0000000000000027E-2</v>
      </c>
      <c r="I8" s="426">
        <f>IF(ISERROR('Precios Ventas'!J35/'Precios Ventas'!I35), "N.A.",'Precios Ventas'!J35/'Precios Ventas'!I35-1)</f>
        <v>3.0000000000000027E-2</v>
      </c>
      <c r="J8" s="139"/>
      <c r="K8" s="129"/>
    </row>
    <row r="9" spans="1:11" x14ac:dyDescent="0.25">
      <c r="A9" s="129"/>
      <c r="B9" s="138"/>
      <c r="C9" s="70" t="s">
        <v>202</v>
      </c>
      <c r="D9" s="356"/>
      <c r="E9" s="426" t="str">
        <f>IF(ISERROR('Precios Ventas'!F36/'Precios Ventas'!E36), "N.A.",'Precios Ventas'!F36/'Precios Ventas'!E36-1)</f>
        <v>N.A.</v>
      </c>
      <c r="F9" s="426">
        <f>IF(ISERROR('Precios Ventas'!G36/'Precios Ventas'!F36), "N.A.",'Precios Ventas'!G36/'Precios Ventas'!F36-1)</f>
        <v>1</v>
      </c>
      <c r="G9" s="426">
        <f>IF(ISERROR('Precios Ventas'!H36/'Precios Ventas'!G36), "N.A.",'Precios Ventas'!H36/'Precios Ventas'!G36-1)</f>
        <v>0</v>
      </c>
      <c r="H9" s="426">
        <f>IF(ISERROR('Precios Ventas'!I36/'Precios Ventas'!H36), "N.A.",'Precios Ventas'!I36/'Precios Ventas'!H36-1)</f>
        <v>0.5</v>
      </c>
      <c r="I9" s="426">
        <f>IF(ISERROR('Precios Ventas'!J36/'Precios Ventas'!I36), "N.A.",'Precios Ventas'!J36/'Precios Ventas'!I36-1)</f>
        <v>0</v>
      </c>
      <c r="J9" s="139"/>
      <c r="K9" s="129"/>
    </row>
    <row r="10" spans="1:11" x14ac:dyDescent="0.25">
      <c r="A10" s="129"/>
      <c r="B10" s="138"/>
      <c r="C10" s="70" t="s">
        <v>203</v>
      </c>
      <c r="D10" s="356"/>
      <c r="E10" s="426" t="str">
        <f>IF(ISERROR(Producción!F22/Producción!E22),"N.A.",Producción!F22/Producción!E22-1)</f>
        <v>N.A.</v>
      </c>
      <c r="F10" s="426" t="str">
        <f>IF(ISERROR(Producción!G22/Producción!F22),"N.A.",Producción!G22/Producción!F22-1)</f>
        <v>N.A.</v>
      </c>
      <c r="G10" s="426" t="str">
        <f>IF(ISERROR(Producción!H22/Producción!G22),"N.A.",Producción!H22/Producción!G22-1)</f>
        <v>N.A.</v>
      </c>
      <c r="H10" s="426" t="str">
        <f>IF(ISERROR(Producción!I22/Producción!H22),"N.A.",Producción!I22/Producción!H22-1)</f>
        <v>N.A.</v>
      </c>
      <c r="I10" s="426" t="str">
        <f>IF(ISERROR(Producción!J22/Producción!I22),"N.A.",Producción!J22/Producción!I22-1)</f>
        <v>N.A.</v>
      </c>
      <c r="J10" s="139"/>
      <c r="K10" s="129"/>
    </row>
    <row r="11" spans="1:11" x14ac:dyDescent="0.25">
      <c r="A11" s="129"/>
      <c r="B11" s="138"/>
      <c r="C11" s="70" t="s">
        <v>204</v>
      </c>
      <c r="D11" s="356"/>
      <c r="E11" s="426" t="str">
        <f>IF(ISERROR('Gastos Generales Admon y Ventas'!G73/'Gastos Generales Admon y Ventas'!F73),"N.A.",'Gastos Generales Admon y Ventas'!G73/'Gastos Generales Admon y Ventas'!F73-1)</f>
        <v>N.A.</v>
      </c>
      <c r="F11" s="426">
        <f>IF(ISERROR('Gastos Generales Admon y Ventas'!H73/'Gastos Generales Admon y Ventas'!G73),"N.A.",'Gastos Generales Admon y Ventas'!H73/'Gastos Generales Admon y Ventas'!G73-1)</f>
        <v>3.8999999999999924E-2</v>
      </c>
      <c r="G11" s="426">
        <f>IF(ISERROR('Gastos Generales Admon y Ventas'!I73/'Gastos Generales Admon y Ventas'!H73),"N.A.",'Gastos Generales Admon y Ventas'!I73/'Gastos Generales Admon y Ventas'!H73-1)</f>
        <v>3.0999999999999694E-2</v>
      </c>
      <c r="H11" s="426">
        <f>IF(ISERROR('Gastos Generales Admon y Ventas'!J73/'Gastos Generales Admon y Ventas'!I73),"N.A.",'Gastos Generales Admon y Ventas'!J73/'Gastos Generales Admon y Ventas'!I73-1)</f>
        <v>3.0000000000000471E-2</v>
      </c>
      <c r="I11" s="426">
        <f>IF(ISERROR('Gastos Generales Admon y Ventas'!K73/'Gastos Generales Admon y Ventas'!J73),"N.A.",'Gastos Generales Admon y Ventas'!K73/'Gastos Generales Admon y Ventas'!J73-1)</f>
        <v>2.9999999999999805E-2</v>
      </c>
      <c r="J11" s="139"/>
      <c r="K11" s="129"/>
    </row>
    <row r="12" spans="1:11" x14ac:dyDescent="0.25">
      <c r="A12" s="129"/>
      <c r="B12" s="138"/>
      <c r="C12" s="70" t="s">
        <v>205</v>
      </c>
      <c r="D12" s="356"/>
      <c r="E12" s="387">
        <f>'Capital de Trabajo'!F7</f>
        <v>0</v>
      </c>
      <c r="F12" s="387">
        <f>'Capital de Trabajo'!G7</f>
        <v>0</v>
      </c>
      <c r="G12" s="387">
        <f>'Capital de Trabajo'!H7</f>
        <v>0</v>
      </c>
      <c r="H12" s="387">
        <f>'Capital de Trabajo'!I7</f>
        <v>0</v>
      </c>
      <c r="I12" s="387">
        <f>'Capital de Trabajo'!J7</f>
        <v>0</v>
      </c>
      <c r="J12" s="139"/>
      <c r="K12" s="129"/>
    </row>
    <row r="13" spans="1:11" x14ac:dyDescent="0.25">
      <c r="A13" s="129"/>
      <c r="B13" s="138"/>
      <c r="C13" s="330" t="s">
        <v>206</v>
      </c>
      <c r="D13" s="356"/>
      <c r="E13" s="387">
        <f>'Capital de Trabajo'!F29</f>
        <v>0</v>
      </c>
      <c r="F13" s="387">
        <f>'Capital de Trabajo'!G29</f>
        <v>0</v>
      </c>
      <c r="G13" s="387">
        <f>'Capital de Trabajo'!H29</f>
        <v>0</v>
      </c>
      <c r="H13" s="387">
        <f>'Capital de Trabajo'!I29</f>
        <v>0</v>
      </c>
      <c r="I13" s="387">
        <f>'Capital de Trabajo'!J29</f>
        <v>0</v>
      </c>
      <c r="J13" s="139"/>
      <c r="K13" s="129"/>
    </row>
    <row r="14" spans="1:11" x14ac:dyDescent="0.25">
      <c r="A14" s="129"/>
      <c r="B14" s="138"/>
      <c r="C14" s="330" t="s">
        <v>425</v>
      </c>
      <c r="D14" s="356"/>
      <c r="E14" s="428" t="str">
        <f>IF(ISERROR('Capital de Trabajo'!F23/Producción!F22),"N.A.",'Capital de Trabajo'!F23/Producción!F23*360)</f>
        <v>N.A.</v>
      </c>
      <c r="F14" s="428" t="str">
        <f>IF(ISERROR('Capital de Trabajo'!G23/Producción!G22),"N.A.",'Capital de Trabajo'!G23/Producción!G23*360)</f>
        <v>N.A.</v>
      </c>
      <c r="G14" s="428" t="str">
        <f>IF(ISERROR('Capital de Trabajo'!H23/Producción!H22),"N.A.",'Capital de Trabajo'!H23/Producción!H23*360)</f>
        <v>N.A.</v>
      </c>
      <c r="H14" s="428" t="str">
        <f>IF(ISERROR('Capital de Trabajo'!I23/Producción!I22),"N.A.",'Capital de Trabajo'!I23/Producción!I23*360)</f>
        <v>N.A.</v>
      </c>
      <c r="I14" s="428" t="str">
        <f>IF(ISERROR('Capital de Trabajo'!J23/Producción!J22),"N.A.",'Capital de Trabajo'!J23/Producción!J23*360)</f>
        <v>N.A.</v>
      </c>
      <c r="J14" s="139"/>
      <c r="K14" s="129"/>
    </row>
    <row r="15" spans="1:11" x14ac:dyDescent="0.25">
      <c r="A15" s="130"/>
      <c r="B15" s="136"/>
      <c r="C15" s="69" t="s">
        <v>207</v>
      </c>
      <c r="D15" s="427"/>
      <c r="E15" s="427"/>
      <c r="F15" s="356"/>
      <c r="G15" s="356"/>
      <c r="H15" s="356"/>
      <c r="I15" s="356"/>
      <c r="J15" s="137"/>
      <c r="K15" s="130"/>
    </row>
    <row r="16" spans="1:11" x14ac:dyDescent="0.25">
      <c r="A16" s="129"/>
      <c r="B16" s="138"/>
      <c r="C16" s="70" t="s">
        <v>208</v>
      </c>
      <c r="D16" s="390"/>
      <c r="E16" s="428">
        <f>IF(ISERROR(Balance!E12/(Balance!E45+Balance!E46+Balance!E47)),"N.A.",Balance!E12/(Balance!E45+Balance!E46+Balance!E47))</f>
        <v>15.190573439557847</v>
      </c>
      <c r="F16" s="428">
        <f>IF(ISERROR(Balance!F12/(Balance!F45+Balance!F46+Balance!F47)),"N.A.",Balance!F12/(Balance!F45+Balance!F46+Balance!F47))</f>
        <v>2.8425582092179669</v>
      </c>
      <c r="G16" s="428">
        <f>IF(ISERROR(Balance!G12/(Balance!G45+Balance!G46+Balance!G47)),"N.A.",Balance!G12/(Balance!G45+Balance!G46+Balance!G47))</f>
        <v>4.0804536559064672</v>
      </c>
      <c r="H16" s="428">
        <f>IF(ISERROR(Balance!H12/(Balance!H45+Balance!H46+Balance!H47)),"N.A.",Balance!H12/(Balance!H45+Balance!H46+Balance!H47))</f>
        <v>4.2936442388415292</v>
      </c>
      <c r="I16" s="428">
        <f>IF(ISERROR(Balance!I12/(Balance!I45+Balance!I46+Balance!I47)),"N.A.",Balance!I12/(Balance!I45+Balance!I46+Balance!I47))</f>
        <v>5.2137405504932772</v>
      </c>
      <c r="J16" s="139"/>
      <c r="K16" s="129"/>
    </row>
    <row r="17" spans="1:11" x14ac:dyDescent="0.25">
      <c r="A17" s="129"/>
      <c r="B17" s="138"/>
      <c r="C17" s="70" t="s">
        <v>209</v>
      </c>
      <c r="D17" s="356"/>
      <c r="E17" s="428">
        <f>IF(ISERROR((Balance!E12-SUM(Balance!E8:E10))/(Balance!E45+Balance!E46+Balance!E47)),0,(Balance!E12-SUM(Balance!E8:E10))/(Balance!E45+Balance!E46+Balance!E47))</f>
        <v>8.8972264517491393</v>
      </c>
      <c r="F17" s="428">
        <f>IF(ISERROR((Balance!F12-SUM(Balance!F8:F10))/(Balance!F45+Balance!F46+Balance!F47)),0,(Balance!F12-SUM(Balance!F8:F10))/(Balance!F45+Balance!F46+Balance!F47))</f>
        <v>2.3914644581010962</v>
      </c>
      <c r="G17" s="428">
        <f>IF(ISERROR((Balance!G12-SUM(Balance!G8:G10))/(Balance!G45+Balance!G46+Balance!G47)),0,(Balance!G12-SUM(Balance!G8:G10))/(Balance!G45+Balance!G46+Balance!G47))</f>
        <v>3.7047365173716194</v>
      </c>
      <c r="H17" s="428">
        <f>IF(ISERROR((Balance!H12-SUM(Balance!H8:H10))/(Balance!H45+Balance!H46+Balance!H47)),0,(Balance!H12-SUM(Balance!H8:H10))/(Balance!H45+Balance!H46+Balance!H47))</f>
        <v>3.9823803142274721</v>
      </c>
      <c r="I17" s="428">
        <f>IF(ISERROR((Balance!I12-SUM(Balance!I8:I10))/(Balance!I45+Balance!I46+Balance!I47)),0,(Balance!I12-SUM(Balance!I8:I10))/(Balance!I45+Balance!I46+Balance!I47))</f>
        <v>4.9198534707763155</v>
      </c>
      <c r="J17" s="139"/>
      <c r="K17" s="129"/>
    </row>
    <row r="18" spans="1:11" x14ac:dyDescent="0.25">
      <c r="A18" s="129"/>
      <c r="B18" s="138"/>
      <c r="C18" s="330" t="s">
        <v>422</v>
      </c>
      <c r="D18" s="390"/>
      <c r="E18" s="428">
        <f>IF(ISERROR(Balance!E6/'P&amp;G'!D3),"N.A.",Balance!E6/'P&amp;G'!D3*360)</f>
        <v>0</v>
      </c>
      <c r="F18" s="428">
        <f>IF(ISERROR(Balance!F6/'P&amp;G'!E3),"N.A.",Balance!F6/'P&amp;G'!E3*360)</f>
        <v>0</v>
      </c>
      <c r="G18" s="428">
        <f>IF(ISERROR(Balance!G6/'P&amp;G'!F3),"N.A.",Balance!G6/'P&amp;G'!F3*360)</f>
        <v>0</v>
      </c>
      <c r="H18" s="428">
        <f>IF(ISERROR(Balance!H6/'P&amp;G'!G3),"N.A.",Balance!H6/'P&amp;G'!G3*360)</f>
        <v>0</v>
      </c>
      <c r="I18" s="428">
        <f>IF(ISERROR(Balance!I6/'P&amp;G'!H3),"N.A.",Balance!I6/'P&amp;G'!H3*360)</f>
        <v>0</v>
      </c>
      <c r="J18" s="139"/>
      <c r="K18" s="129"/>
    </row>
    <row r="19" spans="1:11" x14ac:dyDescent="0.25">
      <c r="A19" s="129"/>
      <c r="B19" s="138"/>
      <c r="C19" s="330" t="s">
        <v>423</v>
      </c>
      <c r="D19" s="437"/>
      <c r="E19" s="428">
        <f>IF('P&amp;G'!D3=0,"N.A.",((Balance!E8+Balance!E9+Balance!E10)/Producción!F23)*360)</f>
        <v>60</v>
      </c>
      <c r="F19" s="428">
        <f>IF('P&amp;G'!E3=0,"N.A.",((Balance!F8+Balance!F9+Balance!F10)/Producción!G23)*360)</f>
        <v>60</v>
      </c>
      <c r="G19" s="428">
        <f>IF('P&amp;G'!F3=0,"N.A.",((Balance!G8+Balance!G9+Balance!G10)/Producción!H23)*360)</f>
        <v>60.000000000000007</v>
      </c>
      <c r="H19" s="428">
        <f>IF('P&amp;G'!G3=0,"N.A.",((Balance!H8+Balance!H9+Balance!H10)/Producción!I23)*360)</f>
        <v>60</v>
      </c>
      <c r="I19" s="428">
        <f>IF('P&amp;G'!H3=0,"N.A.",((Balance!I8+Balance!I9+Balance!I10)/Producción!J23)*360)</f>
        <v>60</v>
      </c>
      <c r="J19" s="139"/>
      <c r="K19" s="129"/>
    </row>
    <row r="20" spans="1:11" x14ac:dyDescent="0.25">
      <c r="A20" s="129"/>
      <c r="B20" s="138"/>
      <c r="C20" s="330" t="s">
        <v>424</v>
      </c>
      <c r="D20" s="437"/>
      <c r="E20" s="428">
        <f>IF('P&amp;G'!D5+'P&amp;G'!D6+'P&amp;G'!D13+'P&amp;G'!D7=0,"N.A.",Balance!E45/(Producción!F13)*360)</f>
        <v>0</v>
      </c>
      <c r="F20" s="428">
        <f>IF('P&amp;G'!E5+'P&amp;G'!E6+'P&amp;G'!E13+'P&amp;G'!E7=0,"N.A.",Balance!F45/(Producción!G13)*360)</f>
        <v>0</v>
      </c>
      <c r="G20" s="428">
        <f>IF('P&amp;G'!F5+'P&amp;G'!F6+'P&amp;G'!F13+'P&amp;G'!F7=0,"N.A.",Balance!G45/(Producción!H13)*360)</f>
        <v>0</v>
      </c>
      <c r="H20" s="428">
        <f>IF('P&amp;G'!G5+'P&amp;G'!G6+'P&amp;G'!G13+'P&amp;G'!G7=0,"N.A.",Balance!H45/(Producción!I13)*360)</f>
        <v>0</v>
      </c>
      <c r="I20" s="428">
        <f>IF('P&amp;G'!H5+'P&amp;G'!H6+'P&amp;G'!H13+'P&amp;G'!H7=0,"N.A.",Balance!I45/(Producción!J13)*360)</f>
        <v>0</v>
      </c>
      <c r="J20" s="139"/>
      <c r="K20" s="129"/>
    </row>
    <row r="21" spans="1:11" x14ac:dyDescent="0.25">
      <c r="A21" s="129"/>
      <c r="B21" s="138"/>
      <c r="C21" s="70" t="s">
        <v>210</v>
      </c>
      <c r="D21" s="354"/>
      <c r="E21" s="426">
        <f>IF(ISERROR(Balance!E51/Balance!E43),"N.A.",Balance!E51/Balance!E43)</f>
        <v>0.6602542918346348</v>
      </c>
      <c r="F21" s="426">
        <f>IF(ISERROR(Balance!F51/Balance!F43),"N.A.",Balance!F51/Balance!F43)</f>
        <v>0.3142761061203535</v>
      </c>
      <c r="G21" s="426">
        <f>IF(ISERROR(Balance!G51/Balance!G43),"N.A.",Balance!G51/Balance!G43)</f>
        <v>0.23145734776278085</v>
      </c>
      <c r="H21" s="426">
        <f>IF(ISERROR(Balance!H51/Balance!H43),"N.A.",Balance!H51/Balance!H43)</f>
        <v>0.22679931793228106</v>
      </c>
      <c r="I21" s="426">
        <f>IF(ISERROR(Balance!I51/Balance!I43),"N.A.",Balance!I51/Balance!I43)</f>
        <v>0.18860709491557301</v>
      </c>
      <c r="J21" s="139"/>
      <c r="K21" s="129"/>
    </row>
    <row r="22" spans="1:11" x14ac:dyDescent="0.25">
      <c r="A22" s="129"/>
      <c r="B22" s="138"/>
      <c r="C22" s="70" t="s">
        <v>211</v>
      </c>
      <c r="D22" s="356"/>
      <c r="E22" s="517">
        <f>IF(ISERROR(SUM(Balance!E45:E47)/Balance!D51),0,SUM(Balance!E45:E47)/Balance!E51)</f>
        <v>6.0757864020727789E-2</v>
      </c>
      <c r="F22" s="517">
        <f>IF(ISERROR(SUM(Balance!F45:F47)/Balance!E51),0,SUM(Balance!F45:F47)/Balance!F51)</f>
        <v>1</v>
      </c>
      <c r="G22" s="517">
        <f>IF(ISERROR(SUM(Balance!G45:G47)/Balance!F51),0,SUM(Balance!G45:G47)/Balance!G51)</f>
        <v>1</v>
      </c>
      <c r="H22" s="517">
        <f>IF(ISERROR(SUM(Balance!H45:H47)/Balance!G51),0,SUM(Balance!H45:H47)/Balance!H51)</f>
        <v>1</v>
      </c>
      <c r="I22" s="517">
        <f>IF(ISERROR(SUM(Balance!I45:I47)/Balance!H51),0,SUM(Balance!I45:I47)/Balance!I51)</f>
        <v>1</v>
      </c>
      <c r="J22" s="139"/>
      <c r="K22" s="129"/>
    </row>
    <row r="23" spans="1:11" x14ac:dyDescent="0.25">
      <c r="A23" s="129"/>
      <c r="B23" s="138"/>
      <c r="C23" s="70" t="s">
        <v>212</v>
      </c>
      <c r="D23" s="354"/>
      <c r="E23" s="426">
        <f>IF('P&amp;G'!D16=0,"N.A.",('P&amp;G'!D14+'P&amp;G'!D12+'P&amp;G'!D7+'P&amp;G'!D13+'P&amp;G'!D6)/'P&amp;G'!D16)</f>
        <v>4.1472569759627884</v>
      </c>
      <c r="F23" s="426">
        <f>IF('P&amp;G'!E16=0,"N.A.",('P&amp;G'!E14+'P&amp;G'!E12+'P&amp;G'!E7+'P&amp;G'!E13+'P&amp;G'!E6)/'P&amp;G'!E16)</f>
        <v>16.731066686909703</v>
      </c>
      <c r="G23" s="426" t="str">
        <f>IF('P&amp;G'!F16=0,"N.A.",('P&amp;G'!F14+'P&amp;G'!F12+'P&amp;G'!F7+'P&amp;G'!F13+'P&amp;G'!F6)/'P&amp;G'!F16)</f>
        <v>N.A.</v>
      </c>
      <c r="H23" s="426" t="str">
        <f>IF('P&amp;G'!G16=0,"N.A.",('P&amp;G'!G14+'P&amp;G'!G12+'P&amp;G'!G7+'P&amp;G'!G13+'P&amp;G'!G6)/'P&amp;G'!G16)</f>
        <v>N.A.</v>
      </c>
      <c r="I23" s="426" t="str">
        <f>IF('P&amp;G'!H16=0,"N.A.",('P&amp;G'!H14+'P&amp;G'!H12+'P&amp;G'!H7+'P&amp;G'!H13+'P&amp;G'!H6)/'P&amp;G'!H16)</f>
        <v>N.A.</v>
      </c>
      <c r="J23" s="139"/>
      <c r="K23" s="129"/>
    </row>
    <row r="24" spans="1:11" x14ac:dyDescent="0.25">
      <c r="A24" s="129"/>
      <c r="B24" s="138"/>
      <c r="C24" s="70" t="s">
        <v>213</v>
      </c>
      <c r="D24" s="354"/>
      <c r="E24" s="426">
        <f>IF('Flujo de Caja'!E39+'Flujo de Caja'!E38=0,"N.A.",('P&amp;G'!D14+'P&amp;G'!D12+'P&amp;G'!D7+'P&amp;G'!D13+'P&amp;G'!D6)/-('Flujo de Caja'!E39+'Flujo de Caja'!E38))</f>
        <v>4.1472569759627884</v>
      </c>
      <c r="F24" s="426">
        <f>IF('Flujo de Caja'!F39+'Flujo de Caja'!F38=0,"N.A.",('P&amp;G'!E14+'P&amp;G'!E12+'P&amp;G'!E7+'P&amp;G'!E13+'P&amp;G'!E6)/-('Flujo de Caja'!F39+'Flujo de Caja'!F38))</f>
        <v>3.9015769361072405</v>
      </c>
      <c r="G24" s="426" t="str">
        <f>IF('Flujo de Caja'!G39+'Flujo de Caja'!G38=0,"N.A.",('P&amp;G'!F14+'P&amp;G'!F12+'P&amp;G'!F7+'P&amp;G'!F13+'P&amp;G'!F6)/-('Flujo de Caja'!G39+'Flujo de Caja'!G38))</f>
        <v>N.A.</v>
      </c>
      <c r="H24" s="426" t="str">
        <f>IF('Flujo de Caja'!H39+'Flujo de Caja'!H38=0,"N.A.",('P&amp;G'!G14+'P&amp;G'!G12+'P&amp;G'!G7+'P&amp;G'!G13+'P&amp;G'!G6)/-('Flujo de Caja'!H39+'Flujo de Caja'!H38))</f>
        <v>N.A.</v>
      </c>
      <c r="I24" s="426" t="str">
        <f>IF('Flujo de Caja'!I39+'Flujo de Caja'!I38=0,"N.A.",('P&amp;G'!H14+'P&amp;G'!H12+'P&amp;G'!H7+'P&amp;G'!H13+'P&amp;G'!H6)/-('Flujo de Caja'!I39+'Flujo de Caja'!I38))</f>
        <v>N.A.</v>
      </c>
      <c r="J24" s="139"/>
      <c r="K24" s="129"/>
    </row>
    <row r="25" spans="1:11" x14ac:dyDescent="0.25">
      <c r="A25" s="129"/>
      <c r="B25" s="138"/>
      <c r="C25" s="70" t="s">
        <v>214</v>
      </c>
      <c r="D25" s="354"/>
      <c r="E25" s="426">
        <f>IF(ISERROR('P&amp;G'!D14/'P&amp;G'!D3),"N.A.",'P&amp;G'!D14/'P&amp;G'!D3)</f>
        <v>8.1092795336629317E-2</v>
      </c>
      <c r="F25" s="426">
        <f>IF(ISERROR('P&amp;G'!E14/'P&amp;G'!E3),"N.A.",'P&amp;G'!E14/'P&amp;G'!E3)</f>
        <v>0.39398317850939729</v>
      </c>
      <c r="G25" s="426">
        <f>IF(ISERROR('P&amp;G'!F14/'P&amp;G'!F3),"N.A.",'P&amp;G'!F14/'P&amp;G'!F3)</f>
        <v>0.44414839950013568</v>
      </c>
      <c r="H25" s="426">
        <f>IF(ISERROR('P&amp;G'!G14/'P&amp;G'!G3),"N.A.",'P&amp;G'!G14/'P&amp;G'!G3)</f>
        <v>0.51182974673414405</v>
      </c>
      <c r="I25" s="426">
        <f>IF(ISERROR('P&amp;G'!H14/'P&amp;G'!H3),"N.A.",'P&amp;G'!H14/'P&amp;G'!H3)</f>
        <v>0.54193022197928797</v>
      </c>
      <c r="J25" s="139"/>
      <c r="K25" s="129"/>
    </row>
    <row r="26" spans="1:11" x14ac:dyDescent="0.25">
      <c r="A26" s="129"/>
      <c r="B26" s="138"/>
      <c r="C26" s="70" t="s">
        <v>215</v>
      </c>
      <c r="D26" s="354"/>
      <c r="E26" s="426">
        <f>IF('P&amp;G'!D3=0,"N.A.",'P&amp;G'!D26/'P&amp;G'!D3)</f>
        <v>1.9599922289433819E-2</v>
      </c>
      <c r="F26" s="426">
        <f>IF('P&amp;G'!E3=0,"N.A.",'P&amp;G'!E26/'P&amp;G'!E3)</f>
        <v>0.24056938784021506</v>
      </c>
      <c r="G26" s="426">
        <f>IF('P&amp;G'!F3=0,"N.A.",'P&amp;G'!F26/'P&amp;G'!F3)</f>
        <v>0.28869645967508822</v>
      </c>
      <c r="H26" s="426">
        <f>IF('P&amp;G'!G3=0,"N.A.",'P&amp;G'!G26/'P&amp;G'!G3)</f>
        <v>0.33268933537719364</v>
      </c>
      <c r="I26" s="426">
        <f>IF('P&amp;G'!H3=0,"N.A.",'P&amp;G'!H26/'P&amp;G'!H3)</f>
        <v>0.35225464428653719</v>
      </c>
      <c r="J26" s="139"/>
      <c r="K26" s="129"/>
    </row>
    <row r="27" spans="1:11" x14ac:dyDescent="0.25">
      <c r="A27" s="129"/>
      <c r="B27" s="138"/>
      <c r="C27" s="70" t="s">
        <v>216</v>
      </c>
      <c r="D27" s="354"/>
      <c r="E27" s="426">
        <f>IF(ISERROR('P&amp;G'!D26/Balance!E58),"N.A.",'P&amp;G'!D26/Balance!E58)</f>
        <v>0.21928305020801295</v>
      </c>
      <c r="F27" s="426">
        <f>IF(ISERROR('P&amp;G'!E26/Balance!F58),"N.A.",'P&amp;G'!E26/Balance!F58)</f>
        <v>0.85115252780519901</v>
      </c>
      <c r="G27" s="426">
        <f>IF(ISERROR('P&amp;G'!F26/Balance!G58),"N.A.",'P&amp;G'!F26/Balance!G58)</f>
        <v>0.55930449517615211</v>
      </c>
      <c r="H27" s="426">
        <f>IF(ISERROR('P&amp;G'!G26/Balance!H58),"N.A.",'P&amp;G'!G26/Balance!H58)</f>
        <v>0.54474697587749676</v>
      </c>
      <c r="I27" s="426">
        <f>IF(ISERROR('P&amp;G'!H26/Balance!I58),"N.A.",'P&amp;G'!H26/Balance!I58)</f>
        <v>0.43169014288148727</v>
      </c>
      <c r="J27" s="139"/>
      <c r="K27" s="129"/>
    </row>
    <row r="28" spans="1:11" x14ac:dyDescent="0.25">
      <c r="A28" s="129"/>
      <c r="B28" s="138"/>
      <c r="C28" s="70" t="s">
        <v>217</v>
      </c>
      <c r="D28" s="354"/>
      <c r="E28" s="426">
        <f>IF(ISERROR('P&amp;G'!D26/Balance!E43),"N.A.",'P&amp;G'!D26/Balance!E43)</f>
        <v>7.4500475181582676E-2</v>
      </c>
      <c r="F28" s="426">
        <f>IF(ISERROR('P&amp;G'!E26/Balance!F43),"N.A.",'P&amp;G'!E26/Balance!F43)</f>
        <v>0.58365562565208529</v>
      </c>
      <c r="G28" s="426">
        <f>IF(ISERROR('P&amp;G'!F26/Balance!G43),"N.A.",'P&amp;G'!F26/Balance!G43)</f>
        <v>0.42984936013087877</v>
      </c>
      <c r="H28" s="426">
        <f>IF(ISERROR('P&amp;G'!G26/Balance!H43),"N.A.",'P&amp;G'!G26/Balance!H43)</f>
        <v>0.42119873330280777</v>
      </c>
      <c r="I28" s="426">
        <f>IF(ISERROR('P&amp;G'!H26/Balance!I43),"N.A.",'P&amp;G'!H26/Balance!I43)</f>
        <v>0.35027031912892137</v>
      </c>
      <c r="J28" s="139"/>
      <c r="K28" s="129"/>
    </row>
    <row r="29" spans="1:11" x14ac:dyDescent="0.25">
      <c r="A29" s="130"/>
      <c r="B29" s="136"/>
      <c r="C29" s="69" t="s">
        <v>218</v>
      </c>
      <c r="D29" s="427"/>
      <c r="E29" s="427"/>
      <c r="F29" s="356"/>
      <c r="G29" s="356"/>
      <c r="H29" s="356"/>
      <c r="I29" s="356"/>
      <c r="J29" s="137"/>
      <c r="K29" s="130"/>
    </row>
    <row r="30" spans="1:11" x14ac:dyDescent="0.25">
      <c r="A30" s="129"/>
      <c r="B30" s="138"/>
      <c r="C30" s="79" t="s">
        <v>219</v>
      </c>
      <c r="D30" s="438"/>
      <c r="E30" s="387">
        <f>+'Flujo de Caja'!E4</f>
        <v>26491785.363690436</v>
      </c>
      <c r="F30" s="387">
        <f>+'Flujo de Caja'!F4</f>
        <v>267455897.93114877</v>
      </c>
      <c r="G30" s="387">
        <f>+'Flujo de Caja'!G4</f>
        <v>310857440.27308232</v>
      </c>
      <c r="H30" s="387">
        <f>+'Flujo de Caja'!H4</f>
        <v>553461188.84227061</v>
      </c>
      <c r="I30" s="387">
        <f>+'Flujo de Caja'!I4</f>
        <v>603590290.02366054</v>
      </c>
      <c r="J30" s="139"/>
      <c r="K30" s="129"/>
    </row>
    <row r="31" spans="1:11" x14ac:dyDescent="0.25">
      <c r="A31" s="129"/>
      <c r="B31" s="138"/>
      <c r="C31" s="542" t="s">
        <v>526</v>
      </c>
      <c r="D31" s="438"/>
      <c r="E31" s="387">
        <f>+'Estructura de Capital'!F79</f>
        <v>0</v>
      </c>
      <c r="F31" s="387">
        <f>+'Estructura de Capital'!G79</f>
        <v>3447767.6763048414</v>
      </c>
      <c r="G31" s="387">
        <f>+'Estructura de Capital'!H79</f>
        <v>87936575.828299776</v>
      </c>
      <c r="H31" s="387">
        <f>+'Estructura de Capital'!I79</f>
        <v>108800104.0955788</v>
      </c>
      <c r="I31" s="387">
        <f>+'Estructura de Capital'!J79</f>
        <v>193711416.09479469</v>
      </c>
      <c r="J31" s="139"/>
      <c r="K31" s="129"/>
    </row>
    <row r="32" spans="1:11" x14ac:dyDescent="0.25">
      <c r="A32" s="129"/>
      <c r="B32" s="138"/>
      <c r="C32" s="224" t="s">
        <v>282</v>
      </c>
      <c r="D32" s="438"/>
      <c r="E32" s="387">
        <f>+E30-E31</f>
        <v>26491785.363690436</v>
      </c>
      <c r="F32" s="387">
        <f>+F30-F31</f>
        <v>264008130.25484392</v>
      </c>
      <c r="G32" s="387">
        <f>+G30-G31</f>
        <v>222920864.44478256</v>
      </c>
      <c r="H32" s="387">
        <f>+H30-H31</f>
        <v>444661084.74669182</v>
      </c>
      <c r="I32" s="387">
        <f>+I30-I31</f>
        <v>409878873.92886585</v>
      </c>
      <c r="J32" s="139"/>
      <c r="K32" s="129"/>
    </row>
    <row r="33" spans="1:11" x14ac:dyDescent="0.25">
      <c r="A33" s="129"/>
      <c r="B33" s="138"/>
      <c r="C33" s="224" t="s">
        <v>283</v>
      </c>
      <c r="D33" s="438"/>
      <c r="E33" s="387">
        <f>+'Flujo de Caja'!E5+'Flujo de Caja'!E6+'Flujo de Caja'!E7+'Flujo de Caja'!E8</f>
        <v>42522803.299999997</v>
      </c>
      <c r="F33" s="387">
        <f>+'Flujo de Caja'!F5+'Flujo de Caja'!F6+'Flujo de Caja'!F7+'Flujo de Caja'!F8</f>
        <v>3730239.3</v>
      </c>
      <c r="G33" s="387">
        <f>+'Flujo de Caja'!G5+'Flujo de Caja'!G6+'Flujo de Caja'!G7+'Flujo de Caja'!G8</f>
        <v>3730239.3</v>
      </c>
      <c r="H33" s="387">
        <f>+'Flujo de Caja'!H5+'Flujo de Caja'!H6+'Flujo de Caja'!H7+'Flujo de Caja'!H8</f>
        <v>3730239.3</v>
      </c>
      <c r="I33" s="387">
        <f>+'Flujo de Caja'!I5+'Flujo de Caja'!I6+'Flujo de Caja'!I7+'Flujo de Caja'!I8</f>
        <v>3730239.3</v>
      </c>
      <c r="J33" s="139"/>
      <c r="K33" s="129"/>
    </row>
    <row r="34" spans="1:11" x14ac:dyDescent="0.25">
      <c r="A34" s="129"/>
      <c r="B34" s="138"/>
      <c r="C34" s="71" t="s">
        <v>220</v>
      </c>
      <c r="D34" s="387">
        <f>-(Balance!D12+Balance!D38+Balance!D41+Balance!D42)</f>
        <v>-76094957</v>
      </c>
      <c r="E34" s="387">
        <f>'Flujo de Caja'!E34</f>
        <v>0</v>
      </c>
      <c r="F34" s="387">
        <f>'Flujo de Caja'!F34</f>
        <v>-17969641.530423611</v>
      </c>
      <c r="G34" s="387">
        <f>'Flujo de Caja'!G34</f>
        <v>-1210423.9323235899</v>
      </c>
      <c r="H34" s="387">
        <f>'Flujo de Caja'!H34</f>
        <v>-19417311.833127983</v>
      </c>
      <c r="I34" s="387">
        <f>'Flujo de Caja'!I34+(((Balance!I12-Balance!I5)+Balance!D5)-Balance!I45)+Balance!I38</f>
        <v>57248573.79587514</v>
      </c>
      <c r="J34" s="139"/>
      <c r="K34" s="129"/>
    </row>
    <row r="35" spans="1:11" x14ac:dyDescent="0.25">
      <c r="A35" s="129"/>
      <c r="B35" s="138"/>
      <c r="C35" s="71" t="s">
        <v>221</v>
      </c>
      <c r="D35" s="387">
        <f>'Flujo de Caja'!D43</f>
        <v>76094957</v>
      </c>
      <c r="E35" s="387">
        <f>'Flujo de Caja'!E43</f>
        <v>-16641020.574248031</v>
      </c>
      <c r="F35" s="387">
        <f>'Flujo de Caja'!F43</f>
        <v>-70147102.133034557</v>
      </c>
      <c r="G35" s="387">
        <f>'Flujo de Caja'!G43</f>
        <v>-32662156.736225642</v>
      </c>
      <c r="H35" s="387">
        <f>'Flujo de Caja'!H43</f>
        <v>-60617200.853251055</v>
      </c>
      <c r="I35" s="387">
        <f>'Flujo de Caja'!I43</f>
        <v>-143899909.09899038</v>
      </c>
      <c r="J35" s="139"/>
      <c r="K35" s="129"/>
    </row>
    <row r="36" spans="1:11" x14ac:dyDescent="0.25">
      <c r="A36" s="129"/>
      <c r="B36" s="138"/>
      <c r="C36" s="78" t="s">
        <v>222</v>
      </c>
      <c r="D36" s="429">
        <f>D30+D34</f>
        <v>-76094957</v>
      </c>
      <c r="E36" s="429">
        <f>+E32+E33+E34</f>
        <v>69014588.663690433</v>
      </c>
      <c r="F36" s="429">
        <f>+F32+F33+F34</f>
        <v>249768728.02442032</v>
      </c>
      <c r="G36" s="429">
        <f>+G32+G33+G34</f>
        <v>225440679.81245899</v>
      </c>
      <c r="H36" s="429">
        <f>+H32+H33+H34</f>
        <v>428974012.21356386</v>
      </c>
      <c r="I36" s="429">
        <f>+I32+I33+I34</f>
        <v>470857687.02474099</v>
      </c>
      <c r="J36" s="139"/>
      <c r="K36" s="129"/>
    </row>
    <row r="37" spans="1:11" outlineLevel="1" x14ac:dyDescent="0.25">
      <c r="A37" s="129"/>
      <c r="B37" s="138"/>
      <c r="C37" s="70" t="s">
        <v>223</v>
      </c>
      <c r="D37" s="387"/>
      <c r="E37" s="430">
        <f>D41</f>
        <v>1E-3</v>
      </c>
      <c r="F37" s="430">
        <f>E37</f>
        <v>1E-3</v>
      </c>
      <c r="G37" s="430">
        <f>F37</f>
        <v>1E-3</v>
      </c>
      <c r="H37" s="430">
        <f>G37</f>
        <v>1E-3</v>
      </c>
      <c r="I37" s="430">
        <f>H37</f>
        <v>1E-3</v>
      </c>
      <c r="J37" s="139"/>
      <c r="K37" s="129"/>
    </row>
    <row r="38" spans="1:11" outlineLevel="1" x14ac:dyDescent="0.25">
      <c r="A38" s="129"/>
      <c r="B38" s="138"/>
      <c r="C38" s="71" t="s">
        <v>248</v>
      </c>
      <c r="D38" s="431">
        <v>1</v>
      </c>
      <c r="E38" s="431">
        <f>D38*(1+E37)</f>
        <v>1.0009999999999999</v>
      </c>
      <c r="F38" s="431">
        <f>E38*(1+F37)</f>
        <v>1.0020009999999997</v>
      </c>
      <c r="G38" s="431">
        <f>F38*(1+G37)</f>
        <v>1.0030030009999995</v>
      </c>
      <c r="H38" s="431">
        <f>G38*(1+H37)</f>
        <v>1.0040060040009995</v>
      </c>
      <c r="I38" s="431">
        <f>H38*(1+I37)</f>
        <v>1.0050100100050003</v>
      </c>
      <c r="J38" s="139"/>
      <c r="K38" s="129"/>
    </row>
    <row r="39" spans="1:11" x14ac:dyDescent="0.25">
      <c r="A39" s="129"/>
      <c r="B39" s="138"/>
      <c r="C39" s="78" t="s">
        <v>224</v>
      </c>
      <c r="D39" s="429">
        <f t="shared" ref="D39:I39" si="0">D36/D38</f>
        <v>-76094957</v>
      </c>
      <c r="E39" s="429">
        <f t="shared" si="0"/>
        <v>68945643.020669773</v>
      </c>
      <c r="F39" s="429">
        <f t="shared" si="0"/>
        <v>249269938.87672806</v>
      </c>
      <c r="G39" s="429">
        <f t="shared" si="0"/>
        <v>224765708.16607067</v>
      </c>
      <c r="H39" s="429">
        <f t="shared" si="0"/>
        <v>427262397.34034181</v>
      </c>
      <c r="I39" s="429">
        <f t="shared" si="0"/>
        <v>468510445.00780475</v>
      </c>
      <c r="J39" s="139"/>
      <c r="K39" s="129"/>
    </row>
    <row r="40" spans="1:11" x14ac:dyDescent="0.25">
      <c r="A40" s="130"/>
      <c r="B40" s="136"/>
      <c r="C40" s="69" t="s">
        <v>225</v>
      </c>
      <c r="D40" s="427"/>
      <c r="E40" s="427"/>
      <c r="F40" s="356"/>
      <c r="G40" s="356"/>
      <c r="H40" s="356"/>
      <c r="I40" s="356"/>
      <c r="J40" s="137"/>
      <c r="K40" s="130"/>
    </row>
    <row r="41" spans="1:11" s="37" customFormat="1" ht="26.4" x14ac:dyDescent="0.25">
      <c r="A41" s="131"/>
      <c r="B41" s="140"/>
      <c r="C41" s="72" t="s">
        <v>226</v>
      </c>
      <c r="D41" s="439">
        <f>Bases!D25</f>
        <v>1E-3</v>
      </c>
      <c r="E41" s="432"/>
      <c r="F41" s="433"/>
      <c r="G41" s="433"/>
      <c r="H41" s="433"/>
      <c r="I41" s="433"/>
      <c r="J41" s="141"/>
      <c r="K41" s="131"/>
    </row>
    <row r="42" spans="1:11" s="37" customFormat="1" x14ac:dyDescent="0.25">
      <c r="A42" s="131"/>
      <c r="B42" s="140"/>
      <c r="C42" s="72" t="s">
        <v>227</v>
      </c>
      <c r="D42" s="440">
        <f>IF(ISERROR(IRR(D36:I36)),"N.A.",IRR(D36:I36))</f>
        <v>1.8069290155728881</v>
      </c>
      <c r="E42" s="434"/>
      <c r="F42" s="435"/>
      <c r="G42" s="435"/>
      <c r="H42" s="435"/>
      <c r="I42" s="435"/>
      <c r="J42" s="141"/>
      <c r="K42" s="131"/>
    </row>
    <row r="43" spans="1:11" s="37" customFormat="1" x14ac:dyDescent="0.25">
      <c r="A43" s="131"/>
      <c r="B43" s="140"/>
      <c r="C43" s="72" t="s">
        <v>228</v>
      </c>
      <c r="D43" s="441">
        <f>NPV(D41,E36:I36)+D36</f>
        <v>1362659175.4116149</v>
      </c>
      <c r="E43" s="434"/>
      <c r="F43" s="433"/>
      <c r="G43" s="433"/>
      <c r="H43" s="433"/>
      <c r="I43" s="433"/>
      <c r="J43" s="141"/>
      <c r="K43" s="131"/>
    </row>
    <row r="44" spans="1:11" s="37" customFormat="1" x14ac:dyDescent="0.25">
      <c r="A44" s="131"/>
      <c r="B44" s="140"/>
      <c r="C44" s="72" t="s">
        <v>229</v>
      </c>
      <c r="D44" s="442">
        <f>IF(ISERROR(-D34/AVERAGE(E36:I36)),"N.A.",-D34/AVERAGE(E36:I36))</f>
        <v>0.26347653080328309</v>
      </c>
      <c r="E44" s="434"/>
      <c r="F44" s="433"/>
      <c r="G44" s="433"/>
      <c r="H44" s="433"/>
      <c r="I44" s="433"/>
      <c r="J44" s="141"/>
      <c r="K44" s="131"/>
    </row>
    <row r="45" spans="1:11" s="37" customFormat="1" ht="26.4" x14ac:dyDescent="0.25">
      <c r="A45" s="131"/>
      <c r="B45" s="140"/>
      <c r="C45" s="72" t="s">
        <v>230</v>
      </c>
      <c r="D45" s="443">
        <f>Bases!D26</f>
        <v>4</v>
      </c>
      <c r="E45" s="434"/>
      <c r="F45" s="433"/>
      <c r="G45" s="433"/>
      <c r="H45" s="433"/>
      <c r="I45" s="433"/>
      <c r="J45" s="141"/>
      <c r="K45" s="131"/>
    </row>
    <row r="46" spans="1:11" s="37" customFormat="1" ht="39.6" x14ac:dyDescent="0.25">
      <c r="A46" s="131"/>
      <c r="B46" s="140"/>
      <c r="C46" s="72" t="s">
        <v>231</v>
      </c>
      <c r="D46" s="440">
        <f>IF(ISERROR(Balance!D51/Balance!D43),"N.A.",Balance!D51/Balance!D43)</f>
        <v>0.70041782138072561</v>
      </c>
      <c r="E46" s="434"/>
      <c r="F46" s="433"/>
      <c r="G46" s="433"/>
      <c r="H46" s="433"/>
      <c r="I46" s="433"/>
      <c r="J46" s="141"/>
      <c r="K46" s="131"/>
    </row>
    <row r="47" spans="1:11" s="37" customFormat="1" ht="26.4" x14ac:dyDescent="0.25">
      <c r="A47" s="131"/>
      <c r="B47" s="140"/>
      <c r="C47" s="72" t="s">
        <v>232</v>
      </c>
      <c r="D47" s="443">
        <f>Bases!D27</f>
        <v>12</v>
      </c>
      <c r="E47" s="434"/>
      <c r="F47" s="433"/>
      <c r="G47" s="433"/>
      <c r="H47" s="433"/>
      <c r="I47" s="433"/>
      <c r="J47" s="141"/>
      <c r="K47" s="131"/>
    </row>
    <row r="48" spans="1:11" s="37" customFormat="1" ht="26.4" x14ac:dyDescent="0.25">
      <c r="A48" s="131"/>
      <c r="B48" s="140"/>
      <c r="C48" s="72" t="s">
        <v>233</v>
      </c>
      <c r="D48" s="443">
        <f>Bases!D28</f>
        <v>36</v>
      </c>
      <c r="E48" s="434"/>
      <c r="F48" s="433"/>
      <c r="G48" s="433"/>
      <c r="H48" s="433"/>
      <c r="I48" s="433"/>
      <c r="J48" s="141"/>
      <c r="K48" s="131"/>
    </row>
    <row r="49" spans="1:11" ht="13.8" thickBot="1" x14ac:dyDescent="0.3">
      <c r="A49" s="129"/>
      <c r="B49" s="142"/>
      <c r="C49" s="143"/>
      <c r="D49" s="144"/>
      <c r="E49" s="144"/>
      <c r="F49" s="145"/>
      <c r="G49" s="145"/>
      <c r="H49" s="145"/>
      <c r="I49" s="145"/>
      <c r="J49" s="146"/>
      <c r="K49" s="129"/>
    </row>
    <row r="50" spans="1:11" x14ac:dyDescent="0.25">
      <c r="A50" s="129"/>
      <c r="B50" s="129"/>
      <c r="C50" s="132"/>
      <c r="D50" s="130"/>
      <c r="E50" s="130"/>
      <c r="F50" s="129"/>
      <c r="G50" s="129"/>
      <c r="H50" s="129"/>
      <c r="I50" s="129"/>
      <c r="J50" s="129"/>
      <c r="K50" s="129"/>
    </row>
  </sheetData>
  <sheetProtection password="CA1B" sheet="1" formatColumns="0" formatRows="0"/>
  <phoneticPr fontId="0" type="noConversion"/>
  <hyperlinks>
    <hyperlink ref="C1" location="Inicio!A1" display="Inicio" xr:uid="{00000000-0004-0000-1000-000000000000}"/>
  </hyperlinks>
  <printOptions horizontalCentered="1" verticalCentered="1" gridLinesSet="0"/>
  <pageMargins left="0.19685039370078741" right="0.19685039370078741" top="0.68" bottom="0.15748031496062992" header="0.28000000000000003" footer="0.12"/>
  <pageSetup scale="82" orientation="landscape" horizontalDpi="300" verticalDpi="300"/>
  <headerFooter alignWithMargins="0">
    <oddHeader>&amp;C&amp;"Arial,Negrita"&amp;14MODELO FINANCIERO
&amp;A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99161-246B-489C-982E-DE5407E63B99}">
  <sheetPr>
    <tabColor indexed="21"/>
  </sheetPr>
  <dimension ref="A1:X24"/>
  <sheetViews>
    <sheetView topLeftCell="J1" workbookViewId="0">
      <selection activeCell="V11" sqref="V11"/>
    </sheetView>
  </sheetViews>
  <sheetFormatPr baseColWidth="10" defaultRowHeight="13.2" x14ac:dyDescent="0.25"/>
  <cols>
    <col min="1" max="1" width="26.44140625" bestFit="1" customWidth="1"/>
    <col min="2" max="2" width="16.77734375" bestFit="1" customWidth="1"/>
    <col min="3" max="4" width="14.5546875" bestFit="1" customWidth="1"/>
    <col min="6" max="6" width="26.44140625" bestFit="1" customWidth="1"/>
    <col min="7" max="7" width="16.6640625" bestFit="1" customWidth="1"/>
    <col min="8" max="8" width="13.6640625" bestFit="1" customWidth="1"/>
    <col min="9" max="9" width="15.5546875" bestFit="1" customWidth="1"/>
    <col min="11" max="11" width="26.44140625" bestFit="1" customWidth="1"/>
    <col min="12" max="12" width="16.6640625" bestFit="1" customWidth="1"/>
    <col min="13" max="14" width="13.6640625" bestFit="1" customWidth="1"/>
    <col min="16" max="16" width="26.44140625" bestFit="1" customWidth="1"/>
    <col min="17" max="17" width="16.6640625" bestFit="1" customWidth="1"/>
    <col min="18" max="19" width="13.6640625" bestFit="1" customWidth="1"/>
    <col min="21" max="21" width="26.44140625" bestFit="1" customWidth="1"/>
    <col min="22" max="22" width="16.6640625" bestFit="1" customWidth="1"/>
    <col min="23" max="24" width="13.6640625" bestFit="1" customWidth="1"/>
  </cols>
  <sheetData>
    <row r="1" spans="1:24" x14ac:dyDescent="0.25">
      <c r="A1" s="576" t="s">
        <v>611</v>
      </c>
      <c r="B1" s="576"/>
      <c r="C1" s="576"/>
      <c r="D1" s="576"/>
      <c r="F1" s="576" t="s">
        <v>612</v>
      </c>
      <c r="G1" s="576"/>
      <c r="H1" s="576"/>
      <c r="I1" s="576"/>
      <c r="K1" s="576" t="s">
        <v>613</v>
      </c>
      <c r="L1" s="576"/>
      <c r="M1" s="576"/>
      <c r="N1" s="576"/>
      <c r="P1" s="576" t="s">
        <v>614</v>
      </c>
      <c r="Q1" s="576"/>
      <c r="R1" s="576"/>
      <c r="S1" s="576"/>
      <c r="U1" s="576" t="s">
        <v>615</v>
      </c>
      <c r="V1" s="576"/>
      <c r="W1" s="576"/>
      <c r="X1" s="576"/>
    </row>
    <row r="3" spans="1:24" x14ac:dyDescent="0.25">
      <c r="A3" s="560" t="s">
        <v>599</v>
      </c>
      <c r="B3" s="560" t="s">
        <v>600</v>
      </c>
      <c r="C3" s="560" t="s">
        <v>601</v>
      </c>
      <c r="D3" s="560" t="s">
        <v>602</v>
      </c>
      <c r="F3" s="560" t="s">
        <v>599</v>
      </c>
      <c r="G3" s="560" t="s">
        <v>600</v>
      </c>
      <c r="H3" s="560" t="s">
        <v>601</v>
      </c>
      <c r="I3" s="560" t="s">
        <v>602</v>
      </c>
      <c r="K3" s="560" t="s">
        <v>599</v>
      </c>
      <c r="L3" s="560" t="s">
        <v>600</v>
      </c>
      <c r="M3" s="560" t="s">
        <v>601</v>
      </c>
      <c r="N3" s="560" t="s">
        <v>602</v>
      </c>
      <c r="P3" s="560" t="s">
        <v>599</v>
      </c>
      <c r="Q3" s="560" t="s">
        <v>600</v>
      </c>
      <c r="R3" s="560" t="s">
        <v>601</v>
      </c>
      <c r="S3" s="560" t="s">
        <v>602</v>
      </c>
      <c r="U3" s="560" t="s">
        <v>599</v>
      </c>
      <c r="V3" s="560" t="s">
        <v>600</v>
      </c>
      <c r="W3" s="560" t="s">
        <v>601</v>
      </c>
      <c r="X3" s="560" t="s">
        <v>602</v>
      </c>
    </row>
    <row r="4" spans="1:24" x14ac:dyDescent="0.25">
      <c r="A4" s="560" t="s">
        <v>603</v>
      </c>
      <c r="B4" s="561">
        <v>8000</v>
      </c>
      <c r="C4" s="561">
        <v>125000</v>
      </c>
      <c r="D4" s="561">
        <v>180000</v>
      </c>
      <c r="F4" s="560" t="s">
        <v>603</v>
      </c>
      <c r="G4" s="561">
        <v>8312</v>
      </c>
      <c r="H4" s="561">
        <v>129875</v>
      </c>
      <c r="I4" s="561">
        <v>187020</v>
      </c>
      <c r="K4" s="560" t="s">
        <v>603</v>
      </c>
      <c r="L4" s="561">
        <v>8570</v>
      </c>
      <c r="M4" s="561">
        <v>133901</v>
      </c>
      <c r="N4" s="561">
        <v>192818</v>
      </c>
      <c r="P4" s="560" t="s">
        <v>603</v>
      </c>
      <c r="Q4" s="561">
        <v>8827</v>
      </c>
      <c r="R4" s="561">
        <v>137918</v>
      </c>
      <c r="S4" s="561">
        <v>198602</v>
      </c>
      <c r="U4" s="560" t="s">
        <v>603</v>
      </c>
      <c r="V4" s="561">
        <v>9092</v>
      </c>
      <c r="W4" s="561">
        <v>142056</v>
      </c>
      <c r="X4" s="561">
        <v>204560</v>
      </c>
    </row>
    <row r="5" spans="1:24" x14ac:dyDescent="0.25">
      <c r="A5" s="560" t="s">
        <v>604</v>
      </c>
      <c r="B5" s="561">
        <v>4966</v>
      </c>
      <c r="C5" s="561">
        <v>34075</v>
      </c>
      <c r="D5" s="561">
        <v>52667</v>
      </c>
      <c r="F5" s="560" t="s">
        <v>604</v>
      </c>
      <c r="G5" s="561">
        <v>5160</v>
      </c>
      <c r="H5" s="561">
        <v>35404</v>
      </c>
      <c r="I5" s="561">
        <v>54721</v>
      </c>
      <c r="K5" s="560" t="s">
        <v>604</v>
      </c>
      <c r="L5" s="561">
        <v>5320</v>
      </c>
      <c r="M5" s="561">
        <v>36502</v>
      </c>
      <c r="N5" s="561">
        <v>56417</v>
      </c>
      <c r="P5" s="560" t="s">
        <v>604</v>
      </c>
      <c r="Q5" s="561">
        <v>5479</v>
      </c>
      <c r="R5" s="561">
        <v>37597</v>
      </c>
      <c r="S5" s="561">
        <v>58110</v>
      </c>
      <c r="U5" s="560" t="s">
        <v>604</v>
      </c>
      <c r="V5" s="561">
        <v>5644</v>
      </c>
      <c r="W5" s="561">
        <v>38724</v>
      </c>
      <c r="X5" s="561">
        <v>59853</v>
      </c>
    </row>
    <row r="6" spans="1:24" x14ac:dyDescent="0.25">
      <c r="A6" s="560" t="s">
        <v>605</v>
      </c>
      <c r="B6" s="562">
        <f>+B4-B5</f>
        <v>3034</v>
      </c>
      <c r="C6" s="562">
        <f t="shared" ref="C6:D6" si="0">+C4-C5</f>
        <v>90925</v>
      </c>
      <c r="D6" s="562">
        <f t="shared" si="0"/>
        <v>127333</v>
      </c>
      <c r="F6" s="560" t="s">
        <v>605</v>
      </c>
      <c r="G6" s="562">
        <f>+G4-G5</f>
        <v>3152</v>
      </c>
      <c r="H6" s="562">
        <f t="shared" ref="H6" si="1">+H4-H5</f>
        <v>94471</v>
      </c>
      <c r="I6" s="562">
        <f t="shared" ref="I6" si="2">+I4-I5</f>
        <v>132299</v>
      </c>
      <c r="K6" s="560" t="s">
        <v>605</v>
      </c>
      <c r="L6" s="562">
        <f>+L4-L5</f>
        <v>3250</v>
      </c>
      <c r="M6" s="562">
        <f t="shared" ref="M6" si="3">+M4-M5</f>
        <v>97399</v>
      </c>
      <c r="N6" s="562">
        <f t="shared" ref="N6" si="4">+N4-N5</f>
        <v>136401</v>
      </c>
      <c r="P6" s="560" t="s">
        <v>605</v>
      </c>
      <c r="Q6" s="562">
        <f>+Q4-Q5</f>
        <v>3348</v>
      </c>
      <c r="R6" s="562">
        <f t="shared" ref="R6" si="5">+R4-R5</f>
        <v>100321</v>
      </c>
      <c r="S6" s="562">
        <f t="shared" ref="S6" si="6">+S4-S5</f>
        <v>140492</v>
      </c>
      <c r="U6" s="560" t="s">
        <v>605</v>
      </c>
      <c r="V6" s="562">
        <f>+V4-V5</f>
        <v>3448</v>
      </c>
      <c r="W6" s="562">
        <f t="shared" ref="W6" si="7">+W4-W5</f>
        <v>103332</v>
      </c>
      <c r="X6" s="562">
        <f t="shared" ref="X6" si="8">+X4-X5</f>
        <v>144707</v>
      </c>
    </row>
    <row r="7" spans="1:24" x14ac:dyDescent="0.25">
      <c r="A7" s="560" t="s">
        <v>606</v>
      </c>
      <c r="B7" s="563">
        <v>0.05</v>
      </c>
      <c r="C7" s="563">
        <v>0.47499999999999998</v>
      </c>
      <c r="D7" s="563">
        <v>0.47499999999999998</v>
      </c>
      <c r="F7" s="560" t="s">
        <v>606</v>
      </c>
      <c r="G7" s="563">
        <v>0.05</v>
      </c>
      <c r="H7" s="563">
        <v>0.47499999999999998</v>
      </c>
      <c r="I7" s="563">
        <v>0.47499999999999998</v>
      </c>
      <c r="K7" s="560" t="s">
        <v>606</v>
      </c>
      <c r="L7" s="563">
        <v>0.05</v>
      </c>
      <c r="M7" s="563">
        <v>0.47499999999999998</v>
      </c>
      <c r="N7" s="563">
        <v>0.47499999999999998</v>
      </c>
      <c r="P7" s="560" t="s">
        <v>606</v>
      </c>
      <c r="Q7" s="563">
        <v>0.05</v>
      </c>
      <c r="R7" s="563">
        <v>0.47499999999999998</v>
      </c>
      <c r="S7" s="563">
        <v>0.47499999999999998</v>
      </c>
      <c r="U7" s="560" t="s">
        <v>606</v>
      </c>
      <c r="V7" s="563">
        <v>0.05</v>
      </c>
      <c r="W7" s="563">
        <v>0.47499999999999998</v>
      </c>
      <c r="X7" s="563">
        <v>0.47499999999999998</v>
      </c>
    </row>
    <row r="8" spans="1:24" x14ac:dyDescent="0.25">
      <c r="A8" s="560" t="s">
        <v>607</v>
      </c>
      <c r="B8" s="561">
        <f>+B6*B7</f>
        <v>151.70000000000002</v>
      </c>
      <c r="C8" s="561">
        <f t="shared" ref="C8:D8" si="9">+C6*C7</f>
        <v>43189.375</v>
      </c>
      <c r="D8" s="561">
        <f t="shared" si="9"/>
        <v>60483.174999999996</v>
      </c>
      <c r="F8" s="560" t="s">
        <v>607</v>
      </c>
      <c r="G8" s="561">
        <f>+G6*G7</f>
        <v>157.60000000000002</v>
      </c>
      <c r="H8" s="561">
        <f t="shared" ref="H8" si="10">+H6*H7</f>
        <v>44873.724999999999</v>
      </c>
      <c r="I8" s="561">
        <f t="shared" ref="I8" si="11">+I6*I7</f>
        <v>62842.024999999994</v>
      </c>
      <c r="K8" s="560" t="s">
        <v>607</v>
      </c>
      <c r="L8" s="561">
        <f>+L6*L7</f>
        <v>162.5</v>
      </c>
      <c r="M8" s="561">
        <f t="shared" ref="M8" si="12">+M6*M7</f>
        <v>46264.525000000001</v>
      </c>
      <c r="N8" s="561">
        <f t="shared" ref="N8" si="13">+N6*N7</f>
        <v>64790.474999999999</v>
      </c>
      <c r="P8" s="560" t="s">
        <v>607</v>
      </c>
      <c r="Q8" s="561">
        <f>+Q6*Q7</f>
        <v>167.4</v>
      </c>
      <c r="R8" s="561">
        <f t="shared" ref="R8" si="14">+R6*R7</f>
        <v>47652.474999999999</v>
      </c>
      <c r="S8" s="561">
        <f t="shared" ref="S8" si="15">+S6*S7</f>
        <v>66733.7</v>
      </c>
      <c r="U8" s="560" t="s">
        <v>607</v>
      </c>
      <c r="V8" s="561">
        <f>+V6*V7</f>
        <v>172.4</v>
      </c>
      <c r="W8" s="561">
        <f t="shared" ref="W8" si="16">+W6*W7</f>
        <v>49082.7</v>
      </c>
      <c r="X8" s="561">
        <f t="shared" ref="X8" si="17">+X6*X7</f>
        <v>68735.824999999997</v>
      </c>
    </row>
    <row r="11" spans="1:24" x14ac:dyDescent="0.25">
      <c r="A11" t="s">
        <v>608</v>
      </c>
      <c r="B11" s="564">
        <f>+'Gastos Generales Admon y Ventas'!G56+'Gastos Generales Admon y Ventas'!G73+'Gastos Generales Admon y Ventas'!G90</f>
        <v>164521692</v>
      </c>
      <c r="F11" t="s">
        <v>608</v>
      </c>
      <c r="G11" s="564">
        <f>+'Gastos Generales Admon y Ventas'!H56+'Gastos Generales Admon y Ventas'!H73+'Gastos Generales Admon y Ventas'!H90</f>
        <v>174055037.98800001</v>
      </c>
      <c r="K11" t="s">
        <v>608</v>
      </c>
      <c r="L11" s="564">
        <f>+'Gastos Generales Admon y Ventas'!I56+'Gastos Generales Admon y Ventas'!I73+'Gastos Generales Admon y Ventas'!I90</f>
        <v>179450744.16562796</v>
      </c>
      <c r="P11" t="s">
        <v>608</v>
      </c>
      <c r="Q11" s="564">
        <f>+'Gastos Generales Admon y Ventas'!J56+'Gastos Generales Admon y Ventas'!J73+'Gastos Generales Admon y Ventas'!J90</f>
        <v>184834266.49059686</v>
      </c>
      <c r="U11" t="s">
        <v>608</v>
      </c>
      <c r="V11" s="564">
        <f>+'Gastos Generales Admon y Ventas'!K56+'Gastos Generales Admon y Ventas'!K73+'Gastos Generales Admon y Ventas'!K90</f>
        <v>190379294.48531473</v>
      </c>
    </row>
    <row r="12" spans="1:24" x14ac:dyDescent="0.25">
      <c r="A12" t="s">
        <v>609</v>
      </c>
      <c r="B12" s="565">
        <f>+B11/(SUM(B8:D8))</f>
        <v>1584.6171968494837</v>
      </c>
      <c r="F12" t="s">
        <v>609</v>
      </c>
      <c r="G12" s="565">
        <f>+G11/(SUM(G8:I8))</f>
        <v>1613.512864743702</v>
      </c>
      <c r="K12" t="s">
        <v>609</v>
      </c>
      <c r="L12" s="565">
        <f>+L11/(SUM(L8:N8))</f>
        <v>1613.5117599804703</v>
      </c>
      <c r="P12" t="s">
        <v>609</v>
      </c>
      <c r="Q12" s="565">
        <f>+Q11/(SUM(Q8:S8))</f>
        <v>1613.5180983273274</v>
      </c>
      <c r="U12" t="s">
        <v>609</v>
      </c>
      <c r="V12" s="565">
        <f>+V11/(SUM(V8:X8))</f>
        <v>1613.5079412701846</v>
      </c>
    </row>
    <row r="15" spans="1:24" x14ac:dyDescent="0.25">
      <c r="A15" s="560" t="s">
        <v>599</v>
      </c>
      <c r="B15" s="560" t="s">
        <v>600</v>
      </c>
      <c r="C15" s="560" t="s">
        <v>601</v>
      </c>
      <c r="D15" s="560" t="s">
        <v>602</v>
      </c>
      <c r="F15" s="560" t="s">
        <v>599</v>
      </c>
      <c r="G15" s="560" t="s">
        <v>600</v>
      </c>
      <c r="H15" s="560" t="s">
        <v>601</v>
      </c>
      <c r="I15" s="560" t="s">
        <v>602</v>
      </c>
      <c r="K15" s="560" t="s">
        <v>599</v>
      </c>
      <c r="L15" s="560" t="s">
        <v>600</v>
      </c>
      <c r="M15" s="560" t="s">
        <v>601</v>
      </c>
      <c r="N15" s="560" t="s">
        <v>602</v>
      </c>
      <c r="P15" s="560" t="s">
        <v>599</v>
      </c>
      <c r="Q15" s="560" t="s">
        <v>600</v>
      </c>
      <c r="R15" s="560" t="s">
        <v>601</v>
      </c>
      <c r="S15" s="560" t="s">
        <v>602</v>
      </c>
      <c r="U15" s="560" t="s">
        <v>599</v>
      </c>
      <c r="V15" s="560" t="s">
        <v>600</v>
      </c>
      <c r="W15" s="560" t="s">
        <v>601</v>
      </c>
      <c r="X15" s="560" t="s">
        <v>602</v>
      </c>
    </row>
    <row r="16" spans="1:24" x14ac:dyDescent="0.25">
      <c r="A16" s="560" t="s">
        <v>610</v>
      </c>
      <c r="B16" s="566">
        <f>+$B$12*B7</f>
        <v>79.230859842474189</v>
      </c>
      <c r="C16" s="566">
        <f t="shared" ref="C16:D16" si="18">+$B$12*C7</f>
        <v>752.69316850350469</v>
      </c>
      <c r="D16" s="566">
        <f t="shared" si="18"/>
        <v>752.69316850350469</v>
      </c>
      <c r="F16" s="560" t="s">
        <v>610</v>
      </c>
      <c r="G16" s="566">
        <f>+$G$12*G7</f>
        <v>80.675643237185113</v>
      </c>
      <c r="H16" s="566">
        <f t="shared" ref="H16:I16" si="19">+$G$12*H7</f>
        <v>766.41861075325846</v>
      </c>
      <c r="I16" s="566">
        <f t="shared" si="19"/>
        <v>766.41861075325846</v>
      </c>
      <c r="K16" s="560" t="s">
        <v>610</v>
      </c>
      <c r="L16" s="566">
        <f>+$L$12*L7</f>
        <v>80.67558799902352</v>
      </c>
      <c r="M16" s="566">
        <f t="shared" ref="M16:N16" si="20">+$L$12*M7</f>
        <v>766.4180859907234</v>
      </c>
      <c r="N16" s="566">
        <f t="shared" si="20"/>
        <v>766.4180859907234</v>
      </c>
      <c r="P16" s="560" t="s">
        <v>610</v>
      </c>
      <c r="Q16" s="566">
        <f>+$Q$12*Q7</f>
        <v>80.675904916366378</v>
      </c>
      <c r="R16" s="566">
        <f t="shared" ref="R16:S16" si="21">+$Q$12*R7</f>
        <v>766.42109670548052</v>
      </c>
      <c r="S16" s="566">
        <f t="shared" si="21"/>
        <v>766.42109670548052</v>
      </c>
      <c r="U16" s="560" t="s">
        <v>610</v>
      </c>
      <c r="V16" s="566">
        <f>+$V$12*V7</f>
        <v>80.675397063509237</v>
      </c>
      <c r="W16" s="566">
        <f t="shared" ref="W16:X16" si="22">+$Q$12*W7</f>
        <v>766.42109670548052</v>
      </c>
      <c r="X16" s="566">
        <f t="shared" si="22"/>
        <v>766.42109670548052</v>
      </c>
    </row>
    <row r="18" spans="1:9" x14ac:dyDescent="0.25">
      <c r="I18" s="564"/>
    </row>
    <row r="20" spans="1:9" x14ac:dyDescent="0.25">
      <c r="A20" s="577" t="s">
        <v>616</v>
      </c>
      <c r="B20" s="577"/>
      <c r="C20" s="577"/>
      <c r="D20" s="577"/>
      <c r="E20" s="577"/>
      <c r="F20" s="577"/>
    </row>
    <row r="21" spans="1:9" x14ac:dyDescent="0.25">
      <c r="A21" s="560" t="s">
        <v>599</v>
      </c>
      <c r="B21" s="560" t="s">
        <v>611</v>
      </c>
      <c r="C21" s="560" t="s">
        <v>612</v>
      </c>
      <c r="D21" s="560" t="s">
        <v>613</v>
      </c>
      <c r="E21" s="560" t="s">
        <v>614</v>
      </c>
      <c r="F21" s="560" t="s">
        <v>615</v>
      </c>
    </row>
    <row r="22" spans="1:9" x14ac:dyDescent="0.25">
      <c r="A22" s="560" t="s">
        <v>600</v>
      </c>
      <c r="B22" s="566">
        <v>79.230859842474189</v>
      </c>
      <c r="C22" s="566">
        <f>+G16</f>
        <v>80.675643237185113</v>
      </c>
      <c r="D22" s="566">
        <v>80.675643237185113</v>
      </c>
      <c r="E22" s="566">
        <v>80.675643237185113</v>
      </c>
      <c r="F22" s="566">
        <v>80.675643237185113</v>
      </c>
    </row>
    <row r="23" spans="1:9" x14ac:dyDescent="0.25">
      <c r="A23" s="560" t="s">
        <v>601</v>
      </c>
      <c r="B23" s="566">
        <v>752.69316850350469</v>
      </c>
      <c r="C23" s="566">
        <f>+H16</f>
        <v>766.41861075325846</v>
      </c>
      <c r="D23" s="566">
        <v>766.41861075325846</v>
      </c>
      <c r="E23" s="566">
        <v>766.41861075325846</v>
      </c>
      <c r="F23" s="566">
        <v>766.41861075325846</v>
      </c>
    </row>
    <row r="24" spans="1:9" x14ac:dyDescent="0.25">
      <c r="A24" s="560" t="s">
        <v>602</v>
      </c>
      <c r="B24" s="566">
        <v>752.69316850350469</v>
      </c>
      <c r="C24" s="566">
        <f>+I16</f>
        <v>766.41861075325846</v>
      </c>
      <c r="D24" s="566">
        <v>766.41861075325846</v>
      </c>
      <c r="E24" s="566">
        <v>766.41861075325846</v>
      </c>
      <c r="F24" s="566">
        <v>766.41861075325846</v>
      </c>
    </row>
  </sheetData>
  <mergeCells count="6">
    <mergeCell ref="A20:F20"/>
    <mergeCell ref="A1:D1"/>
    <mergeCell ref="F1:I1"/>
    <mergeCell ref="K1:N1"/>
    <mergeCell ref="P1:S1"/>
    <mergeCell ref="U1:X1"/>
  </mergeCells>
  <phoneticPr fontId="2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7">
    <tabColor indexed="30"/>
    <pageSetUpPr fitToPage="1"/>
  </sheetPr>
  <dimension ref="A1:I31"/>
  <sheetViews>
    <sheetView showGridLines="0" topLeftCell="A15" zoomScale="111" zoomScaleNormal="111" workbookViewId="0">
      <selection activeCell="C4" sqref="C4"/>
    </sheetView>
  </sheetViews>
  <sheetFormatPr baseColWidth="10" defaultColWidth="0" defaultRowHeight="13.2" zeroHeight="1" x14ac:dyDescent="0.25"/>
  <cols>
    <col min="1" max="1" width="2" style="1" customWidth="1"/>
    <col min="2" max="2" width="19" style="1" customWidth="1"/>
    <col min="3" max="8" width="15.44140625" style="1" customWidth="1"/>
    <col min="9" max="9" width="0" style="1" hidden="1" customWidth="1"/>
    <col min="10" max="16384" width="0" style="1" hidden="1"/>
  </cols>
  <sheetData>
    <row r="1" spans="1:9" ht="17.399999999999999" x14ac:dyDescent="0.25">
      <c r="B1" s="329" t="s">
        <v>350</v>
      </c>
      <c r="C1" s="161">
        <v>0</v>
      </c>
      <c r="D1" s="161">
        <v>1</v>
      </c>
      <c r="E1" s="161">
        <v>2</v>
      </c>
      <c r="F1" s="161">
        <v>3</v>
      </c>
      <c r="G1" s="161">
        <v>4</v>
      </c>
      <c r="H1" s="161">
        <v>5</v>
      </c>
    </row>
    <row r="2" spans="1:9" x14ac:dyDescent="0.25">
      <c r="B2" s="25" t="s">
        <v>25</v>
      </c>
    </row>
    <row r="3" spans="1:9" ht="15" customHeight="1" x14ac:dyDescent="0.25">
      <c r="B3" s="49" t="s">
        <v>109</v>
      </c>
      <c r="C3" s="444"/>
      <c r="D3" s="444">
        <f>Bases!F12+Bases!$D$32</f>
        <v>0.26269999999999999</v>
      </c>
      <c r="E3" s="444">
        <f>Bases!G12+Bases!$D$32</f>
        <v>0.25690000000000002</v>
      </c>
      <c r="F3" s="444">
        <f>Bases!H12+Bases!$D$32</f>
        <v>0.25769999999999998</v>
      </c>
      <c r="G3" s="444">
        <f>Bases!I12+Bases!$D$32</f>
        <v>0.2581</v>
      </c>
      <c r="H3" s="444">
        <f>Bases!J12+Bases!$D$32</f>
        <v>0.2581</v>
      </c>
    </row>
    <row r="4" spans="1:9" x14ac:dyDescent="0.25">
      <c r="B4" s="49" t="s">
        <v>92</v>
      </c>
      <c r="C4" s="444"/>
      <c r="D4" s="444">
        <f>(1-D3/4)^(-4)-1</f>
        <v>0.31222443894698015</v>
      </c>
      <c r="E4" s="444">
        <f>(1-E3/4)^(-4)-1</f>
        <v>0.30411006297917687</v>
      </c>
      <c r="F4" s="444">
        <f>(1-F3/4)^(-4)-1</f>
        <v>0.30522555092740022</v>
      </c>
      <c r="G4" s="444">
        <f>(1-G3/4)^(-4)-1</f>
        <v>0.3057837421581624</v>
      </c>
      <c r="H4" s="444">
        <f>(1-H3/4)^(-4)-1</f>
        <v>0.3057837421581624</v>
      </c>
    </row>
    <row r="5" spans="1:9" s="27" customFormat="1" x14ac:dyDescent="0.25">
      <c r="A5" s="26"/>
      <c r="B5" s="49" t="s">
        <v>82</v>
      </c>
      <c r="C5" s="410">
        <f>'Estructura de Capital'!E84</f>
        <v>53298264</v>
      </c>
      <c r="D5" s="410">
        <f>'Estructura de Capital'!F84</f>
        <v>0</v>
      </c>
      <c r="E5" s="410">
        <f>'Estructura de Capital'!G84</f>
        <v>0</v>
      </c>
      <c r="F5" s="410">
        <f>'Estructura de Capital'!H84</f>
        <v>0</v>
      </c>
      <c r="G5" s="410">
        <f>'Estructura de Capital'!I84</f>
        <v>0</v>
      </c>
      <c r="H5" s="410">
        <f>'Estructura de Capital'!J84</f>
        <v>0</v>
      </c>
      <c r="I5" s="26"/>
    </row>
    <row r="6" spans="1:9" x14ac:dyDescent="0.25">
      <c r="C6" s="445"/>
      <c r="D6" s="445"/>
      <c r="E6" s="445"/>
      <c r="F6" s="445"/>
      <c r="G6" s="445"/>
      <c r="H6" s="445"/>
    </row>
    <row r="7" spans="1:9" x14ac:dyDescent="0.25">
      <c r="B7" s="28" t="s">
        <v>93</v>
      </c>
      <c r="C7" s="446"/>
      <c r="D7" s="446"/>
      <c r="E7" s="446"/>
      <c r="F7" s="446"/>
      <c r="G7" s="446"/>
      <c r="H7" s="446"/>
    </row>
    <row r="8" spans="1:9" x14ac:dyDescent="0.25">
      <c r="A8" s="49">
        <v>0</v>
      </c>
      <c r="B8" s="49" t="s">
        <v>83</v>
      </c>
      <c r="C8" s="406">
        <f t="shared" ref="C8:H8" si="0">IF($A8&gt;C$1,0,IF($A8=C$1,C$5,B8-C16))</f>
        <v>53298264</v>
      </c>
      <c r="D8" s="406">
        <f t="shared" si="0"/>
        <v>53298264</v>
      </c>
      <c r="E8" s="406">
        <f t="shared" si="0"/>
        <v>0</v>
      </c>
      <c r="F8" s="406">
        <f t="shared" si="0"/>
        <v>0</v>
      </c>
      <c r="G8" s="406">
        <f t="shared" si="0"/>
        <v>0</v>
      </c>
      <c r="H8" s="406">
        <f t="shared" si="0"/>
        <v>0</v>
      </c>
    </row>
    <row r="9" spans="1:9" x14ac:dyDescent="0.25">
      <c r="A9" s="49">
        <v>1</v>
      </c>
      <c r="B9" s="49" t="s">
        <v>84</v>
      </c>
      <c r="C9" s="406">
        <f t="shared" ref="C9:H13" si="1">IF($A9&gt;C$1,0,IF($A9=C$1,C$5,B9-C17))</f>
        <v>0</v>
      </c>
      <c r="D9" s="406">
        <f t="shared" si="1"/>
        <v>0</v>
      </c>
      <c r="E9" s="406">
        <f t="shared" si="1"/>
        <v>0</v>
      </c>
      <c r="F9" s="406">
        <f t="shared" si="1"/>
        <v>0</v>
      </c>
      <c r="G9" s="406">
        <f t="shared" si="1"/>
        <v>0</v>
      </c>
      <c r="H9" s="406">
        <f t="shared" si="1"/>
        <v>0</v>
      </c>
    </row>
    <row r="10" spans="1:9" x14ac:dyDescent="0.25">
      <c r="A10" s="49">
        <v>2</v>
      </c>
      <c r="B10" s="49" t="s">
        <v>85</v>
      </c>
      <c r="C10" s="406">
        <f t="shared" si="1"/>
        <v>0</v>
      </c>
      <c r="D10" s="406">
        <f t="shared" si="1"/>
        <v>0</v>
      </c>
      <c r="E10" s="406">
        <f t="shared" si="1"/>
        <v>0</v>
      </c>
      <c r="F10" s="406">
        <f t="shared" si="1"/>
        <v>0</v>
      </c>
      <c r="G10" s="406">
        <f t="shared" si="1"/>
        <v>0</v>
      </c>
      <c r="H10" s="406">
        <f t="shared" si="1"/>
        <v>0</v>
      </c>
    </row>
    <row r="11" spans="1:9" x14ac:dyDescent="0.25">
      <c r="A11" s="49">
        <v>3</v>
      </c>
      <c r="B11" s="49" t="s">
        <v>86</v>
      </c>
      <c r="C11" s="406">
        <f t="shared" si="1"/>
        <v>0</v>
      </c>
      <c r="D11" s="406">
        <f t="shared" si="1"/>
        <v>0</v>
      </c>
      <c r="E11" s="406">
        <f t="shared" si="1"/>
        <v>0</v>
      </c>
      <c r="F11" s="406">
        <f t="shared" si="1"/>
        <v>0</v>
      </c>
      <c r="G11" s="406">
        <f t="shared" si="1"/>
        <v>0</v>
      </c>
      <c r="H11" s="406">
        <f t="shared" si="1"/>
        <v>0</v>
      </c>
    </row>
    <row r="12" spans="1:9" x14ac:dyDescent="0.25">
      <c r="A12" s="49">
        <v>4</v>
      </c>
      <c r="B12" s="49" t="s">
        <v>87</v>
      </c>
      <c r="C12" s="406">
        <f t="shared" si="1"/>
        <v>0</v>
      </c>
      <c r="D12" s="406">
        <f t="shared" si="1"/>
        <v>0</v>
      </c>
      <c r="E12" s="406">
        <f t="shared" si="1"/>
        <v>0</v>
      </c>
      <c r="F12" s="406">
        <f t="shared" si="1"/>
        <v>0</v>
      </c>
      <c r="G12" s="406">
        <f t="shared" si="1"/>
        <v>0</v>
      </c>
      <c r="H12" s="406">
        <f t="shared" si="1"/>
        <v>0</v>
      </c>
    </row>
    <row r="13" spans="1:9" x14ac:dyDescent="0.25">
      <c r="A13" s="49">
        <v>5</v>
      </c>
      <c r="B13" s="49" t="s">
        <v>88</v>
      </c>
      <c r="C13" s="406">
        <f t="shared" si="1"/>
        <v>0</v>
      </c>
      <c r="D13" s="406">
        <f t="shared" si="1"/>
        <v>0</v>
      </c>
      <c r="E13" s="406">
        <f t="shared" si="1"/>
        <v>0</v>
      </c>
      <c r="F13" s="406">
        <f t="shared" si="1"/>
        <v>0</v>
      </c>
      <c r="G13" s="406">
        <f t="shared" si="1"/>
        <v>0</v>
      </c>
      <c r="H13" s="406">
        <f t="shared" si="1"/>
        <v>0</v>
      </c>
    </row>
    <row r="14" spans="1:9" x14ac:dyDescent="0.25">
      <c r="B14" s="49" t="s">
        <v>89</v>
      </c>
      <c r="C14" s="406">
        <f t="shared" ref="C14:H14" si="2">SUM(C8:C13)</f>
        <v>53298264</v>
      </c>
      <c r="D14" s="406">
        <f t="shared" si="2"/>
        <v>53298264</v>
      </c>
      <c r="E14" s="406">
        <f t="shared" si="2"/>
        <v>0</v>
      </c>
      <c r="F14" s="406">
        <f t="shared" si="2"/>
        <v>0</v>
      </c>
      <c r="G14" s="406">
        <f t="shared" si="2"/>
        <v>0</v>
      </c>
      <c r="H14" s="406">
        <f t="shared" si="2"/>
        <v>0</v>
      </c>
    </row>
    <row r="15" spans="1:9" x14ac:dyDescent="0.25">
      <c r="B15" s="28" t="s">
        <v>94</v>
      </c>
      <c r="C15" s="446"/>
      <c r="D15" s="446"/>
      <c r="E15" s="446"/>
      <c r="F15" s="446"/>
      <c r="G15" s="446"/>
      <c r="H15" s="446"/>
    </row>
    <row r="16" spans="1:9" x14ac:dyDescent="0.25">
      <c r="A16" s="49">
        <v>0</v>
      </c>
      <c r="B16" s="49" t="s">
        <v>83</v>
      </c>
      <c r="C16" s="406">
        <f>IF(OR($A16+Bases!$D$30&gt;=C$1,$A16+Bases!$D$31&lt;C$1),0,HLOOKUP($A16,$B$1:$H$5,ROW($B$5),FALSE)/(Bases!$D$31-Bases!$D$30))</f>
        <v>0</v>
      </c>
      <c r="D16" s="406">
        <f>IF(OR($A16+Bases!$D$30&gt;=D$1,$A16+Bases!$D$31&lt;D$1),0,HLOOKUP($A16,$B$1:$H$5,ROW($B$5),FALSE)/(Bases!$D$31-Bases!$D$30))</f>
        <v>0</v>
      </c>
      <c r="E16" s="406">
        <f>IF(OR($A16+Bases!$D$30&gt;=E$1,$A16+Bases!$D$31&lt;E$1),0,HLOOKUP($A16,$B$1:$H$5,ROW($B$5),FALSE)/(Bases!$D$31-Bases!$D$30))</f>
        <v>53298264</v>
      </c>
      <c r="F16" s="406">
        <f>IF(OR($A16+Bases!$D$30&gt;=F$1,$A16+Bases!$D$31&lt;F$1),0,HLOOKUP($A16,$B$1:$H$5,ROW($B$5),FALSE)/(Bases!$D$31-Bases!$D$30))</f>
        <v>0</v>
      </c>
      <c r="G16" s="406">
        <f>IF(OR($A16+Bases!$D$30&gt;=G$1,$A16+Bases!$D$31&lt;G$1),0,HLOOKUP($A16,$B$1:$H$5,ROW($B$5),FALSE)/(Bases!$D$31-Bases!$D$30))</f>
        <v>0</v>
      </c>
      <c r="H16" s="406">
        <f>IF(OR($A16+Bases!$D$30&gt;=H$1,$A16+Bases!$D$31&lt;H$1),0,HLOOKUP($A16,$B$1:$H$5,ROW($B$5),FALSE)/(Bases!$D$31-Bases!$D$30))</f>
        <v>0</v>
      </c>
    </row>
    <row r="17" spans="1:8" x14ac:dyDescent="0.25">
      <c r="A17" s="49">
        <v>1</v>
      </c>
      <c r="B17" s="49" t="s">
        <v>84</v>
      </c>
      <c r="C17" s="406">
        <f>IF(OR($A17+Bases!$D$30&gt;=C$1,$A17+Bases!$D$31&lt;C$1),0,HLOOKUP($A17,$B$1:$H$5,ROW($B$5),FALSE)/(Bases!$D$31-Bases!$D$30))</f>
        <v>0</v>
      </c>
      <c r="D17" s="406">
        <f>IF(OR($A17+Bases!$D$30&gt;=D$1,$A17+Bases!$D$31&lt;D$1),0,HLOOKUP($A17,$B$1:$H$5,ROW($B$5),FALSE)/(Bases!$D$31-Bases!$D$30))</f>
        <v>0</v>
      </c>
      <c r="E17" s="406">
        <f>IF(OR($A17+Bases!$D$30&gt;=E$1,$A17+Bases!$D$31&lt;E$1),0,HLOOKUP($A17,$B$1:$H$5,ROW($B$5),FALSE)/(Bases!$D$31-Bases!$D$30))</f>
        <v>0</v>
      </c>
      <c r="F17" s="406">
        <f>IF(OR($A17+Bases!$D$30&gt;=F$1,$A17+Bases!$D$31&lt;F$1),0,HLOOKUP($A17,$B$1:$H$5,ROW($B$5),FALSE)/(Bases!$D$31-Bases!$D$30))</f>
        <v>0</v>
      </c>
      <c r="G17" s="406">
        <f>IF(OR($A17+Bases!$D$30&gt;=G$1,$A17+Bases!$D$31&lt;G$1),0,HLOOKUP($A17,$B$1:$H$5,ROW($B$5),FALSE)/(Bases!$D$31-Bases!$D$30))</f>
        <v>0</v>
      </c>
      <c r="H17" s="406">
        <f>IF(OR($A17+Bases!$D$30&gt;=H$1,$A17+Bases!$D$31&lt;H$1),0,HLOOKUP($A17,$B$1:$H$5,ROW($B$5),FALSE)/(Bases!$D$31-Bases!$D$30))</f>
        <v>0</v>
      </c>
    </row>
    <row r="18" spans="1:8" x14ac:dyDescent="0.25">
      <c r="A18" s="49">
        <v>2</v>
      </c>
      <c r="B18" s="49" t="s">
        <v>85</v>
      </c>
      <c r="C18" s="406">
        <f>IF(OR($A18+Bases!$D$30&gt;=C$1,$A18+Bases!$D$31&lt;C$1),0,HLOOKUP($A18,$B$1:$H$5,ROW($B$5),FALSE)/(Bases!$D$31-Bases!$D$30))</f>
        <v>0</v>
      </c>
      <c r="D18" s="406">
        <f>IF(OR($A18+Bases!$D$30&gt;=D$1,$A18+Bases!$D$31&lt;D$1),0,HLOOKUP($A18,$B$1:$H$5,ROW($B$5),FALSE)/(Bases!$D$31-Bases!$D$30))</f>
        <v>0</v>
      </c>
      <c r="E18" s="406">
        <f>IF(OR($A18+Bases!$D$30&gt;=E$1,$A18+Bases!$D$31&lt;E$1),0,HLOOKUP($A18,$B$1:$H$5,ROW($B$5),FALSE)/(Bases!$D$31-Bases!$D$30))</f>
        <v>0</v>
      </c>
      <c r="F18" s="406">
        <f>IF(OR($A18+Bases!$D$30&gt;=F$1,$A18+Bases!$D$31&lt;F$1),0,HLOOKUP($A18,$B$1:$H$5,ROW($B$5),FALSE)/(Bases!$D$31-Bases!$D$30))</f>
        <v>0</v>
      </c>
      <c r="G18" s="406">
        <f>IF(OR($A18+Bases!$D$30&gt;=G$1,$A18+Bases!$D$31&lt;G$1),0,HLOOKUP($A18,$B$1:$H$5,ROW($B$5),FALSE)/(Bases!$D$31-Bases!$D$30))</f>
        <v>0</v>
      </c>
      <c r="H18" s="406">
        <f>IF(OR($A18+Bases!$D$30&gt;=H$1,$A18+Bases!$D$31&lt;H$1),0,HLOOKUP($A18,$B$1:$H$5,ROW($B$5),FALSE)/(Bases!$D$31-Bases!$D$30))</f>
        <v>0</v>
      </c>
    </row>
    <row r="19" spans="1:8" x14ac:dyDescent="0.25">
      <c r="A19" s="49">
        <v>3</v>
      </c>
      <c r="B19" s="49" t="s">
        <v>86</v>
      </c>
      <c r="C19" s="406">
        <f>IF(OR($A19+Bases!$D$30&gt;=C$1,$A19+Bases!$D$31&lt;C$1),0,HLOOKUP($A19,$B$1:$H$5,ROW($B$5),FALSE)/(Bases!$D$31-Bases!$D$30))</f>
        <v>0</v>
      </c>
      <c r="D19" s="406">
        <f>IF(OR($A19+Bases!$D$30&gt;=D$1,$A19+Bases!$D$31&lt;D$1),0,HLOOKUP($A19,$B$1:$H$5,ROW($B$5),FALSE)/(Bases!$D$31-Bases!$D$30))</f>
        <v>0</v>
      </c>
      <c r="E19" s="406">
        <f>IF(OR($A19+Bases!$D$30&gt;=E$1,$A19+Bases!$D$31&lt;E$1),0,HLOOKUP($A19,$B$1:$H$5,ROW($B$5),FALSE)/(Bases!$D$31-Bases!$D$30))</f>
        <v>0</v>
      </c>
      <c r="F19" s="406">
        <f>IF(OR($A19+Bases!$D$30&gt;=F$1,$A19+Bases!$D$31&lt;F$1),0,HLOOKUP($A19,$B$1:$H$5,ROW($B$5),FALSE)/(Bases!$D$31-Bases!$D$30))</f>
        <v>0</v>
      </c>
      <c r="G19" s="406">
        <f>IF(OR($A19+Bases!$D$30&gt;=G$1,$A19+Bases!$D$31&lt;G$1),0,HLOOKUP($A19,$B$1:$H$5,ROW($B$5),FALSE)/(Bases!$D$31-Bases!$D$30))</f>
        <v>0</v>
      </c>
      <c r="H19" s="406">
        <f>IF(OR($A19+Bases!$D$30&gt;=H$1,$A19+Bases!$D$31&lt;H$1),0,HLOOKUP($A19,$B$1:$H$5,ROW($B$5),FALSE)/(Bases!$D$31-Bases!$D$30))</f>
        <v>0</v>
      </c>
    </row>
    <row r="20" spans="1:8" x14ac:dyDescent="0.25">
      <c r="A20" s="49">
        <v>4</v>
      </c>
      <c r="B20" s="49" t="s">
        <v>87</v>
      </c>
      <c r="C20" s="406">
        <f>IF(OR($A20+Bases!$D$30&gt;=C$1,$A20+Bases!$D$31&lt;C$1),0,HLOOKUP($A20,$B$1:$H$5,ROW($B$5),FALSE)/(Bases!$D$31-Bases!$D$30))</f>
        <v>0</v>
      </c>
      <c r="D20" s="406">
        <f>IF(OR($A20+Bases!$D$30&gt;=D$1,$A20+Bases!$D$31&lt;D$1),0,HLOOKUP($A20,$B$1:$H$5,ROW($B$5),FALSE)/(Bases!$D$31-Bases!$D$30))</f>
        <v>0</v>
      </c>
      <c r="E20" s="406">
        <f>IF(OR($A20+Bases!$D$30&gt;=E$1,$A20+Bases!$D$31&lt;E$1),0,HLOOKUP($A20,$B$1:$H$5,ROW($B$5),FALSE)/(Bases!$D$31-Bases!$D$30))</f>
        <v>0</v>
      </c>
      <c r="F20" s="406">
        <f>IF(OR($A20+Bases!$D$30&gt;=F$1,$A20+Bases!$D$31&lt;F$1),0,HLOOKUP($A20,$B$1:$H$5,ROW($B$5),FALSE)/(Bases!$D$31-Bases!$D$30))</f>
        <v>0</v>
      </c>
      <c r="G20" s="406">
        <f>IF(OR($A20+Bases!$D$30&gt;=G$1,$A20+Bases!$D$31&lt;G$1),0,HLOOKUP($A20,$B$1:$H$5,ROW($B$5),FALSE)/(Bases!$D$31-Bases!$D$30))</f>
        <v>0</v>
      </c>
      <c r="H20" s="406">
        <f>IF(OR($A20+Bases!$D$30&gt;=H$1,$A20+Bases!$D$31&lt;H$1),0,HLOOKUP($A20,$B$1:$H$5,ROW($B$5),FALSE)/(Bases!$D$31-Bases!$D$30))</f>
        <v>0</v>
      </c>
    </row>
    <row r="21" spans="1:8" x14ac:dyDescent="0.25">
      <c r="A21" s="49">
        <v>5</v>
      </c>
      <c r="B21" s="49" t="s">
        <v>88</v>
      </c>
      <c r="C21" s="406">
        <f>IF(OR($A21+Bases!$D$30&gt;=C$1,$A21+Bases!$D$31&lt;C$1),0,HLOOKUP($A21,$B$1:$H$5,ROW($B$5),FALSE)/(Bases!$D$31-Bases!$D$30))</f>
        <v>0</v>
      </c>
      <c r="D21" s="406">
        <f>IF(OR($A21+Bases!$D$30&gt;=D$1,$A21+Bases!$D$31&lt;D$1),0,HLOOKUP($A21,$B$1:$H$5,ROW($B$5),FALSE)/(Bases!$D$31-Bases!$D$30))</f>
        <v>0</v>
      </c>
      <c r="E21" s="406">
        <f>IF(OR($A21+Bases!$D$30&gt;=E$1,$A21+Bases!$D$31&lt;E$1),0,HLOOKUP($A21,$B$1:$H$5,ROW($B$5),FALSE)/(Bases!$D$31-Bases!$D$30))</f>
        <v>0</v>
      </c>
      <c r="F21" s="406">
        <f>IF(OR($A21+Bases!$D$30&gt;=F$1,$A21+Bases!$D$31&lt;F$1),0,HLOOKUP($A21,$B$1:$H$5,ROW($B$5),FALSE)/(Bases!$D$31-Bases!$D$30))</f>
        <v>0</v>
      </c>
      <c r="G21" s="406">
        <f>IF(OR($A21+Bases!$D$30&gt;=G$1,$A21+Bases!$D$31&lt;G$1),0,HLOOKUP($A21,$B$1:$H$5,ROW($B$5),FALSE)/(Bases!$D$31-Bases!$D$30))</f>
        <v>0</v>
      </c>
      <c r="H21" s="406">
        <f>IF(OR($A21+Bases!$D$30&gt;=H$1,$A21+Bases!$D$31&lt;H$1),0,HLOOKUP($A21,$B$1:$H$5,ROW($B$5),FALSE)/(Bases!$D$31-Bases!$D$30))</f>
        <v>0</v>
      </c>
    </row>
    <row r="22" spans="1:8" x14ac:dyDescent="0.25">
      <c r="B22" s="49" t="s">
        <v>90</v>
      </c>
      <c r="C22" s="406">
        <f t="shared" ref="C22:H22" si="3">SUM(C16:C21)</f>
        <v>0</v>
      </c>
      <c r="D22" s="406">
        <f t="shared" si="3"/>
        <v>0</v>
      </c>
      <c r="E22" s="406">
        <f t="shared" si="3"/>
        <v>53298264</v>
      </c>
      <c r="F22" s="406">
        <f t="shared" si="3"/>
        <v>0</v>
      </c>
      <c r="G22" s="406">
        <f t="shared" si="3"/>
        <v>0</v>
      </c>
      <c r="H22" s="406">
        <f t="shared" si="3"/>
        <v>0</v>
      </c>
    </row>
    <row r="23" spans="1:8" x14ac:dyDescent="0.25">
      <c r="B23" s="28" t="s">
        <v>91</v>
      </c>
      <c r="C23" s="446"/>
      <c r="D23" s="446"/>
      <c r="E23" s="446"/>
      <c r="F23" s="446"/>
      <c r="G23" s="446"/>
      <c r="H23" s="446"/>
    </row>
    <row r="24" spans="1:8" x14ac:dyDescent="0.25">
      <c r="A24" s="49">
        <v>0</v>
      </c>
      <c r="B24" s="49" t="s">
        <v>83</v>
      </c>
      <c r="C24" s="406">
        <f t="shared" ref="C24:H24" si="4">IF($A24&gt;=C$1,0,B8*C$4)</f>
        <v>0</v>
      </c>
      <c r="D24" s="406">
        <f t="shared" si="4"/>
        <v>16641020.574248031</v>
      </c>
      <c r="E24" s="406">
        <f t="shared" si="4"/>
        <v>16208538.421720795</v>
      </c>
      <c r="F24" s="406">
        <f t="shared" si="4"/>
        <v>0</v>
      </c>
      <c r="G24" s="406">
        <f t="shared" si="4"/>
        <v>0</v>
      </c>
      <c r="H24" s="406">
        <f t="shared" si="4"/>
        <v>0</v>
      </c>
    </row>
    <row r="25" spans="1:8" x14ac:dyDescent="0.25">
      <c r="A25" s="49">
        <v>1</v>
      </c>
      <c r="B25" s="49" t="s">
        <v>84</v>
      </c>
      <c r="C25" s="406">
        <f t="shared" ref="C25:H29" si="5">IF($A25&gt;=C$1,0,B9*C$4)</f>
        <v>0</v>
      </c>
      <c r="D25" s="406">
        <f t="shared" si="5"/>
        <v>0</v>
      </c>
      <c r="E25" s="406">
        <f t="shared" si="5"/>
        <v>0</v>
      </c>
      <c r="F25" s="406">
        <f t="shared" si="5"/>
        <v>0</v>
      </c>
      <c r="G25" s="406">
        <f t="shared" si="5"/>
        <v>0</v>
      </c>
      <c r="H25" s="406">
        <f t="shared" si="5"/>
        <v>0</v>
      </c>
    </row>
    <row r="26" spans="1:8" x14ac:dyDescent="0.25">
      <c r="A26" s="49">
        <v>2</v>
      </c>
      <c r="B26" s="49" t="s">
        <v>85</v>
      </c>
      <c r="C26" s="406">
        <f t="shared" si="5"/>
        <v>0</v>
      </c>
      <c r="D26" s="406">
        <f t="shared" si="5"/>
        <v>0</v>
      </c>
      <c r="E26" s="406">
        <f t="shared" si="5"/>
        <v>0</v>
      </c>
      <c r="F26" s="406">
        <f t="shared" si="5"/>
        <v>0</v>
      </c>
      <c r="G26" s="406">
        <f t="shared" si="5"/>
        <v>0</v>
      </c>
      <c r="H26" s="406">
        <f t="shared" si="5"/>
        <v>0</v>
      </c>
    </row>
    <row r="27" spans="1:8" x14ac:dyDescent="0.25">
      <c r="A27" s="49">
        <v>3</v>
      </c>
      <c r="B27" s="49" t="s">
        <v>86</v>
      </c>
      <c r="C27" s="406">
        <f t="shared" si="5"/>
        <v>0</v>
      </c>
      <c r="D27" s="406">
        <f t="shared" si="5"/>
        <v>0</v>
      </c>
      <c r="E27" s="406">
        <f t="shared" si="5"/>
        <v>0</v>
      </c>
      <c r="F27" s="406">
        <f t="shared" si="5"/>
        <v>0</v>
      </c>
      <c r="G27" s="406">
        <f t="shared" si="5"/>
        <v>0</v>
      </c>
      <c r="H27" s="406">
        <f t="shared" si="5"/>
        <v>0</v>
      </c>
    </row>
    <row r="28" spans="1:8" x14ac:dyDescent="0.25">
      <c r="A28" s="49">
        <v>4</v>
      </c>
      <c r="B28" s="49" t="s">
        <v>87</v>
      </c>
      <c r="C28" s="406">
        <f t="shared" si="5"/>
        <v>0</v>
      </c>
      <c r="D28" s="406">
        <f t="shared" si="5"/>
        <v>0</v>
      </c>
      <c r="E28" s="406">
        <f t="shared" si="5"/>
        <v>0</v>
      </c>
      <c r="F28" s="406">
        <f t="shared" si="5"/>
        <v>0</v>
      </c>
      <c r="G28" s="406">
        <f t="shared" si="5"/>
        <v>0</v>
      </c>
      <c r="H28" s="406">
        <f t="shared" si="5"/>
        <v>0</v>
      </c>
    </row>
    <row r="29" spans="1:8" x14ac:dyDescent="0.25">
      <c r="A29" s="49">
        <v>5</v>
      </c>
      <c r="B29" s="49" t="s">
        <v>88</v>
      </c>
      <c r="C29" s="406">
        <f t="shared" si="5"/>
        <v>0</v>
      </c>
      <c r="D29" s="406">
        <f t="shared" si="5"/>
        <v>0</v>
      </c>
      <c r="E29" s="406">
        <f t="shared" si="5"/>
        <v>0</v>
      </c>
      <c r="F29" s="406">
        <f t="shared" si="5"/>
        <v>0</v>
      </c>
      <c r="G29" s="406">
        <f t="shared" si="5"/>
        <v>0</v>
      </c>
      <c r="H29" s="406">
        <f t="shared" si="5"/>
        <v>0</v>
      </c>
    </row>
    <row r="30" spans="1:8" x14ac:dyDescent="0.25">
      <c r="B30" s="49" t="s">
        <v>91</v>
      </c>
      <c r="C30" s="447">
        <f t="shared" ref="C30:H30" si="6">SUM(C24:C29)</f>
        <v>0</v>
      </c>
      <c r="D30" s="447">
        <f t="shared" si="6"/>
        <v>16641020.574248031</v>
      </c>
      <c r="E30" s="447">
        <f t="shared" si="6"/>
        <v>16208538.421720795</v>
      </c>
      <c r="F30" s="447">
        <f t="shared" si="6"/>
        <v>0</v>
      </c>
      <c r="G30" s="447">
        <f t="shared" si="6"/>
        <v>0</v>
      </c>
      <c r="H30" s="447">
        <f t="shared" si="6"/>
        <v>0</v>
      </c>
    </row>
    <row r="31" spans="1:8" x14ac:dyDescent="0.25"/>
  </sheetData>
  <sheetProtection password="CA1B" sheet="1"/>
  <phoneticPr fontId="0" type="noConversion"/>
  <hyperlinks>
    <hyperlink ref="B1" location="Inicio!A1" display="Inicio" xr:uid="{00000000-0004-0000-1100-000000000000}"/>
  </hyperlinks>
  <printOptions horizontalCentered="1" verticalCentered="1" gridLines="1"/>
  <pageMargins left="0.19685039370078741" right="0.19685039370078741" top="1.0629921259842521" bottom="0.39370078740157483" header="0.59055118110236227" footer="0.51181102362204722"/>
  <pageSetup orientation="landscape" horizontalDpi="300" verticalDpi="0"/>
  <headerFooter alignWithMargins="0">
    <oddHeader xml:space="preserve">&amp;C&amp;"Arial,Negrita"&amp;14MODELO FINANCIERO
&amp;12AMORTIZACIONES OBLIGACIONES FINANCIERAS&amp;"Arial,Normal"&amp;10
</oddHeader>
    <oddFooter>&amp;L&amp;"Arial,Negrita"&amp;8&amp;F&amp;C&amp;"Arial,Negrita"&amp;8Página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0">
    <tabColor indexed="30"/>
  </sheetPr>
  <dimension ref="A1:H19"/>
  <sheetViews>
    <sheetView showGridLines="0" topLeftCell="A6" zoomScale="162" zoomScaleNormal="162" workbookViewId="0">
      <selection activeCell="B1" sqref="B1"/>
    </sheetView>
  </sheetViews>
  <sheetFormatPr baseColWidth="10" defaultColWidth="0" defaultRowHeight="13.2" zeroHeight="1" x14ac:dyDescent="0.25"/>
  <cols>
    <col min="1" max="1" width="2.21875" style="1" customWidth="1"/>
    <col min="2" max="2" width="29.44140625" style="1" customWidth="1"/>
    <col min="3" max="4" width="16.21875" style="1" customWidth="1"/>
    <col min="5" max="7" width="15.33203125" style="1" customWidth="1"/>
    <col min="8" max="8" width="12.77734375" style="1" hidden="1" customWidth="1"/>
    <col min="9" max="16384" width="0" style="1" hidden="1"/>
  </cols>
  <sheetData>
    <row r="1" spans="1:7" ht="17.399999999999999" x14ac:dyDescent="0.25">
      <c r="B1" s="329" t="s">
        <v>350</v>
      </c>
      <c r="C1" s="161">
        <v>1</v>
      </c>
      <c r="D1" s="161">
        <v>2</v>
      </c>
      <c r="E1" s="161">
        <v>3</v>
      </c>
      <c r="F1" s="161">
        <v>4</v>
      </c>
      <c r="G1" s="161">
        <v>5</v>
      </c>
    </row>
    <row r="2" spans="1:7" x14ac:dyDescent="0.25">
      <c r="B2" s="25" t="s">
        <v>95</v>
      </c>
      <c r="C2" s="448"/>
      <c r="D2" s="448"/>
      <c r="E2" s="448"/>
      <c r="F2" s="448"/>
      <c r="G2" s="448"/>
    </row>
    <row r="3" spans="1:7" x14ac:dyDescent="0.25">
      <c r="B3" s="74" t="s">
        <v>120</v>
      </c>
      <c r="C3" s="449">
        <f>Bases!F9</f>
        <v>0</v>
      </c>
      <c r="D3" s="449">
        <f>Bases!G9</f>
        <v>0</v>
      </c>
      <c r="E3" s="449">
        <f>Bases!H9</f>
        <v>0</v>
      </c>
      <c r="F3" s="449">
        <f>Bases!I9</f>
        <v>0</v>
      </c>
      <c r="G3" s="449">
        <f>Bases!J9</f>
        <v>0</v>
      </c>
    </row>
    <row r="4" spans="1:7" x14ac:dyDescent="0.25">
      <c r="B4" s="74" t="s">
        <v>115</v>
      </c>
      <c r="C4" s="410">
        <f>' Inversiones Fijas y Diferidas'!H66</f>
        <v>0</v>
      </c>
      <c r="D4" s="410">
        <f>' Inversiones Fijas y Diferidas'!I66</f>
        <v>0</v>
      </c>
      <c r="E4" s="410">
        <f>' Inversiones Fijas y Diferidas'!J66</f>
        <v>0</v>
      </c>
      <c r="F4" s="410">
        <f>' Inversiones Fijas y Diferidas'!K66</f>
        <v>0</v>
      </c>
      <c r="G4" s="410">
        <f>' Inversiones Fijas y Diferidas'!L66</f>
        <v>0</v>
      </c>
    </row>
    <row r="5" spans="1:7" s="18" customFormat="1" x14ac:dyDescent="0.25">
      <c r="B5" s="75" t="s">
        <v>12</v>
      </c>
      <c r="C5" s="450"/>
      <c r="D5" s="450"/>
      <c r="E5" s="450"/>
      <c r="F5" s="450"/>
      <c r="G5" s="450"/>
    </row>
    <row r="6" spans="1:7" x14ac:dyDescent="0.25">
      <c r="A6" s="49">
        <v>1</v>
      </c>
      <c r="B6" s="76" t="s">
        <v>96</v>
      </c>
      <c r="C6" s="406">
        <f t="shared" ref="C6:G10" si="0">IF($A6&gt;C$1,0,IF($A6=C$1,C$4*C$3,B13*C$3))</f>
        <v>0</v>
      </c>
      <c r="D6" s="406">
        <f t="shared" si="0"/>
        <v>0</v>
      </c>
      <c r="E6" s="406">
        <f t="shared" si="0"/>
        <v>0</v>
      </c>
      <c r="F6" s="406">
        <f t="shared" si="0"/>
        <v>0</v>
      </c>
      <c r="G6" s="406">
        <f t="shared" si="0"/>
        <v>0</v>
      </c>
    </row>
    <row r="7" spans="1:7" x14ac:dyDescent="0.25">
      <c r="A7" s="49">
        <v>2</v>
      </c>
      <c r="B7" s="76" t="s">
        <v>97</v>
      </c>
      <c r="C7" s="406">
        <f t="shared" si="0"/>
        <v>0</v>
      </c>
      <c r="D7" s="406">
        <f t="shared" si="0"/>
        <v>0</v>
      </c>
      <c r="E7" s="406">
        <f t="shared" si="0"/>
        <v>0</v>
      </c>
      <c r="F7" s="406">
        <f t="shared" si="0"/>
        <v>0</v>
      </c>
      <c r="G7" s="406">
        <f t="shared" si="0"/>
        <v>0</v>
      </c>
    </row>
    <row r="8" spans="1:7" x14ac:dyDescent="0.25">
      <c r="A8" s="49">
        <v>3</v>
      </c>
      <c r="B8" s="76" t="s">
        <v>98</v>
      </c>
      <c r="C8" s="406">
        <f t="shared" si="0"/>
        <v>0</v>
      </c>
      <c r="D8" s="406">
        <f t="shared" si="0"/>
        <v>0</v>
      </c>
      <c r="E8" s="406">
        <f t="shared" si="0"/>
        <v>0</v>
      </c>
      <c r="F8" s="406">
        <f t="shared" si="0"/>
        <v>0</v>
      </c>
      <c r="G8" s="406">
        <f t="shared" si="0"/>
        <v>0</v>
      </c>
    </row>
    <row r="9" spans="1:7" x14ac:dyDescent="0.25">
      <c r="A9" s="49">
        <v>4</v>
      </c>
      <c r="B9" s="76" t="s">
        <v>99</v>
      </c>
      <c r="C9" s="406">
        <f t="shared" si="0"/>
        <v>0</v>
      </c>
      <c r="D9" s="406">
        <f t="shared" si="0"/>
        <v>0</v>
      </c>
      <c r="E9" s="406">
        <f t="shared" si="0"/>
        <v>0</v>
      </c>
      <c r="F9" s="406">
        <f t="shared" si="0"/>
        <v>0</v>
      </c>
      <c r="G9" s="406">
        <f t="shared" si="0"/>
        <v>0</v>
      </c>
    </row>
    <row r="10" spans="1:7" x14ac:dyDescent="0.25">
      <c r="A10" s="49">
        <v>5</v>
      </c>
      <c r="B10" s="76" t="s">
        <v>100</v>
      </c>
      <c r="C10" s="406">
        <f t="shared" si="0"/>
        <v>0</v>
      </c>
      <c r="D10" s="406">
        <f t="shared" si="0"/>
        <v>0</v>
      </c>
      <c r="E10" s="406">
        <f t="shared" si="0"/>
        <v>0</v>
      </c>
      <c r="F10" s="406">
        <f t="shared" si="0"/>
        <v>0</v>
      </c>
      <c r="G10" s="406">
        <f t="shared" si="0"/>
        <v>0</v>
      </c>
    </row>
    <row r="11" spans="1:7" x14ac:dyDescent="0.25">
      <c r="B11" s="49" t="s">
        <v>101</v>
      </c>
      <c r="C11" s="406">
        <f>SUM(C6:C10)</f>
        <v>0</v>
      </c>
      <c r="D11" s="406">
        <f>SUM(D6:D10)</f>
        <v>0</v>
      </c>
      <c r="E11" s="406">
        <f>SUM(E6:E10)</f>
        <v>0</v>
      </c>
      <c r="F11" s="406">
        <f>SUM(F6:F10)</f>
        <v>0</v>
      </c>
      <c r="G11" s="406">
        <f>SUM(G6:G10)</f>
        <v>0</v>
      </c>
    </row>
    <row r="12" spans="1:7" s="30" customFormat="1" x14ac:dyDescent="0.25">
      <c r="B12" s="75" t="s">
        <v>102</v>
      </c>
      <c r="C12" s="451"/>
      <c r="D12" s="451"/>
      <c r="E12" s="451"/>
      <c r="F12" s="451"/>
      <c r="G12" s="451"/>
    </row>
    <row r="13" spans="1:7" x14ac:dyDescent="0.25">
      <c r="A13" s="49">
        <v>1</v>
      </c>
      <c r="B13" s="76" t="s">
        <v>96</v>
      </c>
      <c r="C13" s="406">
        <f t="shared" ref="C13:G17" si="1">IF($A13&gt;C$1,0,IF($A13=C$1,C$4+C6,B13+C6))</f>
        <v>0</v>
      </c>
      <c r="D13" s="406">
        <f t="shared" si="1"/>
        <v>0</v>
      </c>
      <c r="E13" s="406">
        <f t="shared" si="1"/>
        <v>0</v>
      </c>
      <c r="F13" s="406">
        <f t="shared" si="1"/>
        <v>0</v>
      </c>
      <c r="G13" s="406">
        <f t="shared" si="1"/>
        <v>0</v>
      </c>
    </row>
    <row r="14" spans="1:7" x14ac:dyDescent="0.25">
      <c r="A14" s="49">
        <v>2</v>
      </c>
      <c r="B14" s="76" t="s">
        <v>97</v>
      </c>
      <c r="C14" s="406">
        <f t="shared" si="1"/>
        <v>0</v>
      </c>
      <c r="D14" s="406">
        <f t="shared" si="1"/>
        <v>0</v>
      </c>
      <c r="E14" s="406">
        <f t="shared" si="1"/>
        <v>0</v>
      </c>
      <c r="F14" s="406">
        <f t="shared" si="1"/>
        <v>0</v>
      </c>
      <c r="G14" s="406">
        <f t="shared" si="1"/>
        <v>0</v>
      </c>
    </row>
    <row r="15" spans="1:7" x14ac:dyDescent="0.25">
      <c r="A15" s="49">
        <v>3</v>
      </c>
      <c r="B15" s="76" t="s">
        <v>98</v>
      </c>
      <c r="C15" s="406">
        <f t="shared" si="1"/>
        <v>0</v>
      </c>
      <c r="D15" s="406">
        <f t="shared" si="1"/>
        <v>0</v>
      </c>
      <c r="E15" s="406">
        <f t="shared" si="1"/>
        <v>0</v>
      </c>
      <c r="F15" s="406">
        <f t="shared" si="1"/>
        <v>0</v>
      </c>
      <c r="G15" s="406">
        <f t="shared" si="1"/>
        <v>0</v>
      </c>
    </row>
    <row r="16" spans="1:7" x14ac:dyDescent="0.25">
      <c r="A16" s="49">
        <v>4</v>
      </c>
      <c r="B16" s="76" t="s">
        <v>99</v>
      </c>
      <c r="C16" s="406">
        <f t="shared" si="1"/>
        <v>0</v>
      </c>
      <c r="D16" s="406">
        <f t="shared" si="1"/>
        <v>0</v>
      </c>
      <c r="E16" s="406">
        <f t="shared" si="1"/>
        <v>0</v>
      </c>
      <c r="F16" s="406">
        <f t="shared" si="1"/>
        <v>0</v>
      </c>
      <c r="G16" s="406">
        <f t="shared" si="1"/>
        <v>0</v>
      </c>
    </row>
    <row r="17" spans="1:7" x14ac:dyDescent="0.25">
      <c r="A17" s="49">
        <v>5</v>
      </c>
      <c r="B17" s="76" t="s">
        <v>100</v>
      </c>
      <c r="C17" s="406">
        <f t="shared" si="1"/>
        <v>0</v>
      </c>
      <c r="D17" s="406">
        <f t="shared" si="1"/>
        <v>0</v>
      </c>
      <c r="E17" s="406">
        <f t="shared" si="1"/>
        <v>0</v>
      </c>
      <c r="F17" s="406">
        <f t="shared" si="1"/>
        <v>0</v>
      </c>
      <c r="G17" s="406">
        <f t="shared" si="1"/>
        <v>0</v>
      </c>
    </row>
    <row r="18" spans="1:7" x14ac:dyDescent="0.25">
      <c r="B18" s="49" t="s">
        <v>103</v>
      </c>
      <c r="C18" s="447">
        <f>SUM(C13:C17)</f>
        <v>0</v>
      </c>
      <c r="D18" s="447">
        <f>SUM(D13:D17)</f>
        <v>0</v>
      </c>
      <c r="E18" s="447">
        <f>SUM(E13:E17)</f>
        <v>0</v>
      </c>
      <c r="F18" s="447">
        <f>SUM(F13:F17)</f>
        <v>0</v>
      </c>
      <c r="G18" s="447">
        <f>SUM(G13:G17)</f>
        <v>0</v>
      </c>
    </row>
    <row r="19" spans="1:7" x14ac:dyDescent="0.25"/>
  </sheetData>
  <sheetProtection password="CA1B" sheet="1"/>
  <phoneticPr fontId="0" type="noConversion"/>
  <hyperlinks>
    <hyperlink ref="B1" location="Inicio!A1" display="Inicio" xr:uid="{00000000-0004-0000-1200-000000000000}"/>
  </hyperlinks>
  <printOptions horizontalCentered="1" gridLines="1"/>
  <pageMargins left="0.19685039370078741" right="0.19685039370078741" top="1.1399999999999999" bottom="0.39370078740157483" header="0.59055118110236227" footer="0.51181102362204722"/>
  <pageSetup scale="95" orientation="landscape" horizontalDpi="300" verticalDpi="0"/>
  <headerFooter alignWithMargins="0">
    <oddHeader xml:space="preserve">&amp;C&amp;"Arial,Negrita"&amp;14MODELAJE FINANCIERO
&amp;12MODELO ANAUAL INVERSIONES&amp;"Arial,Normal"&amp;10
</oddHeader>
    <oddFooter>&amp;L&amp;"Arial,Negrita"&amp;8&amp;F&amp;C&amp;"Arial,Negrita"&amp;8Página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1">
    <tabColor indexed="30"/>
  </sheetPr>
  <dimension ref="A1:H39"/>
  <sheetViews>
    <sheetView showGridLines="0" zoomScale="164" zoomScaleNormal="164" workbookViewId="0">
      <selection activeCell="B10" sqref="B10"/>
    </sheetView>
  </sheetViews>
  <sheetFormatPr baseColWidth="10" defaultColWidth="0" defaultRowHeight="13.2" zeroHeight="1" x14ac:dyDescent="0.25"/>
  <cols>
    <col min="1" max="1" width="2.21875" style="1" customWidth="1"/>
    <col min="2" max="2" width="29.44140625" style="1" customWidth="1"/>
    <col min="3" max="4" width="16.21875" style="1" customWidth="1"/>
    <col min="5" max="7" width="15.33203125" style="1" customWidth="1"/>
    <col min="8" max="8" width="12.77734375" style="1" hidden="1" customWidth="1"/>
    <col min="9" max="16384" width="0" style="1" hidden="1"/>
  </cols>
  <sheetData>
    <row r="1" spans="1:7" ht="17.399999999999999" x14ac:dyDescent="0.25">
      <c r="B1" s="329" t="s">
        <v>350</v>
      </c>
      <c r="C1" s="161">
        <v>1</v>
      </c>
      <c r="D1" s="161">
        <v>2</v>
      </c>
      <c r="E1" s="161">
        <v>3</v>
      </c>
      <c r="F1" s="161">
        <v>4</v>
      </c>
      <c r="G1" s="161">
        <v>5</v>
      </c>
    </row>
    <row r="2" spans="1:7" x14ac:dyDescent="0.25">
      <c r="B2" s="157" t="s">
        <v>95</v>
      </c>
      <c r="C2" s="448"/>
      <c r="D2" s="448"/>
      <c r="E2" s="448"/>
      <c r="F2" s="448"/>
      <c r="G2" s="448"/>
    </row>
    <row r="3" spans="1:7" x14ac:dyDescent="0.25">
      <c r="B3" s="74" t="s">
        <v>148</v>
      </c>
      <c r="C3" s="452">
        <f>' Inversiones Fijas y Diferidas'!H67</f>
        <v>0</v>
      </c>
      <c r="D3" s="452">
        <f>' Inversiones Fijas y Diferidas'!I67</f>
        <v>0</v>
      </c>
      <c r="E3" s="452">
        <f>' Inversiones Fijas y Diferidas'!J67</f>
        <v>0</v>
      </c>
      <c r="F3" s="452">
        <f>' Inversiones Fijas y Diferidas'!K67</f>
        <v>0</v>
      </c>
      <c r="G3" s="452">
        <f>' Inversiones Fijas y Diferidas'!L67</f>
        <v>0</v>
      </c>
    </row>
    <row r="4" spans="1:7" s="18" customFormat="1" x14ac:dyDescent="0.25">
      <c r="B4" s="75" t="s">
        <v>12</v>
      </c>
      <c r="C4" s="450"/>
      <c r="D4" s="450"/>
      <c r="E4" s="450"/>
      <c r="F4" s="450"/>
      <c r="G4" s="450"/>
    </row>
    <row r="5" spans="1:7" x14ac:dyDescent="0.25">
      <c r="A5" s="154">
        <v>1</v>
      </c>
      <c r="B5" s="76" t="s">
        <v>96</v>
      </c>
      <c r="C5" s="419">
        <f>IF($A5&gt;C$1,0,IF($A5=C$1,C$3*Bases!F$9,B12*Bases!F$9))</f>
        <v>0</v>
      </c>
      <c r="D5" s="406">
        <f>IF($A5&gt;D$1,0,IF($A5=D$1,D$3*Bases!G$9,C12*Bases!G$9))</f>
        <v>0</v>
      </c>
      <c r="E5" s="406">
        <f>IF($A5&gt;E$1,0,IF($A5=E$1,E$3*Bases!H$9,D12*Bases!H$9))</f>
        <v>0</v>
      </c>
      <c r="F5" s="406">
        <f>IF($A5&gt;F$1,0,IF($A5=F$1,F$3*Bases!I$9,E12*Bases!I$9))</f>
        <v>0</v>
      </c>
      <c r="G5" s="406">
        <f>IF($A5&gt;G$1,0,IF($A5=G$1,G$3*Bases!J$9,F12*Bases!J$9))</f>
        <v>0</v>
      </c>
    </row>
    <row r="6" spans="1:7" x14ac:dyDescent="0.25">
      <c r="A6" s="154">
        <v>2</v>
      </c>
      <c r="B6" s="76" t="s">
        <v>97</v>
      </c>
      <c r="C6" s="419">
        <f>IF($A6&gt;C$1,0,IF($A6=C$1,C$3*Bases!F$9,B13*Bases!F$9))</f>
        <v>0</v>
      </c>
      <c r="D6" s="406">
        <f>IF($A6&gt;D$1,0,IF($A6=D$1,D$3*Bases!G$9,C13*Bases!G$9))</f>
        <v>0</v>
      </c>
      <c r="E6" s="406">
        <f>IF($A6&gt;E$1,0,IF($A6=E$1,E$3*Bases!H$9,D13*Bases!H$9))</f>
        <v>0</v>
      </c>
      <c r="F6" s="406">
        <f>IF($A6&gt;F$1,0,IF($A6=F$1,F$3*Bases!I$9,E13*Bases!I$9))</f>
        <v>0</v>
      </c>
      <c r="G6" s="406">
        <f>IF($A6&gt;G$1,0,IF($A6=G$1,G$3*Bases!J$9,F13*Bases!J$9))</f>
        <v>0</v>
      </c>
    </row>
    <row r="7" spans="1:7" x14ac:dyDescent="0.25">
      <c r="A7" s="154">
        <v>3</v>
      </c>
      <c r="B7" s="76" t="s">
        <v>98</v>
      </c>
      <c r="C7" s="419">
        <f>IF($A7&gt;C$1,0,IF($A7=C$1,C$3*Bases!F$9,B14*Bases!F$9))</f>
        <v>0</v>
      </c>
      <c r="D7" s="406">
        <f>IF($A7&gt;D$1,0,IF($A7=D$1,D$3*Bases!G$9,C14*Bases!G$9))</f>
        <v>0</v>
      </c>
      <c r="E7" s="406">
        <f>IF($A7&gt;E$1,0,IF($A7=E$1,E$3*Bases!H$9,D14*Bases!H$9))</f>
        <v>0</v>
      </c>
      <c r="F7" s="406">
        <f>IF($A7&gt;F$1,0,IF($A7=F$1,F$3*Bases!I$9,E14*Bases!I$9))</f>
        <v>0</v>
      </c>
      <c r="G7" s="406">
        <f>IF($A7&gt;G$1,0,IF($A7=G$1,G$3*Bases!J$9,F14*Bases!J$9))</f>
        <v>0</v>
      </c>
    </row>
    <row r="8" spans="1:7" x14ac:dyDescent="0.25">
      <c r="A8" s="154">
        <v>4</v>
      </c>
      <c r="B8" s="76" t="s">
        <v>99</v>
      </c>
      <c r="C8" s="419">
        <f>IF($A8&gt;C$1,0,IF($A8=C$1,C$3*Bases!F$9,B15*Bases!F$9))</f>
        <v>0</v>
      </c>
      <c r="D8" s="406">
        <f>IF($A8&gt;D$1,0,IF($A8=D$1,D$3*Bases!G$9,C15*Bases!G$9))</f>
        <v>0</v>
      </c>
      <c r="E8" s="406">
        <f>IF($A8&gt;E$1,0,IF($A8=E$1,E$3*Bases!H$9,D15*Bases!H$9))</f>
        <v>0</v>
      </c>
      <c r="F8" s="406">
        <f>IF($A8&gt;F$1,0,IF($A8=F$1,F$3*Bases!I$9,E15*Bases!I$9))</f>
        <v>0</v>
      </c>
      <c r="G8" s="406">
        <f>IF($A8&gt;G$1,0,IF($A8=G$1,G$3*Bases!J$9,F15*Bases!J$9))</f>
        <v>0</v>
      </c>
    </row>
    <row r="9" spans="1:7" x14ac:dyDescent="0.25">
      <c r="A9" s="154">
        <v>5</v>
      </c>
      <c r="B9" s="76" t="s">
        <v>100</v>
      </c>
      <c r="C9" s="419">
        <f>IF($A9&gt;C$1,0,IF($A9=C$1,C$3*Bases!F$9,B16*Bases!F$9))</f>
        <v>0</v>
      </c>
      <c r="D9" s="406">
        <f>IF($A9&gt;D$1,0,IF($A9=D$1,D$3*Bases!G$9,C16*Bases!G$9))</f>
        <v>0</v>
      </c>
      <c r="E9" s="406">
        <f>IF($A9&gt;E$1,0,IF($A9=E$1,E$3*Bases!H$9,D16*Bases!H$9))</f>
        <v>0</v>
      </c>
      <c r="F9" s="406">
        <f>IF($A9&gt;F$1,0,IF($A9=F$1,F$3*Bases!I$9,E16*Bases!I$9))</f>
        <v>0</v>
      </c>
      <c r="G9" s="406">
        <f>IF($A9&gt;G$1,0,IF($A9=G$1,G$3*Bases!J$9,F16*Bases!J$9))</f>
        <v>0</v>
      </c>
    </row>
    <row r="10" spans="1:7" x14ac:dyDescent="0.25">
      <c r="B10" s="49" t="s">
        <v>101</v>
      </c>
      <c r="C10" s="419">
        <f>SUM(C5:C9)</f>
        <v>0</v>
      </c>
      <c r="D10" s="406">
        <f>SUM(D5:D9)</f>
        <v>0</v>
      </c>
      <c r="E10" s="406">
        <f>SUM(E5:E9)</f>
        <v>0</v>
      </c>
      <c r="F10" s="406">
        <f>SUM(F5:F9)</f>
        <v>0</v>
      </c>
      <c r="G10" s="406">
        <f>SUM(G5:G9)</f>
        <v>0</v>
      </c>
    </row>
    <row r="11" spans="1:7" s="30" customFormat="1" x14ac:dyDescent="0.25">
      <c r="B11" s="75" t="s">
        <v>102</v>
      </c>
      <c r="C11" s="451"/>
      <c r="D11" s="451"/>
      <c r="E11" s="451"/>
      <c r="F11" s="451"/>
      <c r="G11" s="451"/>
    </row>
    <row r="12" spans="1:7" x14ac:dyDescent="0.25">
      <c r="A12" s="154">
        <v>1</v>
      </c>
      <c r="B12" s="76" t="s">
        <v>96</v>
      </c>
      <c r="C12" s="419">
        <f t="shared" ref="C12:G16" si="0">IF($A12&gt;C$1,0,IF($A12=C$1,C$3+C5,B12+C5))</f>
        <v>0</v>
      </c>
      <c r="D12" s="406">
        <f t="shared" si="0"/>
        <v>0</v>
      </c>
      <c r="E12" s="406">
        <f t="shared" si="0"/>
        <v>0</v>
      </c>
      <c r="F12" s="406">
        <f t="shared" si="0"/>
        <v>0</v>
      </c>
      <c r="G12" s="406">
        <f t="shared" si="0"/>
        <v>0</v>
      </c>
    </row>
    <row r="13" spans="1:7" x14ac:dyDescent="0.25">
      <c r="A13" s="154">
        <v>2</v>
      </c>
      <c r="B13" s="76" t="s">
        <v>97</v>
      </c>
      <c r="C13" s="419">
        <f t="shared" si="0"/>
        <v>0</v>
      </c>
      <c r="D13" s="406">
        <f t="shared" si="0"/>
        <v>0</v>
      </c>
      <c r="E13" s="406">
        <f t="shared" si="0"/>
        <v>0</v>
      </c>
      <c r="F13" s="406">
        <f t="shared" si="0"/>
        <v>0</v>
      </c>
      <c r="G13" s="406">
        <f t="shared" si="0"/>
        <v>0</v>
      </c>
    </row>
    <row r="14" spans="1:7" x14ac:dyDescent="0.25">
      <c r="A14" s="154">
        <v>3</v>
      </c>
      <c r="B14" s="76" t="s">
        <v>98</v>
      </c>
      <c r="C14" s="419">
        <f t="shared" si="0"/>
        <v>0</v>
      </c>
      <c r="D14" s="406">
        <f t="shared" si="0"/>
        <v>0</v>
      </c>
      <c r="E14" s="406">
        <f t="shared" si="0"/>
        <v>0</v>
      </c>
      <c r="F14" s="406">
        <f t="shared" si="0"/>
        <v>0</v>
      </c>
      <c r="G14" s="406">
        <f t="shared" si="0"/>
        <v>0</v>
      </c>
    </row>
    <row r="15" spans="1:7" x14ac:dyDescent="0.25">
      <c r="A15" s="154">
        <v>4</v>
      </c>
      <c r="B15" s="76" t="s">
        <v>99</v>
      </c>
      <c r="C15" s="419">
        <f t="shared" si="0"/>
        <v>0</v>
      </c>
      <c r="D15" s="406">
        <f t="shared" si="0"/>
        <v>0</v>
      </c>
      <c r="E15" s="406">
        <f t="shared" si="0"/>
        <v>0</v>
      </c>
      <c r="F15" s="406">
        <f t="shared" si="0"/>
        <v>0</v>
      </c>
      <c r="G15" s="406">
        <f t="shared" si="0"/>
        <v>0</v>
      </c>
    </row>
    <row r="16" spans="1:7" x14ac:dyDescent="0.25">
      <c r="A16" s="154">
        <v>5</v>
      </c>
      <c r="B16" s="76" t="s">
        <v>100</v>
      </c>
      <c r="C16" s="419">
        <f t="shared" si="0"/>
        <v>0</v>
      </c>
      <c r="D16" s="406">
        <f t="shared" si="0"/>
        <v>0</v>
      </c>
      <c r="E16" s="406">
        <f t="shared" si="0"/>
        <v>0</v>
      </c>
      <c r="F16" s="406">
        <f t="shared" si="0"/>
        <v>0</v>
      </c>
      <c r="G16" s="406">
        <f t="shared" si="0"/>
        <v>0</v>
      </c>
    </row>
    <row r="17" spans="1:7" x14ac:dyDescent="0.25">
      <c r="B17" s="49" t="s">
        <v>103</v>
      </c>
      <c r="C17" s="453">
        <f>SUM(C12:C16)</f>
        <v>0</v>
      </c>
      <c r="D17" s="447">
        <f>SUM(D12:D16)</f>
        <v>0</v>
      </c>
      <c r="E17" s="447">
        <f>SUM(E12:E16)</f>
        <v>0</v>
      </c>
      <c r="F17" s="447">
        <f>SUM(F12:F16)</f>
        <v>0</v>
      </c>
      <c r="G17" s="447">
        <f>SUM(G12:G16)</f>
        <v>0</v>
      </c>
    </row>
    <row r="18" spans="1:7" s="30" customFormat="1" ht="13.5" customHeight="1" x14ac:dyDescent="0.25">
      <c r="B18" s="75" t="s">
        <v>18</v>
      </c>
      <c r="C18" s="451"/>
      <c r="D18" s="451"/>
      <c r="E18" s="451"/>
      <c r="F18" s="451"/>
      <c r="G18" s="451"/>
    </row>
    <row r="19" spans="1:7" x14ac:dyDescent="0.25">
      <c r="A19" s="154">
        <v>1</v>
      </c>
      <c r="B19" s="76" t="s">
        <v>96</v>
      </c>
      <c r="C19" s="419">
        <f>IF(OR($A19&gt;C$1,Bases!$D$35+$A19-1&lt;C$1),0,C12/Bases!$D$35)</f>
        <v>0</v>
      </c>
      <c r="D19" s="406">
        <f>IF(OR($A19&gt;D$1,Bases!$D$35+$A19-1&lt;D$1),0,D12/Bases!$D$35)</f>
        <v>0</v>
      </c>
      <c r="E19" s="406">
        <f>IF(OR($A19&gt;E$1,Bases!$D$35+$A19-1&lt;E$1),0,E12/Bases!$D$35)</f>
        <v>0</v>
      </c>
      <c r="F19" s="406">
        <f>IF(OR($A19&gt;F$1,Bases!$D$35+$A19-1&lt;F$1),0,F12/Bases!$D$35)</f>
        <v>0</v>
      </c>
      <c r="G19" s="406">
        <f>IF(OR($A19&gt;G$1,Bases!$D$35+$A19-1&lt;G$1),0,G12/Bases!$D$35)</f>
        <v>0</v>
      </c>
    </row>
    <row r="20" spans="1:7" x14ac:dyDescent="0.25">
      <c r="A20" s="154">
        <v>2</v>
      </c>
      <c r="B20" s="76" t="s">
        <v>97</v>
      </c>
      <c r="C20" s="419">
        <f>IF(OR($A20&gt;C$1,Bases!$D$35+$A20-1&lt;C$1),0,C13/Bases!$D$35)</f>
        <v>0</v>
      </c>
      <c r="D20" s="406">
        <f>IF(OR($A20&gt;D$1,Bases!$D$35+$A20-1&lt;D$1),0,D13/Bases!$D$35)</f>
        <v>0</v>
      </c>
      <c r="E20" s="406">
        <f>IF(OR($A20&gt;E$1,Bases!$D$35+$A20-1&lt;E$1),0,E13/Bases!$D$35)</f>
        <v>0</v>
      </c>
      <c r="F20" s="406">
        <f>IF(OR($A20&gt;F$1,Bases!$D$35+$A20-1&lt;F$1),0,F13/Bases!$D$35)</f>
        <v>0</v>
      </c>
      <c r="G20" s="406">
        <f>IF(OR($A20&gt;G$1,Bases!$D$35+$A20-1&lt;G$1),0,G13/Bases!$D$35)</f>
        <v>0</v>
      </c>
    </row>
    <row r="21" spans="1:7" x14ac:dyDescent="0.25">
      <c r="A21" s="154">
        <v>3</v>
      </c>
      <c r="B21" s="76" t="s">
        <v>98</v>
      </c>
      <c r="C21" s="419">
        <f>IF(OR($A21&gt;C$1,Bases!$D$35+$A21-1&lt;C$1),0,C14/Bases!$D$35)</f>
        <v>0</v>
      </c>
      <c r="D21" s="406">
        <f>IF(OR($A21&gt;D$1,Bases!$D$35+$A21-1&lt;D$1),0,D14/Bases!$D$35)</f>
        <v>0</v>
      </c>
      <c r="E21" s="406">
        <f>IF(OR($A21&gt;E$1,Bases!$D$35+$A21-1&lt;E$1),0,E14/Bases!$D$35)</f>
        <v>0</v>
      </c>
      <c r="F21" s="406">
        <f>IF(OR($A21&gt;F$1,Bases!$D$35+$A21-1&lt;F$1),0,F14/Bases!$D$35)</f>
        <v>0</v>
      </c>
      <c r="G21" s="406">
        <f>IF(OR($A21&gt;G$1,Bases!$D$35+$A21-1&lt;G$1),0,G14/Bases!$D$35)</f>
        <v>0</v>
      </c>
    </row>
    <row r="22" spans="1:7" x14ac:dyDescent="0.25">
      <c r="A22" s="154">
        <v>4</v>
      </c>
      <c r="B22" s="76" t="s">
        <v>99</v>
      </c>
      <c r="C22" s="419">
        <f>IF(OR($A22&gt;C$1,Bases!$D$35+$A22-1&lt;C$1),0,C15/Bases!$D$35)</f>
        <v>0</v>
      </c>
      <c r="D22" s="406">
        <f>IF(OR($A22&gt;D$1,Bases!$D$35+$A22-1&lt;D$1),0,D15/Bases!$D$35)</f>
        <v>0</v>
      </c>
      <c r="E22" s="406">
        <f>IF(OR($A22&gt;E$1,Bases!$D$35+$A22-1&lt;E$1),0,E15/Bases!$D$35)</f>
        <v>0</v>
      </c>
      <c r="F22" s="406">
        <f>IF(OR($A22&gt;F$1,Bases!$D$35+$A22-1&lt;F$1),0,F15/Bases!$D$35)</f>
        <v>0</v>
      </c>
      <c r="G22" s="406">
        <f>IF(OR($A22&gt;G$1,Bases!$D$35+$A22-1&lt;G$1),0,G15/Bases!$D$35)</f>
        <v>0</v>
      </c>
    </row>
    <row r="23" spans="1:7" x14ac:dyDescent="0.25">
      <c r="A23" s="154">
        <v>5</v>
      </c>
      <c r="B23" s="76" t="s">
        <v>100</v>
      </c>
      <c r="C23" s="419">
        <f>IF(OR($A23&gt;C$1,Bases!$D$35+$A23-1&lt;C$1),0,C16/Bases!$D$35)</f>
        <v>0</v>
      </c>
      <c r="D23" s="406">
        <f>IF(OR($A23&gt;D$1,Bases!$D$35+$A23-1&lt;D$1),0,D16/Bases!$D$35)</f>
        <v>0</v>
      </c>
      <c r="E23" s="406">
        <f>IF(OR($A23&gt;E$1,Bases!$D$35+$A23-1&lt;E$1),0,E16/Bases!$D$35)</f>
        <v>0</v>
      </c>
      <c r="F23" s="406">
        <f>IF(OR($A23&gt;F$1,Bases!$D$35+$A23-1&lt;F$1),0,F16/Bases!$D$35)</f>
        <v>0</v>
      </c>
      <c r="G23" s="406">
        <f>IF(OR($A23&gt;G$1,Bases!$D$35+$A23-1&lt;G$1),0,G16/Bases!$D$35)</f>
        <v>0</v>
      </c>
    </row>
    <row r="24" spans="1:7" x14ac:dyDescent="0.25">
      <c r="B24" s="49" t="s">
        <v>104</v>
      </c>
      <c r="C24" s="453">
        <f>SUM(C19:C23)</f>
        <v>0</v>
      </c>
      <c r="D24" s="447">
        <f>SUM(D19:D23)</f>
        <v>0</v>
      </c>
      <c r="E24" s="447">
        <f>SUM(E19:E23)</f>
        <v>0</v>
      </c>
      <c r="F24" s="447">
        <f>SUM(F19:F23)</f>
        <v>0</v>
      </c>
      <c r="G24" s="447">
        <f>SUM(G19:G23)</f>
        <v>0</v>
      </c>
    </row>
    <row r="25" spans="1:7" s="30" customFormat="1" ht="13.5" customHeight="1" x14ac:dyDescent="0.25">
      <c r="B25" s="75" t="s">
        <v>105</v>
      </c>
      <c r="C25" s="451"/>
      <c r="D25" s="451"/>
      <c r="E25" s="451"/>
      <c r="F25" s="451"/>
      <c r="G25" s="451"/>
    </row>
    <row r="26" spans="1:7" x14ac:dyDescent="0.25">
      <c r="A26" s="154">
        <v>1</v>
      </c>
      <c r="B26" s="67" t="s">
        <v>96</v>
      </c>
      <c r="C26" s="419">
        <f>IF($A26&gt;=C$1,0,B33*Bases!F$9)</f>
        <v>0</v>
      </c>
      <c r="D26" s="406">
        <f>IF($A26&gt;=D$1,0,C33*Bases!G$9)</f>
        <v>0</v>
      </c>
      <c r="E26" s="406">
        <f>IF($A26&gt;=E$1,0,D33*Bases!H$9)</f>
        <v>0</v>
      </c>
      <c r="F26" s="406">
        <f>IF($A26&gt;=F$1,0,E33*Bases!I$9)</f>
        <v>0</v>
      </c>
      <c r="G26" s="406">
        <f>IF($A26&gt;=G$1,0,F33*Bases!J$9)</f>
        <v>0</v>
      </c>
    </row>
    <row r="27" spans="1:7" x14ac:dyDescent="0.25">
      <c r="A27" s="154">
        <v>2</v>
      </c>
      <c r="B27" s="67" t="s">
        <v>97</v>
      </c>
      <c r="C27" s="419">
        <f>IF($A27&gt;=C$1,0,B34*Bases!F$9)</f>
        <v>0</v>
      </c>
      <c r="D27" s="406">
        <f>IF($A27&gt;=D$1,0,C34*Bases!G$9)</f>
        <v>0</v>
      </c>
      <c r="E27" s="406">
        <f>IF($A27&gt;=E$1,0,D34*Bases!H$9)</f>
        <v>0</v>
      </c>
      <c r="F27" s="406">
        <f>IF($A27&gt;=F$1,0,E34*Bases!I$9)</f>
        <v>0</v>
      </c>
      <c r="G27" s="406">
        <f>IF($A27&gt;=G$1,0,F34*Bases!J$9)</f>
        <v>0</v>
      </c>
    </row>
    <row r="28" spans="1:7" x14ac:dyDescent="0.25">
      <c r="A28" s="154">
        <v>3</v>
      </c>
      <c r="B28" s="67" t="s">
        <v>98</v>
      </c>
      <c r="C28" s="419">
        <f>IF($A28&gt;=C$1,0,B35*Bases!F$9)</f>
        <v>0</v>
      </c>
      <c r="D28" s="406">
        <f>IF($A28&gt;=D$1,0,C35*Bases!G$9)</f>
        <v>0</v>
      </c>
      <c r="E28" s="406">
        <f>IF($A28&gt;=E$1,0,D35*Bases!H$9)</f>
        <v>0</v>
      </c>
      <c r="F28" s="406">
        <f>IF($A28&gt;=F$1,0,E35*Bases!I$9)</f>
        <v>0</v>
      </c>
      <c r="G28" s="406">
        <f>IF($A28&gt;=G$1,0,F35*Bases!J$9)</f>
        <v>0</v>
      </c>
    </row>
    <row r="29" spans="1:7" x14ac:dyDescent="0.25">
      <c r="A29" s="154">
        <v>4</v>
      </c>
      <c r="B29" s="67" t="s">
        <v>99</v>
      </c>
      <c r="C29" s="419">
        <f>IF($A29&gt;=C$1,0,B36*Bases!F$9)</f>
        <v>0</v>
      </c>
      <c r="D29" s="406">
        <f>IF($A29&gt;=D$1,0,C36*Bases!G$9)</f>
        <v>0</v>
      </c>
      <c r="E29" s="406">
        <f>IF($A29&gt;=E$1,0,D36*Bases!H$9)</f>
        <v>0</v>
      </c>
      <c r="F29" s="406">
        <f>IF($A29&gt;=F$1,0,E36*Bases!I$9)</f>
        <v>0</v>
      </c>
      <c r="G29" s="406">
        <f>IF($A29&gt;=G$1,0,F36*Bases!J$9)</f>
        <v>0</v>
      </c>
    </row>
    <row r="30" spans="1:7" x14ac:dyDescent="0.25">
      <c r="A30" s="154">
        <v>5</v>
      </c>
      <c r="B30" s="67" t="s">
        <v>100</v>
      </c>
      <c r="C30" s="419">
        <f>IF($A30&gt;=C$1,0,B37*Bases!F$9)</f>
        <v>0</v>
      </c>
      <c r="D30" s="406">
        <f>IF($A30&gt;=D$1,0,C37*Bases!G$9)</f>
        <v>0</v>
      </c>
      <c r="E30" s="406">
        <f>IF($A30&gt;=E$1,0,D37*Bases!H$9)</f>
        <v>0</v>
      </c>
      <c r="F30" s="406">
        <f>IF($A30&gt;=F$1,0,E37*Bases!I$9)</f>
        <v>0</v>
      </c>
      <c r="G30" s="406">
        <f>IF($A30&gt;=G$1,0,F37*Bases!J$9)</f>
        <v>0</v>
      </c>
    </row>
    <row r="31" spans="1:7" x14ac:dyDescent="0.25">
      <c r="B31" s="153" t="s">
        <v>106</v>
      </c>
      <c r="C31" s="419">
        <f>SUM(C26:C30)</f>
        <v>0</v>
      </c>
      <c r="D31" s="406">
        <f>SUM(D26:D30)</f>
        <v>0</v>
      </c>
      <c r="E31" s="406">
        <f>SUM(E26:E30)</f>
        <v>0</v>
      </c>
      <c r="F31" s="406">
        <f>SUM(F26:F30)</f>
        <v>0</v>
      </c>
      <c r="G31" s="406">
        <f>SUM(G26:G30)</f>
        <v>0</v>
      </c>
    </row>
    <row r="32" spans="1:7" s="30" customFormat="1" ht="13.5" customHeight="1" x14ac:dyDescent="0.25">
      <c r="B32" s="75" t="s">
        <v>107</v>
      </c>
      <c r="C32" s="451"/>
      <c r="D32" s="451"/>
      <c r="E32" s="451"/>
      <c r="F32" s="451"/>
      <c r="G32" s="451"/>
    </row>
    <row r="33" spans="1:8" x14ac:dyDescent="0.25">
      <c r="A33" s="154">
        <v>1</v>
      </c>
      <c r="B33" s="76" t="s">
        <v>96</v>
      </c>
      <c r="C33" s="453">
        <f t="shared" ref="C33:G37" si="1">IF($A33&gt;C$1,0,IF($A33=C$1,C19,B33+C19+C26))</f>
        <v>0</v>
      </c>
      <c r="D33" s="447">
        <f t="shared" si="1"/>
        <v>0</v>
      </c>
      <c r="E33" s="447">
        <f t="shared" si="1"/>
        <v>0</v>
      </c>
      <c r="F33" s="447">
        <f t="shared" si="1"/>
        <v>0</v>
      </c>
      <c r="G33" s="447">
        <f t="shared" si="1"/>
        <v>0</v>
      </c>
      <c r="H33" s="32"/>
    </row>
    <row r="34" spans="1:8" x14ac:dyDescent="0.25">
      <c r="A34" s="154">
        <v>2</v>
      </c>
      <c r="B34" s="76" t="s">
        <v>97</v>
      </c>
      <c r="C34" s="453">
        <f t="shared" si="1"/>
        <v>0</v>
      </c>
      <c r="D34" s="447">
        <f t="shared" si="1"/>
        <v>0</v>
      </c>
      <c r="E34" s="447">
        <f t="shared" si="1"/>
        <v>0</v>
      </c>
      <c r="F34" s="447">
        <f t="shared" si="1"/>
        <v>0</v>
      </c>
      <c r="G34" s="447">
        <f t="shared" si="1"/>
        <v>0</v>
      </c>
    </row>
    <row r="35" spans="1:8" x14ac:dyDescent="0.25">
      <c r="A35" s="154">
        <v>3</v>
      </c>
      <c r="B35" s="76" t="s">
        <v>98</v>
      </c>
      <c r="C35" s="453">
        <f t="shared" si="1"/>
        <v>0</v>
      </c>
      <c r="D35" s="447">
        <f t="shared" si="1"/>
        <v>0</v>
      </c>
      <c r="E35" s="447">
        <f t="shared" si="1"/>
        <v>0</v>
      </c>
      <c r="F35" s="447">
        <f t="shared" si="1"/>
        <v>0</v>
      </c>
      <c r="G35" s="447">
        <f t="shared" si="1"/>
        <v>0</v>
      </c>
    </row>
    <row r="36" spans="1:8" x14ac:dyDescent="0.25">
      <c r="A36" s="154">
        <v>4</v>
      </c>
      <c r="B36" s="76" t="s">
        <v>99</v>
      </c>
      <c r="C36" s="453">
        <f t="shared" si="1"/>
        <v>0</v>
      </c>
      <c r="D36" s="447">
        <f t="shared" si="1"/>
        <v>0</v>
      </c>
      <c r="E36" s="447">
        <f t="shared" si="1"/>
        <v>0</v>
      </c>
      <c r="F36" s="447">
        <f t="shared" si="1"/>
        <v>0</v>
      </c>
      <c r="G36" s="447">
        <f t="shared" si="1"/>
        <v>0</v>
      </c>
    </row>
    <row r="37" spans="1:8" x14ac:dyDescent="0.25">
      <c r="A37" s="154">
        <v>5</v>
      </c>
      <c r="B37" s="76" t="s">
        <v>100</v>
      </c>
      <c r="C37" s="453">
        <f t="shared" si="1"/>
        <v>0</v>
      </c>
      <c r="D37" s="447">
        <f t="shared" si="1"/>
        <v>0</v>
      </c>
      <c r="E37" s="447">
        <f t="shared" si="1"/>
        <v>0</v>
      </c>
      <c r="F37" s="447">
        <f t="shared" si="1"/>
        <v>0</v>
      </c>
      <c r="G37" s="447">
        <f t="shared" si="1"/>
        <v>0</v>
      </c>
    </row>
    <row r="38" spans="1:8" x14ac:dyDescent="0.25">
      <c r="B38" s="49" t="s">
        <v>108</v>
      </c>
      <c r="C38" s="453">
        <f>SUM(C33:C37)</f>
        <v>0</v>
      </c>
      <c r="D38" s="447">
        <f>SUM(D33:D37)</f>
        <v>0</v>
      </c>
      <c r="E38" s="447">
        <f>SUM(E33:E37)</f>
        <v>0</v>
      </c>
      <c r="F38" s="447">
        <f>SUM(F33:F37)</f>
        <v>0</v>
      </c>
      <c r="G38" s="447">
        <f>SUM(G33:G37)</f>
        <v>0</v>
      </c>
    </row>
    <row r="39" spans="1:8" x14ac:dyDescent="0.25"/>
  </sheetData>
  <sheetProtection password="CA1B" sheet="1"/>
  <phoneticPr fontId="0" type="noConversion"/>
  <hyperlinks>
    <hyperlink ref="B1" location="Inicio!A1" display="Inicio" xr:uid="{00000000-0004-0000-1300-000000000000}"/>
  </hyperlinks>
  <printOptions horizontalCentered="1" verticalCentered="1" gridLines="1"/>
  <pageMargins left="0.19685039370078741" right="0.19685039370078741" top="0.98425196850393704" bottom="0.39370078740157483" header="0.59055118110236227" footer="0.51181102362204722"/>
  <pageSetup scale="85" orientation="landscape" horizontalDpi="300" verticalDpi="0"/>
  <headerFooter alignWithMargins="0">
    <oddHeader xml:space="preserve">&amp;C&amp;"Arial,Negrita"&amp;14&amp;A&amp;"Arial,Normal"&amp;10
</oddHeader>
    <oddFooter>&amp;L&amp;"Arial,Negrita"&amp;8&amp;F&amp;C&amp;"Arial,Negrita"&amp;8Página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30">
    <tabColor indexed="30"/>
  </sheetPr>
  <dimension ref="A1:CF166"/>
  <sheetViews>
    <sheetView zoomScaleNormal="100" workbookViewId="0">
      <selection activeCell="B15" sqref="B15"/>
    </sheetView>
  </sheetViews>
  <sheetFormatPr baseColWidth="10" defaultColWidth="0" defaultRowHeight="13.2" zeroHeight="1" x14ac:dyDescent="0.25"/>
  <cols>
    <col min="1" max="1" width="2.77734375" customWidth="1"/>
    <col min="2" max="2" width="28.44140625" customWidth="1"/>
    <col min="3" max="3" width="13.6640625" customWidth="1"/>
    <col min="4" max="4" width="14.44140625" customWidth="1"/>
    <col min="5" max="5" width="14.33203125" customWidth="1"/>
    <col min="6" max="7" width="14.44140625" customWidth="1"/>
  </cols>
  <sheetData>
    <row r="1" spans="1:84" ht="17.399999999999999" x14ac:dyDescent="0.25">
      <c r="A1" s="1"/>
      <c r="B1" s="329" t="s">
        <v>350</v>
      </c>
      <c r="C1" s="161">
        <v>1</v>
      </c>
      <c r="D1" s="161">
        <v>2</v>
      </c>
      <c r="E1" s="161">
        <v>3</v>
      </c>
      <c r="F1" s="161">
        <v>4</v>
      </c>
      <c r="G1" s="161">
        <v>5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</row>
    <row r="2" spans="1:84" x14ac:dyDescent="0.25">
      <c r="A2" s="1"/>
      <c r="B2" s="157" t="s">
        <v>95</v>
      </c>
      <c r="C2" s="448"/>
      <c r="D2" s="448"/>
      <c r="E2" s="448"/>
      <c r="F2" s="448"/>
      <c r="G2" s="44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</row>
    <row r="3" spans="1:84" x14ac:dyDescent="0.25">
      <c r="A3" s="1"/>
      <c r="B3" s="74" t="s">
        <v>291</v>
      </c>
      <c r="C3" s="452">
        <f>' Inversiones Fijas y Diferidas'!H68</f>
        <v>0</v>
      </c>
      <c r="D3" s="452">
        <f>' Inversiones Fijas y Diferidas'!I68</f>
        <v>0</v>
      </c>
      <c r="E3" s="452">
        <f>' Inversiones Fijas y Diferidas'!J68</f>
        <v>0</v>
      </c>
      <c r="F3" s="452">
        <f>' Inversiones Fijas y Diferidas'!K68</f>
        <v>0</v>
      </c>
      <c r="G3" s="452">
        <f>' Inversiones Fijas y Diferidas'!L68</f>
        <v>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</row>
    <row r="4" spans="1:84" x14ac:dyDescent="0.25">
      <c r="A4" s="18"/>
      <c r="B4" s="75" t="s">
        <v>12</v>
      </c>
      <c r="C4" s="450"/>
      <c r="D4" s="450"/>
      <c r="E4" s="450"/>
      <c r="F4" s="450"/>
      <c r="G4" s="450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</row>
    <row r="5" spans="1:84" x14ac:dyDescent="0.25">
      <c r="A5" s="154">
        <v>1</v>
      </c>
      <c r="B5" s="76" t="s">
        <v>96</v>
      </c>
      <c r="C5" s="419">
        <f>IF($A5&gt;C$1,0,IF($A5=C$1,C$3*Bases!F$9,B12*Bases!F$9))</f>
        <v>0</v>
      </c>
      <c r="D5" s="406">
        <f>IF($A5&gt;D$1,0,IF($A5=D$1,D$3*Bases!G$9,C12*Bases!G$9))</f>
        <v>0</v>
      </c>
      <c r="E5" s="406">
        <f>IF($A5&gt;E$1,0,IF($A5=E$1,E$3*Bases!H$9,D12*Bases!H$9))</f>
        <v>0</v>
      </c>
      <c r="F5" s="406">
        <f>IF($A5&gt;F$1,0,IF($A5=F$1,F$3*Bases!I$9,E12*Bases!I$9))</f>
        <v>0</v>
      </c>
      <c r="G5" s="406">
        <f>IF($A5&gt;G$1,0,IF($A5=G$1,G$3*Bases!J$9,F12*Bases!J$9))</f>
        <v>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</row>
    <row r="6" spans="1:84" x14ac:dyDescent="0.25">
      <c r="A6" s="154">
        <v>2</v>
      </c>
      <c r="B6" s="76" t="s">
        <v>97</v>
      </c>
      <c r="C6" s="419">
        <f>IF($A6&gt;C$1,0,IF($A6=C$1,C$3*Bases!F$9,B13*Bases!F$9))</f>
        <v>0</v>
      </c>
      <c r="D6" s="406">
        <f>IF($A6&gt;D$1,0,IF($A6=D$1,D$3*Bases!G$9,C13*Bases!G$9))</f>
        <v>0</v>
      </c>
      <c r="E6" s="406">
        <f>IF($A6&gt;E$1,0,IF($A6=E$1,E$3*Bases!H$9,D13*Bases!H$9))</f>
        <v>0</v>
      </c>
      <c r="F6" s="406">
        <f>IF($A6&gt;F$1,0,IF($A6=F$1,F$3*Bases!I$9,E13*Bases!I$9))</f>
        <v>0</v>
      </c>
      <c r="G6" s="406">
        <f>IF($A6&gt;G$1,0,IF($A6=G$1,G$3*Bases!J$9,F13*Bases!J$9))</f>
        <v>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</row>
    <row r="7" spans="1:84" x14ac:dyDescent="0.25">
      <c r="A7" s="154">
        <v>3</v>
      </c>
      <c r="B7" s="76" t="s">
        <v>98</v>
      </c>
      <c r="C7" s="419">
        <f>IF($A7&gt;C$1,0,IF($A7=C$1,C$3*Bases!F$9,B14*Bases!F$9))</f>
        <v>0</v>
      </c>
      <c r="D7" s="406">
        <f>IF($A7&gt;D$1,0,IF($A7=D$1,D$3*Bases!G$9,C14*Bases!G$9))</f>
        <v>0</v>
      </c>
      <c r="E7" s="406">
        <f>IF($A7&gt;E$1,0,IF($A7=E$1,E$3*Bases!H$9,D14*Bases!H$9))</f>
        <v>0</v>
      </c>
      <c r="F7" s="406">
        <f>IF($A7&gt;F$1,0,IF($A7=F$1,F$3*Bases!I$9,E14*Bases!I$9))</f>
        <v>0</v>
      </c>
      <c r="G7" s="406">
        <f>IF($A7&gt;G$1,0,IF($A7=G$1,G$3*Bases!J$9,F14*Bases!J$9))</f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</row>
    <row r="8" spans="1:84" x14ac:dyDescent="0.25">
      <c r="A8" s="154">
        <v>4</v>
      </c>
      <c r="B8" s="76" t="s">
        <v>99</v>
      </c>
      <c r="C8" s="419">
        <f>IF($A8&gt;C$1,0,IF($A8=C$1,C$3*Bases!F$9,B15*Bases!F$9))</f>
        <v>0</v>
      </c>
      <c r="D8" s="406">
        <f>IF($A8&gt;D$1,0,IF($A8=D$1,D$3*Bases!G$9,C15*Bases!G$9))</f>
        <v>0</v>
      </c>
      <c r="E8" s="406">
        <f>IF($A8&gt;E$1,0,IF($A8=E$1,E$3*Bases!H$9,D15*Bases!H$9))</f>
        <v>0</v>
      </c>
      <c r="F8" s="406">
        <f>IF($A8&gt;F$1,0,IF($A8=F$1,F$3*Bases!I$9,E15*Bases!I$9))</f>
        <v>0</v>
      </c>
      <c r="G8" s="406">
        <f>IF($A8&gt;G$1,0,IF($A8=G$1,G$3*Bases!J$9,F15*Bases!J$9))</f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</row>
    <row r="9" spans="1:84" x14ac:dyDescent="0.25">
      <c r="A9" s="154">
        <v>5</v>
      </c>
      <c r="B9" s="76" t="s">
        <v>100</v>
      </c>
      <c r="C9" s="419">
        <f>IF($A9&gt;C$1,0,IF($A9=C$1,C$3*Bases!F$9,B16*Bases!F$9))</f>
        <v>0</v>
      </c>
      <c r="D9" s="406">
        <f>IF($A9&gt;D$1,0,IF($A9=D$1,D$3*Bases!G$9,C16*Bases!G$9))</f>
        <v>0</v>
      </c>
      <c r="E9" s="406">
        <f>IF($A9&gt;E$1,0,IF($A9=E$1,E$3*Bases!H$9,D16*Bases!H$9))</f>
        <v>0</v>
      </c>
      <c r="F9" s="406">
        <f>IF($A9&gt;F$1,0,IF($A9=F$1,F$3*Bases!I$9,E16*Bases!I$9))</f>
        <v>0</v>
      </c>
      <c r="G9" s="406">
        <f>IF($A9&gt;G$1,0,IF($A9=G$1,G$3*Bases!J$9,F16*Bases!J$9))</f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</row>
    <row r="10" spans="1:84" x14ac:dyDescent="0.25">
      <c r="A10" s="1"/>
      <c r="B10" s="49" t="s">
        <v>101</v>
      </c>
      <c r="C10" s="419">
        <f>SUM(C5:C9)</f>
        <v>0</v>
      </c>
      <c r="D10" s="406">
        <f>SUM(D5:D9)</f>
        <v>0</v>
      </c>
      <c r="E10" s="406">
        <f>SUM(E5:E9)</f>
        <v>0</v>
      </c>
      <c r="F10" s="406">
        <f>SUM(F5:F9)</f>
        <v>0</v>
      </c>
      <c r="G10" s="406">
        <f>SUM(G5:G9)</f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</row>
    <row r="11" spans="1:84" x14ac:dyDescent="0.25">
      <c r="A11" s="30"/>
      <c r="B11" s="75" t="s">
        <v>102</v>
      </c>
      <c r="C11" s="451"/>
      <c r="D11" s="451"/>
      <c r="E11" s="451"/>
      <c r="F11" s="451"/>
      <c r="G11" s="451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</row>
    <row r="12" spans="1:84" x14ac:dyDescent="0.25">
      <c r="A12" s="154">
        <v>1</v>
      </c>
      <c r="B12" s="76" t="s">
        <v>96</v>
      </c>
      <c r="C12" s="419">
        <f t="shared" ref="C12:G16" si="0">IF($A12&gt;C$1,0,IF($A12=C$1,C$3+C5,B12+C5))</f>
        <v>0</v>
      </c>
      <c r="D12" s="406">
        <f t="shared" si="0"/>
        <v>0</v>
      </c>
      <c r="E12" s="406">
        <f t="shared" si="0"/>
        <v>0</v>
      </c>
      <c r="F12" s="406">
        <f t="shared" si="0"/>
        <v>0</v>
      </c>
      <c r="G12" s="406">
        <f t="shared" si="0"/>
        <v>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</row>
    <row r="13" spans="1:84" x14ac:dyDescent="0.25">
      <c r="A13" s="154">
        <v>2</v>
      </c>
      <c r="B13" s="76" t="s">
        <v>97</v>
      </c>
      <c r="C13" s="419">
        <f t="shared" si="0"/>
        <v>0</v>
      </c>
      <c r="D13" s="406">
        <f t="shared" si="0"/>
        <v>0</v>
      </c>
      <c r="E13" s="406">
        <f t="shared" si="0"/>
        <v>0</v>
      </c>
      <c r="F13" s="406">
        <f t="shared" si="0"/>
        <v>0</v>
      </c>
      <c r="G13" s="406">
        <f t="shared" si="0"/>
        <v>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</row>
    <row r="14" spans="1:84" x14ac:dyDescent="0.25">
      <c r="A14" s="154">
        <v>3</v>
      </c>
      <c r="B14" s="76" t="s">
        <v>98</v>
      </c>
      <c r="C14" s="419">
        <f t="shared" si="0"/>
        <v>0</v>
      </c>
      <c r="D14" s="406">
        <f t="shared" si="0"/>
        <v>0</v>
      </c>
      <c r="E14" s="406">
        <f t="shared" si="0"/>
        <v>0</v>
      </c>
      <c r="F14" s="406">
        <f t="shared" si="0"/>
        <v>0</v>
      </c>
      <c r="G14" s="406">
        <f t="shared" si="0"/>
        <v>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</row>
    <row r="15" spans="1:84" x14ac:dyDescent="0.25">
      <c r="A15" s="154">
        <v>4</v>
      </c>
      <c r="B15" s="76" t="s">
        <v>99</v>
      </c>
      <c r="C15" s="419">
        <f t="shared" si="0"/>
        <v>0</v>
      </c>
      <c r="D15" s="406">
        <f t="shared" si="0"/>
        <v>0</v>
      </c>
      <c r="E15" s="406">
        <f t="shared" si="0"/>
        <v>0</v>
      </c>
      <c r="F15" s="406">
        <f t="shared" si="0"/>
        <v>0</v>
      </c>
      <c r="G15" s="406">
        <f t="shared" si="0"/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</row>
    <row r="16" spans="1:84" x14ac:dyDescent="0.25">
      <c r="A16" s="154">
        <v>5</v>
      </c>
      <c r="B16" s="76" t="s">
        <v>100</v>
      </c>
      <c r="C16" s="419">
        <f t="shared" si="0"/>
        <v>0</v>
      </c>
      <c r="D16" s="406">
        <f t="shared" si="0"/>
        <v>0</v>
      </c>
      <c r="E16" s="406">
        <f t="shared" si="0"/>
        <v>0</v>
      </c>
      <c r="F16" s="406">
        <f t="shared" si="0"/>
        <v>0</v>
      </c>
      <c r="G16" s="406">
        <f t="shared" si="0"/>
        <v>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</row>
    <row r="17" spans="1:84" x14ac:dyDescent="0.25">
      <c r="A17" s="1"/>
      <c r="B17" s="49" t="s">
        <v>103</v>
      </c>
      <c r="C17" s="453">
        <f>SUM(C12:C16)</f>
        <v>0</v>
      </c>
      <c r="D17" s="447">
        <f>SUM(D12:D16)</f>
        <v>0</v>
      </c>
      <c r="E17" s="447">
        <f>SUM(E12:E16)</f>
        <v>0</v>
      </c>
      <c r="F17" s="447">
        <f>SUM(F12:F16)</f>
        <v>0</v>
      </c>
      <c r="G17" s="447">
        <f>SUM(G12:G16)</f>
        <v>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</row>
    <row r="18" spans="1:84" x14ac:dyDescent="0.25">
      <c r="A18" s="30"/>
      <c r="B18" s="75" t="s">
        <v>18</v>
      </c>
      <c r="C18" s="451"/>
      <c r="D18" s="451"/>
      <c r="E18" s="451"/>
      <c r="F18" s="451"/>
      <c r="G18" s="451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</row>
    <row r="19" spans="1:84" x14ac:dyDescent="0.25">
      <c r="A19" s="154">
        <v>1</v>
      </c>
      <c r="B19" s="76" t="s">
        <v>96</v>
      </c>
      <c r="C19" s="419">
        <f>IF(OR($A19&gt;C$1,Bases!$D$36+$A19-1&lt;C$1),0,C12/Bases!$D$36)</f>
        <v>0</v>
      </c>
      <c r="D19" s="406">
        <f>IF(OR($A19&gt;D$1,Bases!$D$36+$A19-1&lt;D$1),0,D12/Bases!$D$36)</f>
        <v>0</v>
      </c>
      <c r="E19" s="406">
        <f>IF(OR($A19&gt;E$1,Bases!$D$36+$A19-1&lt;E$1),0,E12/Bases!$D$36)</f>
        <v>0</v>
      </c>
      <c r="F19" s="406">
        <f>IF(OR($A19&gt;F$1,Bases!$D$36+$A19-1&lt;F$1),0,F12/Bases!$D$36)</f>
        <v>0</v>
      </c>
      <c r="G19" s="406">
        <f>IF(OR($A19&gt;G$1,Bases!$D$36+$A19-1&lt;G$1),0,G12/Bases!$D$36)</f>
        <v>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</row>
    <row r="20" spans="1:84" x14ac:dyDescent="0.25">
      <c r="A20" s="154">
        <v>2</v>
      </c>
      <c r="B20" s="76" t="s">
        <v>97</v>
      </c>
      <c r="C20" s="419">
        <f>IF(OR($A20&gt;C$1,Bases!$D$36+$A20-1&lt;C$1),0,C13/Bases!$D$36)</f>
        <v>0</v>
      </c>
      <c r="D20" s="406">
        <f>IF(OR($A20&gt;D$1,Bases!$D$36+$A20-1&lt;D$1),0,D13/Bases!$D$36)</f>
        <v>0</v>
      </c>
      <c r="E20" s="406">
        <f>IF(OR($A20&gt;E$1,Bases!$D$36+$A20-1&lt;E$1),0,E13/Bases!$D$36)</f>
        <v>0</v>
      </c>
      <c r="F20" s="406">
        <f>IF(OR($A20&gt;F$1,Bases!$D$36+$A20-1&lt;F$1),0,F13/Bases!$D$36)</f>
        <v>0</v>
      </c>
      <c r="G20" s="406">
        <f>IF(OR($A20&gt;G$1,Bases!$D$36+$A20-1&lt;G$1),0,G13/Bases!$D$36)</f>
        <v>0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</row>
    <row r="21" spans="1:84" x14ac:dyDescent="0.25">
      <c r="A21" s="154">
        <v>3</v>
      </c>
      <c r="B21" s="76" t="s">
        <v>98</v>
      </c>
      <c r="C21" s="419">
        <f>IF(OR($A21&gt;C$1,Bases!$D$36+$A21-1&lt;C$1),0,C14/Bases!$D$36)</f>
        <v>0</v>
      </c>
      <c r="D21" s="419">
        <f>IF(OR($A21&gt;D$1,Bases!$D$36+$A21-1&lt;D$1),0,D14/Bases!$D$36)</f>
        <v>0</v>
      </c>
      <c r="E21" s="419">
        <f>IF(OR($A21&gt;E$1,Bases!$D$36+$A21-1&lt;E$1),0,E14/Bases!$D$36)</f>
        <v>0</v>
      </c>
      <c r="F21" s="419">
        <f>IF(OR($A21&gt;F$1,Bases!$D$36+$A21-1&lt;F$1),0,F14/Bases!$D$36)</f>
        <v>0</v>
      </c>
      <c r="G21" s="419">
        <f>IF(OR($A21&gt;G$1,Bases!$D$36+$A21-1&lt;G$1),0,G14/Bases!$D$36)</f>
        <v>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</row>
    <row r="22" spans="1:84" x14ac:dyDescent="0.25">
      <c r="A22" s="154">
        <v>4</v>
      </c>
      <c r="B22" s="76" t="s">
        <v>99</v>
      </c>
      <c r="C22" s="419">
        <f>IF(OR($A22&gt;C$1,Bases!$D$36+$A22-1&lt;C$1),0,C15/Bases!$D$36)</f>
        <v>0</v>
      </c>
      <c r="D22" s="419">
        <f>IF(OR($A22&gt;D$1,Bases!$D$36+$A22-1&lt;D$1),0,D15/Bases!$D$36)</f>
        <v>0</v>
      </c>
      <c r="E22" s="419">
        <f>IF(OR($A22&gt;E$1,Bases!$D$36+$A22-1&lt;E$1),0,E15/Bases!$D$36)</f>
        <v>0</v>
      </c>
      <c r="F22" s="419">
        <f>IF(OR($A22&gt;F$1,Bases!$D$36+$A22-1&lt;F$1),0,F15/Bases!$D$36)</f>
        <v>0</v>
      </c>
      <c r="G22" s="419">
        <f>IF(OR($A22&gt;G$1,Bases!$D$36+$A22-1&lt;G$1),0,G15/Bases!$D$36)</f>
        <v>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</row>
    <row r="23" spans="1:84" x14ac:dyDescent="0.25">
      <c r="A23" s="154">
        <v>5</v>
      </c>
      <c r="B23" s="76" t="s">
        <v>100</v>
      </c>
      <c r="C23" s="419">
        <f>IF(OR($A23&gt;C$1,Bases!$D$36+$A23-1&lt;C$1),0,C16/Bases!$D$36)</f>
        <v>0</v>
      </c>
      <c r="D23" s="419">
        <f>IF(OR($A23&gt;D$1,Bases!$D$36+$A23-1&lt;D$1),0,D16/Bases!$D$36)</f>
        <v>0</v>
      </c>
      <c r="E23" s="419">
        <f>IF(OR($A23&gt;E$1,Bases!$D$36+$A23-1&lt;E$1),0,E16/Bases!$D$36)</f>
        <v>0</v>
      </c>
      <c r="F23" s="419">
        <f>IF(OR($A23&gt;F$1,Bases!$D$36+$A23-1&lt;F$1),0,F16/Bases!$D$36)</f>
        <v>0</v>
      </c>
      <c r="G23" s="419">
        <f>IF(OR($A23&gt;G$1,Bases!$D$36+$A23-1&lt;G$1),0,G16/Bases!$D$36)</f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</row>
    <row r="24" spans="1:84" x14ac:dyDescent="0.25">
      <c r="A24" s="1"/>
      <c r="B24" s="49" t="s">
        <v>104</v>
      </c>
      <c r="C24" s="453">
        <f>SUM(C19:C23)</f>
        <v>0</v>
      </c>
      <c r="D24" s="447">
        <f>SUM(D19:D23)</f>
        <v>0</v>
      </c>
      <c r="E24" s="447">
        <f>SUM(E19:E23)</f>
        <v>0</v>
      </c>
      <c r="F24" s="447">
        <f>SUM(F19:F23)</f>
        <v>0</v>
      </c>
      <c r="G24" s="447">
        <f>SUM(G19:G23)</f>
        <v>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</row>
    <row r="25" spans="1:84" x14ac:dyDescent="0.25">
      <c r="A25" s="30"/>
      <c r="B25" s="75" t="s">
        <v>105</v>
      </c>
      <c r="C25" s="451"/>
      <c r="D25" s="451"/>
      <c r="E25" s="451"/>
      <c r="F25" s="451"/>
      <c r="G25" s="451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</row>
    <row r="26" spans="1:84" x14ac:dyDescent="0.25">
      <c r="A26" s="154">
        <v>1</v>
      </c>
      <c r="B26" s="67" t="s">
        <v>96</v>
      </c>
      <c r="C26" s="419">
        <f>IF($A26&gt;=C$1,0,B33*Bases!F$9)</f>
        <v>0</v>
      </c>
      <c r="D26" s="406">
        <f>IF($A26&gt;=D$1,0,C33*Bases!G$9)</f>
        <v>0</v>
      </c>
      <c r="E26" s="406">
        <f>IF($A26&gt;=E$1,0,D33*Bases!H$9)</f>
        <v>0</v>
      </c>
      <c r="F26" s="406">
        <f>IF($A26&gt;=F$1,0,E33*Bases!I$9)</f>
        <v>0</v>
      </c>
      <c r="G26" s="406">
        <f>IF($A26&gt;=G$1,0,F33*Bases!J$9)</f>
        <v>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</row>
    <row r="27" spans="1:84" x14ac:dyDescent="0.25">
      <c r="A27" s="154">
        <v>2</v>
      </c>
      <c r="B27" s="67" t="s">
        <v>97</v>
      </c>
      <c r="C27" s="419">
        <f>IF($A27&gt;=C$1,0,B34*Bases!F$9)</f>
        <v>0</v>
      </c>
      <c r="D27" s="406">
        <f>IF($A27&gt;=D$1,0,C34*Bases!G$9)</f>
        <v>0</v>
      </c>
      <c r="E27" s="406">
        <f>IF($A27&gt;=E$1,0,D34*Bases!H$9)</f>
        <v>0</v>
      </c>
      <c r="F27" s="406">
        <f>IF($A27&gt;=F$1,0,E34*Bases!I$9)</f>
        <v>0</v>
      </c>
      <c r="G27" s="406">
        <f>IF($A27&gt;=G$1,0,F34*Bases!J$9)</f>
        <v>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</row>
    <row r="28" spans="1:84" x14ac:dyDescent="0.25">
      <c r="A28" s="154">
        <v>3</v>
      </c>
      <c r="B28" s="67" t="s">
        <v>98</v>
      </c>
      <c r="C28" s="419">
        <f>IF($A28&gt;=C$1,0,B35*Bases!F$9)</f>
        <v>0</v>
      </c>
      <c r="D28" s="406">
        <f>IF($A28&gt;=D$1,0,C35*Bases!G$9)</f>
        <v>0</v>
      </c>
      <c r="E28" s="406">
        <f>IF($A28&gt;=E$1,0,D35*Bases!H$9)</f>
        <v>0</v>
      </c>
      <c r="F28" s="406">
        <f>IF($A28&gt;=F$1,0,E35*Bases!I$9)</f>
        <v>0</v>
      </c>
      <c r="G28" s="406">
        <f>IF($A28&gt;=G$1,0,F35*Bases!J$9)</f>
        <v>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</row>
    <row r="29" spans="1:84" x14ac:dyDescent="0.25">
      <c r="A29" s="154">
        <v>4</v>
      </c>
      <c r="B29" s="67" t="s">
        <v>99</v>
      </c>
      <c r="C29" s="419">
        <f>IF($A29&gt;=C$1,0,B36*Bases!F$9)</f>
        <v>0</v>
      </c>
      <c r="D29" s="406">
        <f>IF($A29&gt;=D$1,0,C36*Bases!G$9)</f>
        <v>0</v>
      </c>
      <c r="E29" s="406">
        <f>IF($A29&gt;=E$1,0,D36*Bases!H$9)</f>
        <v>0</v>
      </c>
      <c r="F29" s="406">
        <f>IF($A29&gt;=F$1,0,E36*Bases!I$9)</f>
        <v>0</v>
      </c>
      <c r="G29" s="406">
        <f>IF($A29&gt;=G$1,0,F36*Bases!J$9)</f>
        <v>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</row>
    <row r="30" spans="1:84" x14ac:dyDescent="0.25">
      <c r="A30" s="154">
        <v>5</v>
      </c>
      <c r="B30" s="67" t="s">
        <v>100</v>
      </c>
      <c r="C30" s="419">
        <f>IF($A30&gt;=C$1,0,B37*Bases!F$9)</f>
        <v>0</v>
      </c>
      <c r="D30" s="406">
        <f>IF($A30&gt;=D$1,0,C37*Bases!G$9)</f>
        <v>0</v>
      </c>
      <c r="E30" s="406">
        <f>IF($A30&gt;=E$1,0,D37*Bases!H$9)</f>
        <v>0</v>
      </c>
      <c r="F30" s="406">
        <f>IF($A30&gt;=F$1,0,E37*Bases!I$9)</f>
        <v>0</v>
      </c>
      <c r="G30" s="406">
        <f>IF($A30&gt;=G$1,0,F37*Bases!J$9)</f>
        <v>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</row>
    <row r="31" spans="1:84" x14ac:dyDescent="0.25">
      <c r="A31" s="1"/>
      <c r="B31" s="153" t="s">
        <v>106</v>
      </c>
      <c r="C31" s="419">
        <f>SUM(C26:C30)</f>
        <v>0</v>
      </c>
      <c r="D31" s="406">
        <f>SUM(D26:D30)</f>
        <v>0</v>
      </c>
      <c r="E31" s="406">
        <f>SUM(E26:E30)</f>
        <v>0</v>
      </c>
      <c r="F31" s="406">
        <f>SUM(F26:F30)</f>
        <v>0</v>
      </c>
      <c r="G31" s="406">
        <f>SUM(G26:G30)</f>
        <v>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</row>
    <row r="32" spans="1:84" x14ac:dyDescent="0.25">
      <c r="A32" s="30"/>
      <c r="B32" s="75" t="s">
        <v>107</v>
      </c>
      <c r="C32" s="451"/>
      <c r="D32" s="451"/>
      <c r="E32" s="451"/>
      <c r="F32" s="451"/>
      <c r="G32" s="451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</row>
    <row r="33" spans="1:84" x14ac:dyDescent="0.25">
      <c r="A33" s="154">
        <v>1</v>
      </c>
      <c r="B33" s="76" t="s">
        <v>96</v>
      </c>
      <c r="C33" s="453">
        <f t="shared" ref="C33:G37" si="1">IF($A33&gt;C$1,0,IF($A33=C$1,C19,B33+C19+C26))</f>
        <v>0</v>
      </c>
      <c r="D33" s="447">
        <f t="shared" si="1"/>
        <v>0</v>
      </c>
      <c r="E33" s="447">
        <f t="shared" si="1"/>
        <v>0</v>
      </c>
      <c r="F33" s="447">
        <f t="shared" si="1"/>
        <v>0</v>
      </c>
      <c r="G33" s="447">
        <f t="shared" si="1"/>
        <v>0</v>
      </c>
      <c r="H33" s="3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</row>
    <row r="34" spans="1:84" x14ac:dyDescent="0.25">
      <c r="A34" s="154">
        <v>2</v>
      </c>
      <c r="B34" s="76" t="s">
        <v>97</v>
      </c>
      <c r="C34" s="453">
        <f t="shared" si="1"/>
        <v>0</v>
      </c>
      <c r="D34" s="447">
        <f t="shared" si="1"/>
        <v>0</v>
      </c>
      <c r="E34" s="447">
        <f t="shared" si="1"/>
        <v>0</v>
      </c>
      <c r="F34" s="447">
        <f t="shared" si="1"/>
        <v>0</v>
      </c>
      <c r="G34" s="447">
        <f t="shared" si="1"/>
        <v>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</row>
    <row r="35" spans="1:84" x14ac:dyDescent="0.25">
      <c r="A35" s="154">
        <v>3</v>
      </c>
      <c r="B35" s="76" t="s">
        <v>98</v>
      </c>
      <c r="C35" s="453">
        <f t="shared" si="1"/>
        <v>0</v>
      </c>
      <c r="D35" s="447">
        <f t="shared" si="1"/>
        <v>0</v>
      </c>
      <c r="E35" s="447">
        <f t="shared" si="1"/>
        <v>0</v>
      </c>
      <c r="F35" s="447">
        <f t="shared" si="1"/>
        <v>0</v>
      </c>
      <c r="G35" s="447">
        <f t="shared" si="1"/>
        <v>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</row>
    <row r="36" spans="1:84" x14ac:dyDescent="0.25">
      <c r="A36" s="154">
        <v>4</v>
      </c>
      <c r="B36" s="76" t="s">
        <v>99</v>
      </c>
      <c r="C36" s="453">
        <f t="shared" si="1"/>
        <v>0</v>
      </c>
      <c r="D36" s="447">
        <f t="shared" si="1"/>
        <v>0</v>
      </c>
      <c r="E36" s="447">
        <f t="shared" si="1"/>
        <v>0</v>
      </c>
      <c r="F36" s="447">
        <f t="shared" si="1"/>
        <v>0</v>
      </c>
      <c r="G36" s="447">
        <f t="shared" si="1"/>
        <v>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</row>
    <row r="37" spans="1:84" x14ac:dyDescent="0.25">
      <c r="A37" s="154">
        <v>5</v>
      </c>
      <c r="B37" s="76" t="s">
        <v>100</v>
      </c>
      <c r="C37" s="453">
        <f t="shared" si="1"/>
        <v>0</v>
      </c>
      <c r="D37" s="447">
        <f t="shared" si="1"/>
        <v>0</v>
      </c>
      <c r="E37" s="447">
        <f t="shared" si="1"/>
        <v>0</v>
      </c>
      <c r="F37" s="447">
        <f t="shared" si="1"/>
        <v>0</v>
      </c>
      <c r="G37" s="447">
        <f t="shared" si="1"/>
        <v>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</row>
    <row r="38" spans="1:84" x14ac:dyDescent="0.25">
      <c r="A38" s="1"/>
      <c r="B38" s="49" t="s">
        <v>108</v>
      </c>
      <c r="C38" s="453">
        <f>SUM(C33:C37)</f>
        <v>0</v>
      </c>
      <c r="D38" s="447">
        <f>SUM(D33:D37)</f>
        <v>0</v>
      </c>
      <c r="E38" s="447">
        <f>SUM(E33:E37)</f>
        <v>0</v>
      </c>
      <c r="F38" s="447">
        <f>SUM(F33:F37)</f>
        <v>0</v>
      </c>
      <c r="G38" s="447">
        <f>SUM(G33:G37)</f>
        <v>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</row>
    <row r="39" spans="1:8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</row>
    <row r="40" spans="1:84" hidden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</row>
    <row r="41" spans="1:84" hidden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</row>
    <row r="42" spans="1:84" hidden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</row>
    <row r="43" spans="1:84" hidden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</row>
    <row r="44" spans="1:84" hidden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</row>
    <row r="45" spans="1:84" hidden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</row>
    <row r="46" spans="1:84" hidden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</row>
    <row r="47" spans="1:84" hidden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</row>
    <row r="48" spans="1:84" hidden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</row>
    <row r="49" spans="1:84" hidden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</row>
    <row r="50" spans="1:84" hidden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</row>
    <row r="51" spans="1:84" hidden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</row>
    <row r="52" spans="1:84" hidden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</row>
    <row r="53" spans="1:84" hidden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</row>
    <row r="54" spans="1:84" hidden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</row>
    <row r="55" spans="1:84" hidden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</row>
    <row r="56" spans="1:84" hidden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</row>
    <row r="57" spans="1:84" hidden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</row>
    <row r="58" spans="1:84" hidden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</row>
    <row r="59" spans="1:84" hidden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</row>
    <row r="60" spans="1:84" hidden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</row>
    <row r="61" spans="1:84" hidden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</row>
    <row r="62" spans="1:84" hidden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</row>
    <row r="63" spans="1:84" hidden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</row>
    <row r="64" spans="1:84" hidden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</row>
    <row r="65" spans="1:84" hidden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</row>
    <row r="66" spans="1:84" hidden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</row>
    <row r="67" spans="1:84" hidden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</row>
    <row r="68" spans="1:84" hidden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</row>
    <row r="69" spans="1:84" hidden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</row>
    <row r="70" spans="1:84" hidden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</row>
    <row r="71" spans="1:84" hidden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</row>
    <row r="72" spans="1:84" hidden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</row>
    <row r="73" spans="1:84" hidden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</row>
    <row r="74" spans="1:84" hidden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</row>
    <row r="75" spans="1:84" hidden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</row>
    <row r="76" spans="1:84" hidden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</row>
    <row r="77" spans="1:84" hidden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</row>
    <row r="78" spans="1:84" hidden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</row>
    <row r="79" spans="1:84" hidden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</row>
    <row r="80" spans="1:84" hidden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</row>
    <row r="81" spans="1:84" hidden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</row>
    <row r="82" spans="1:84" hidden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</row>
    <row r="83" spans="1:84" hidden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</row>
    <row r="84" spans="1:84" hidden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</row>
    <row r="85" spans="1:84" hidden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</row>
    <row r="86" spans="1:84" hidden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</row>
    <row r="87" spans="1:84" hidden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</row>
    <row r="88" spans="1:84" hidden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</row>
    <row r="89" spans="1:84" hidden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</row>
    <row r="90" spans="1:84" hidden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</row>
    <row r="91" spans="1:84" hidden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</row>
    <row r="92" spans="1:84" hidden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</row>
    <row r="93" spans="1:84" hidden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</row>
    <row r="94" spans="1:84" hidden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</row>
    <row r="95" spans="1:84" hidden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</row>
    <row r="96" spans="1:84" hidden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</row>
    <row r="97" spans="1:84" hidden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</row>
    <row r="98" spans="1:84" hidden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</row>
    <row r="99" spans="1:84" hidden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</row>
    <row r="100" spans="1:84" hidden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</row>
    <row r="101" spans="1:84" hidden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</row>
    <row r="102" spans="1:84" hidden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</row>
    <row r="103" spans="1:84" hidden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</row>
    <row r="104" spans="1:84" hidden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</row>
    <row r="105" spans="1:84" hidden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</row>
    <row r="106" spans="1:84" hidden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</row>
    <row r="107" spans="1:84" hidden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</row>
    <row r="108" spans="1:84" hidden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</row>
    <row r="109" spans="1:84" hidden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</row>
    <row r="110" spans="1:84" hidden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</row>
    <row r="111" spans="1:84" hidden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</row>
    <row r="112" spans="1:84" hidden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</row>
    <row r="113" spans="1:84" hidden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</row>
    <row r="114" spans="1:84" hidden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</row>
    <row r="115" spans="1:84" hidden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</row>
    <row r="116" spans="1:84" hidden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</row>
    <row r="117" spans="1:84" hidden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</row>
    <row r="118" spans="1:84" hidden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</row>
    <row r="119" spans="1:84" hidden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</row>
    <row r="120" spans="1:84" hidden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</row>
    <row r="121" spans="1:84" hidden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</row>
    <row r="122" spans="1:84" hidden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</row>
    <row r="123" spans="1:84" hidden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</row>
    <row r="124" spans="1:84" hidden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</row>
    <row r="125" spans="1:84" hidden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</row>
    <row r="126" spans="1:84" hidden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</row>
    <row r="127" spans="1:84" hidden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</row>
    <row r="128" spans="1:84" hidden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</row>
    <row r="129" spans="1:84" hidden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</row>
    <row r="130" spans="1:84" hidden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</row>
    <row r="131" spans="1:84" hidden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</row>
    <row r="132" spans="1:84" hidden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</row>
    <row r="133" spans="1:84" hidden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</row>
    <row r="134" spans="1:84" hidden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</row>
    <row r="135" spans="1:84" hidden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</row>
    <row r="136" spans="1:84" hidden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</row>
    <row r="137" spans="1:84" hidden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</row>
    <row r="138" spans="1:84" hidden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</row>
    <row r="139" spans="1:84" hidden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</row>
    <row r="140" spans="1:84" hidden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</row>
    <row r="141" spans="1:84" hidden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</row>
    <row r="142" spans="1:84" hidden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</row>
    <row r="143" spans="1:84" hidden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</row>
    <row r="144" spans="1:84" hidden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</row>
    <row r="145" spans="1:84" hidden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</row>
    <row r="146" spans="1:84" hidden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</row>
    <row r="147" spans="1:84" hidden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</row>
    <row r="148" spans="1:84" hidden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</row>
    <row r="149" spans="1:84" hidden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</row>
    <row r="150" spans="1:84" hidden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</row>
    <row r="151" spans="1:84" hidden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</row>
    <row r="152" spans="1:84" hidden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</row>
    <row r="153" spans="1:84" hidden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</row>
    <row r="154" spans="1:84" hidden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</row>
    <row r="155" spans="1:84" hidden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</row>
    <row r="156" spans="1:84" hidden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</row>
    <row r="157" spans="1:84" hidden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</row>
    <row r="158" spans="1:84" hidden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</row>
    <row r="159" spans="1:84" hidden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</row>
    <row r="160" spans="1:84" hidden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</row>
    <row r="161" spans="1:84" hidden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</row>
    <row r="162" spans="1:84" hidden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</row>
    <row r="163" spans="1:84" hidden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</row>
    <row r="164" spans="1:84" hidden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</row>
    <row r="165" spans="1:84" hidden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</row>
    <row r="166" spans="1:84" hidden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</row>
  </sheetData>
  <sheetProtection password="CA1B" sheet="1"/>
  <hyperlinks>
    <hyperlink ref="B1" location="Inicio!A1" display="Inicio" xr:uid="{00000000-0004-0000-1400-000000000000}"/>
  </hyperlinks>
  <pageMargins left="0.74803149606299213" right="0.74803149606299213" top="0.98425196850393704" bottom="0.98425196850393704" header="0.31496062992125984" footer="0.31496062992125984"/>
  <pageSetup paperSize="9" orientation="portrait" horizontalDpi="0" verticalDpi="0"/>
  <headerFooter>
    <oddHeader>&amp;C&amp;"Arial,Negrita"&amp;12&amp;A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9">
    <tabColor indexed="30"/>
  </sheetPr>
  <dimension ref="A1:H39"/>
  <sheetViews>
    <sheetView showGridLines="0" workbookViewId="0">
      <selection activeCell="G1" sqref="G1"/>
    </sheetView>
  </sheetViews>
  <sheetFormatPr baseColWidth="10" defaultColWidth="0" defaultRowHeight="13.2" zeroHeight="1" x14ac:dyDescent="0.25"/>
  <cols>
    <col min="1" max="1" width="2.21875" style="1" customWidth="1"/>
    <col min="2" max="2" width="29.44140625" style="1" customWidth="1"/>
    <col min="3" max="4" width="16.21875" style="1" customWidth="1"/>
    <col min="5" max="7" width="15.33203125" style="1" customWidth="1"/>
    <col min="8" max="8" width="12.77734375" style="1" hidden="1" customWidth="1"/>
    <col min="9" max="16384" width="0" style="1" hidden="1"/>
  </cols>
  <sheetData>
    <row r="1" spans="1:7" ht="17.399999999999999" x14ac:dyDescent="0.25">
      <c r="B1" s="329" t="s">
        <v>350</v>
      </c>
      <c r="C1" s="161">
        <v>1</v>
      </c>
      <c r="D1" s="161">
        <v>2</v>
      </c>
      <c r="E1" s="161">
        <v>3</v>
      </c>
      <c r="F1" s="161">
        <v>4</v>
      </c>
      <c r="G1" s="161">
        <v>5</v>
      </c>
    </row>
    <row r="2" spans="1:7" x14ac:dyDescent="0.25">
      <c r="B2" s="157" t="s">
        <v>95</v>
      </c>
      <c r="C2" s="448"/>
      <c r="D2" s="448"/>
      <c r="E2" s="448"/>
      <c r="F2" s="448"/>
      <c r="G2" s="448"/>
    </row>
    <row r="3" spans="1:7" x14ac:dyDescent="0.25">
      <c r="B3" s="74" t="s">
        <v>46</v>
      </c>
      <c r="C3" s="452">
        <f>' Inversiones Fijas y Diferidas'!H95</f>
        <v>0</v>
      </c>
      <c r="D3" s="452">
        <f>' Inversiones Fijas y Diferidas'!I95</f>
        <v>0</v>
      </c>
      <c r="E3" s="452">
        <f>' Inversiones Fijas y Diferidas'!J95</f>
        <v>0</v>
      </c>
      <c r="F3" s="452">
        <f>' Inversiones Fijas y Diferidas'!K95</f>
        <v>0</v>
      </c>
      <c r="G3" s="452">
        <f>' Inversiones Fijas y Diferidas'!L95</f>
        <v>0</v>
      </c>
    </row>
    <row r="4" spans="1:7" s="18" customFormat="1" x14ac:dyDescent="0.25">
      <c r="B4" s="75" t="s">
        <v>12</v>
      </c>
      <c r="C4" s="450"/>
      <c r="D4" s="450"/>
      <c r="E4" s="450"/>
      <c r="F4" s="450"/>
      <c r="G4" s="450"/>
    </row>
    <row r="5" spans="1:7" x14ac:dyDescent="0.25">
      <c r="A5" s="154">
        <v>1</v>
      </c>
      <c r="B5" s="76" t="s">
        <v>96</v>
      </c>
      <c r="C5" s="419">
        <f>IF($A5&gt;C$1,0,IF($A5=C$1,C$3*Bases!F$9,B12*Bases!F$9))</f>
        <v>0</v>
      </c>
      <c r="D5" s="406">
        <f>IF($A5&gt;D$1,0,IF($A5=D$1,D$3*Bases!G$9,C12*Bases!G$9))</f>
        <v>0</v>
      </c>
      <c r="E5" s="406">
        <f>IF($A5&gt;E$1,0,IF($A5=E$1,E$3*Bases!H$9,D12*Bases!H$9))</f>
        <v>0</v>
      </c>
      <c r="F5" s="406">
        <f>IF($A5&gt;F$1,0,IF($A5=F$1,F$3*Bases!I$9,E12*Bases!I$9))</f>
        <v>0</v>
      </c>
      <c r="G5" s="406">
        <f>IF($A5&gt;G$1,0,IF($A5=G$1,G$3*Bases!J$9,F12*Bases!J$9))</f>
        <v>0</v>
      </c>
    </row>
    <row r="6" spans="1:7" x14ac:dyDescent="0.25">
      <c r="A6" s="154">
        <v>2</v>
      </c>
      <c r="B6" s="76" t="s">
        <v>97</v>
      </c>
      <c r="C6" s="419">
        <f>IF($A6&gt;C$1,0,IF($A6=C$1,C$3*Bases!F$9,B13*Bases!F$9))</f>
        <v>0</v>
      </c>
      <c r="D6" s="406">
        <f>IF($A6&gt;D$1,0,IF($A6=D$1,D$3*Bases!G$9,C13*Bases!G$9))</f>
        <v>0</v>
      </c>
      <c r="E6" s="406">
        <f>IF($A6&gt;E$1,0,IF($A6=E$1,E$3*Bases!H$9,D13*Bases!H$9))</f>
        <v>0</v>
      </c>
      <c r="F6" s="406">
        <f>IF($A6&gt;F$1,0,IF($A6=F$1,F$3*Bases!I$9,E13*Bases!I$9))</f>
        <v>0</v>
      </c>
      <c r="G6" s="406">
        <f>IF($A6&gt;G$1,0,IF($A6=G$1,G$3*Bases!J$9,F13*Bases!J$9))</f>
        <v>0</v>
      </c>
    </row>
    <row r="7" spans="1:7" x14ac:dyDescent="0.25">
      <c r="A7" s="154">
        <v>3</v>
      </c>
      <c r="B7" s="76" t="s">
        <v>98</v>
      </c>
      <c r="C7" s="419">
        <f>IF($A7&gt;C$1,0,IF($A7=C$1,C$3*Bases!F$9,B14*Bases!F$9))</f>
        <v>0</v>
      </c>
      <c r="D7" s="406">
        <f>IF($A7&gt;D$1,0,IF($A7=D$1,D$3*Bases!G$9,C14*Bases!G$9))</f>
        <v>0</v>
      </c>
      <c r="E7" s="406">
        <f>IF($A7&gt;E$1,0,IF($A7=E$1,E$3*Bases!H$9,D14*Bases!H$9))</f>
        <v>0</v>
      </c>
      <c r="F7" s="406">
        <f>IF($A7&gt;F$1,0,IF($A7=F$1,F$3*Bases!I$9,E14*Bases!I$9))</f>
        <v>0</v>
      </c>
      <c r="G7" s="406">
        <f>IF($A7&gt;G$1,0,IF($A7=G$1,G$3*Bases!J$9,F14*Bases!J$9))</f>
        <v>0</v>
      </c>
    </row>
    <row r="8" spans="1:7" x14ac:dyDescent="0.25">
      <c r="A8" s="154">
        <v>4</v>
      </c>
      <c r="B8" s="76" t="s">
        <v>99</v>
      </c>
      <c r="C8" s="419">
        <f>IF($A8&gt;C$1,0,IF($A8=C$1,C$3*Bases!F$9,B15*Bases!F$9))</f>
        <v>0</v>
      </c>
      <c r="D8" s="406">
        <f>IF($A8&gt;D$1,0,IF($A8=D$1,D$3*Bases!G$9,C15*Bases!G$9))</f>
        <v>0</v>
      </c>
      <c r="E8" s="406">
        <f>IF($A8&gt;E$1,0,IF($A8=E$1,E$3*Bases!H$9,D15*Bases!H$9))</f>
        <v>0</v>
      </c>
      <c r="F8" s="406">
        <f>IF($A8&gt;F$1,0,IF($A8=F$1,F$3*Bases!I$9,E15*Bases!I$9))</f>
        <v>0</v>
      </c>
      <c r="G8" s="406">
        <f>IF($A8&gt;G$1,0,IF($A8=G$1,G$3*Bases!J$9,F15*Bases!J$9))</f>
        <v>0</v>
      </c>
    </row>
    <row r="9" spans="1:7" x14ac:dyDescent="0.25">
      <c r="A9" s="154">
        <v>5</v>
      </c>
      <c r="B9" s="76" t="s">
        <v>100</v>
      </c>
      <c r="C9" s="419">
        <f>IF($A9&gt;C$1,0,IF($A9=C$1,C$3*Bases!F$9,B16*Bases!F$9))</f>
        <v>0</v>
      </c>
      <c r="D9" s="406">
        <f>IF($A9&gt;D$1,0,IF($A9=D$1,D$3*Bases!G$9,C16*Bases!G$9))</f>
        <v>0</v>
      </c>
      <c r="E9" s="406">
        <f>IF($A9&gt;E$1,0,IF($A9=E$1,E$3*Bases!H$9,D16*Bases!H$9))</f>
        <v>0</v>
      </c>
      <c r="F9" s="406">
        <f>IF($A9&gt;F$1,0,IF($A9=F$1,F$3*Bases!I$9,E16*Bases!I$9))</f>
        <v>0</v>
      </c>
      <c r="G9" s="406">
        <f>IF($A9&gt;G$1,0,IF($A9=G$1,G$3*Bases!J$9,F16*Bases!J$9))</f>
        <v>0</v>
      </c>
    </row>
    <row r="10" spans="1:7" x14ac:dyDescent="0.25">
      <c r="B10" s="49" t="s">
        <v>101</v>
      </c>
      <c r="C10" s="419">
        <f>SUM(C5:C9)</f>
        <v>0</v>
      </c>
      <c r="D10" s="406">
        <f>SUM(D5:D9)</f>
        <v>0</v>
      </c>
      <c r="E10" s="406">
        <f>SUM(E5:E9)</f>
        <v>0</v>
      </c>
      <c r="F10" s="406">
        <f>SUM(F5:F9)</f>
        <v>0</v>
      </c>
      <c r="G10" s="406">
        <f>SUM(G5:G9)</f>
        <v>0</v>
      </c>
    </row>
    <row r="11" spans="1:7" s="30" customFormat="1" x14ac:dyDescent="0.25">
      <c r="B11" s="75" t="s">
        <v>102</v>
      </c>
      <c r="C11" s="451"/>
      <c r="D11" s="451"/>
      <c r="E11" s="451"/>
      <c r="F11" s="451"/>
      <c r="G11" s="451"/>
    </row>
    <row r="12" spans="1:7" x14ac:dyDescent="0.25">
      <c r="A12" s="154">
        <v>1</v>
      </c>
      <c r="B12" s="76" t="s">
        <v>96</v>
      </c>
      <c r="C12" s="419">
        <f>IF($A12&gt;C$1,0,IF($A12=C$1,C$3+C5,B12+C5))</f>
        <v>0</v>
      </c>
      <c r="D12" s="406">
        <f>IF($A12&gt;D$1,0,IF($A12=D$1,D$3+D5,C12+D5))</f>
        <v>0</v>
      </c>
      <c r="E12" s="406">
        <f>IF($A12&gt;E$1,0,IF($A12=E$1,E$3+E5,D12+E5))</f>
        <v>0</v>
      </c>
      <c r="F12" s="406">
        <f>IF($A12&gt;F$1,0,IF($A12=F$1,F$3+F5,E12+F5))</f>
        <v>0</v>
      </c>
      <c r="G12" s="406">
        <f>IF($A12&gt;G$1,0,IF($A12=G$1,G$3+G5,F12+G5))</f>
        <v>0</v>
      </c>
    </row>
    <row r="13" spans="1:7" x14ac:dyDescent="0.25">
      <c r="A13" s="154">
        <v>2</v>
      </c>
      <c r="B13" s="76" t="s">
        <v>97</v>
      </c>
      <c r="C13" s="419">
        <f t="shared" ref="C13:G16" si="0">IF($A13&gt;C$1,0,IF($A13=C$1,C$3+C6,B13+C6))</f>
        <v>0</v>
      </c>
      <c r="D13" s="406">
        <f t="shared" si="0"/>
        <v>0</v>
      </c>
      <c r="E13" s="406">
        <f t="shared" si="0"/>
        <v>0</v>
      </c>
      <c r="F13" s="406">
        <f t="shared" si="0"/>
        <v>0</v>
      </c>
      <c r="G13" s="406">
        <f t="shared" si="0"/>
        <v>0</v>
      </c>
    </row>
    <row r="14" spans="1:7" x14ac:dyDescent="0.25">
      <c r="A14" s="154">
        <v>3</v>
      </c>
      <c r="B14" s="76" t="s">
        <v>98</v>
      </c>
      <c r="C14" s="419">
        <f t="shared" si="0"/>
        <v>0</v>
      </c>
      <c r="D14" s="406">
        <f t="shared" si="0"/>
        <v>0</v>
      </c>
      <c r="E14" s="406">
        <f t="shared" si="0"/>
        <v>0</v>
      </c>
      <c r="F14" s="406">
        <f t="shared" si="0"/>
        <v>0</v>
      </c>
      <c r="G14" s="406">
        <f t="shared" si="0"/>
        <v>0</v>
      </c>
    </row>
    <row r="15" spans="1:7" x14ac:dyDescent="0.25">
      <c r="A15" s="154">
        <v>4</v>
      </c>
      <c r="B15" s="76" t="s">
        <v>99</v>
      </c>
      <c r="C15" s="419">
        <f t="shared" si="0"/>
        <v>0</v>
      </c>
      <c r="D15" s="406">
        <f t="shared" si="0"/>
        <v>0</v>
      </c>
      <c r="E15" s="406">
        <f t="shared" si="0"/>
        <v>0</v>
      </c>
      <c r="F15" s="406">
        <f t="shared" si="0"/>
        <v>0</v>
      </c>
      <c r="G15" s="406">
        <f t="shared" si="0"/>
        <v>0</v>
      </c>
    </row>
    <row r="16" spans="1:7" x14ac:dyDescent="0.25">
      <c r="A16" s="154">
        <v>5</v>
      </c>
      <c r="B16" s="76" t="s">
        <v>100</v>
      </c>
      <c r="C16" s="419">
        <f t="shared" si="0"/>
        <v>0</v>
      </c>
      <c r="D16" s="406">
        <f t="shared" si="0"/>
        <v>0</v>
      </c>
      <c r="E16" s="406">
        <f t="shared" si="0"/>
        <v>0</v>
      </c>
      <c r="F16" s="406">
        <f t="shared" si="0"/>
        <v>0</v>
      </c>
      <c r="G16" s="406">
        <f t="shared" si="0"/>
        <v>0</v>
      </c>
    </row>
    <row r="17" spans="1:7" x14ac:dyDescent="0.25">
      <c r="B17" s="49" t="s">
        <v>103</v>
      </c>
      <c r="C17" s="453">
        <f>SUM(C12:C16)</f>
        <v>0</v>
      </c>
      <c r="D17" s="447">
        <f>SUM(D12:D16)</f>
        <v>0</v>
      </c>
      <c r="E17" s="447">
        <f>SUM(E12:E16)</f>
        <v>0</v>
      </c>
      <c r="F17" s="447">
        <f>SUM(F12:F16)</f>
        <v>0</v>
      </c>
      <c r="G17" s="447">
        <f>SUM(G12:G16)</f>
        <v>0</v>
      </c>
    </row>
    <row r="18" spans="1:7" s="30" customFormat="1" ht="13.5" customHeight="1" x14ac:dyDescent="0.25">
      <c r="B18" s="158" t="s">
        <v>18</v>
      </c>
      <c r="C18" s="451"/>
      <c r="D18" s="451"/>
      <c r="E18" s="451"/>
      <c r="F18" s="451"/>
      <c r="G18" s="451"/>
    </row>
    <row r="19" spans="1:7" x14ac:dyDescent="0.25">
      <c r="A19" s="49">
        <v>1</v>
      </c>
      <c r="B19" s="76" t="s">
        <v>96</v>
      </c>
      <c r="C19" s="406">
        <f>IF(OR($A19&gt;C$1,Bases!$D$37+$A19-1&lt;C$1),0,C12/Bases!$D$37)</f>
        <v>0</v>
      </c>
      <c r="D19" s="406">
        <f>IF(OR($A19&gt;D$1,Bases!$D$37+$A19-1&lt;D$1),0,D12/Bases!$D$37)</f>
        <v>0</v>
      </c>
      <c r="E19" s="406">
        <f>IF(OR($A19&gt;E$1,Bases!$D$37+$A19-1&lt;E$1),0,E12/Bases!$D$37)</f>
        <v>0</v>
      </c>
      <c r="F19" s="406">
        <f>IF(OR($A19&gt;F$1,Bases!$D$37+$A19-1&lt;F$1),0,F12/Bases!$D$37)</f>
        <v>0</v>
      </c>
      <c r="G19" s="406">
        <f>IF(OR($A19&gt;G$1,Bases!$D$37+$A19-1&lt;G$1),0,G12/Bases!$D$37)</f>
        <v>0</v>
      </c>
    </row>
    <row r="20" spans="1:7" x14ac:dyDescent="0.25">
      <c r="A20" s="49">
        <v>2</v>
      </c>
      <c r="B20" s="76" t="s">
        <v>97</v>
      </c>
      <c r="C20" s="406">
        <f>IF(OR($A20&gt;C$1,Bases!$D$37+$A20-1&lt;C$1),0,C13/Bases!$D$37)</f>
        <v>0</v>
      </c>
      <c r="D20" s="406">
        <f>IF(OR($A20&gt;D$1,Bases!$D$37+$A20-1&lt;D$1),0,D13/Bases!$D$37)</f>
        <v>0</v>
      </c>
      <c r="E20" s="406">
        <f>IF(OR($A20&gt;E$1,Bases!$D$37+$A20-1&lt;E$1),0,E13/Bases!$D$37)</f>
        <v>0</v>
      </c>
      <c r="F20" s="406">
        <f>IF(OR($A20&gt;F$1,Bases!$D$37+$A20-1&lt;F$1),0,F13/Bases!$D$37)</f>
        <v>0</v>
      </c>
      <c r="G20" s="406">
        <f>IF(OR($A20&gt;G$1,Bases!$D$37+$A20-1&lt;G$1),0,G13/Bases!$D$37)</f>
        <v>0</v>
      </c>
    </row>
    <row r="21" spans="1:7" x14ac:dyDescent="0.25">
      <c r="A21" s="49">
        <v>3</v>
      </c>
      <c r="B21" s="76" t="s">
        <v>98</v>
      </c>
      <c r="C21" s="406">
        <f>IF(OR($A21&gt;C$1,Bases!$D$37+$A21-1&lt;C$1),0,C14/Bases!$D$37)</f>
        <v>0</v>
      </c>
      <c r="D21" s="406">
        <f>IF(OR($A21&gt;D$1,Bases!$D$37+$A21-1&lt;D$1),0,D14/Bases!$D$37)</f>
        <v>0</v>
      </c>
      <c r="E21" s="406">
        <f>IF(OR($A21&gt;E$1,Bases!$D$37+$A21-1&lt;E$1),0,E14/Bases!$D$37)</f>
        <v>0</v>
      </c>
      <c r="F21" s="406">
        <f>IF(OR($A21&gt;F$1,Bases!$D$37+$A21-1&lt;F$1),0,F14/Bases!$D$37)</f>
        <v>0</v>
      </c>
      <c r="G21" s="406">
        <f>IF(OR($A21&gt;G$1,Bases!$D$37+$A21-1&lt;G$1),0,G14/Bases!$D$37)</f>
        <v>0</v>
      </c>
    </row>
    <row r="22" spans="1:7" x14ac:dyDescent="0.25">
      <c r="A22" s="49">
        <v>4</v>
      </c>
      <c r="B22" s="76" t="s">
        <v>99</v>
      </c>
      <c r="C22" s="406">
        <f>IF(OR($A22&gt;C$1,Bases!$D$37+$A22-1&lt;C$1),0,C15/Bases!$D$37)</f>
        <v>0</v>
      </c>
      <c r="D22" s="406">
        <f>IF(OR($A22&gt;D$1,Bases!$D$37+$A22-1&lt;D$1),0,D15/Bases!$D$37)</f>
        <v>0</v>
      </c>
      <c r="E22" s="406">
        <f>IF(OR($A22&gt;E$1,Bases!$D$37+$A22-1&lt;E$1),0,E15/Bases!$D$37)</f>
        <v>0</v>
      </c>
      <c r="F22" s="406">
        <f>IF(OR($A22&gt;F$1,Bases!$D$37+$A22-1&lt;F$1),0,F15/Bases!$D$37)</f>
        <v>0</v>
      </c>
      <c r="G22" s="406">
        <f>IF(OR($A22&gt;G$1,Bases!$D$37+$A22-1&lt;G$1),0,G15/Bases!$D$37)</f>
        <v>0</v>
      </c>
    </row>
    <row r="23" spans="1:7" x14ac:dyDescent="0.25">
      <c r="A23" s="49">
        <v>5</v>
      </c>
      <c r="B23" s="76" t="s">
        <v>100</v>
      </c>
      <c r="C23" s="406">
        <f>IF(OR($A23&gt;C$1,Bases!$D$37+$A23-1&lt;C$1),0,C16/Bases!$D$37)</f>
        <v>0</v>
      </c>
      <c r="D23" s="406">
        <f>IF(OR($A23&gt;D$1,Bases!$D$37+$A23-1&lt;D$1),0,D16/Bases!$D$37)</f>
        <v>0</v>
      </c>
      <c r="E23" s="406">
        <f>IF(OR($A23&gt;E$1,Bases!$D$37+$A23-1&lt;E$1),0,E16/Bases!$D$37)</f>
        <v>0</v>
      </c>
      <c r="F23" s="406">
        <f>IF(OR($A23&gt;F$1,Bases!$D$37+$A23-1&lt;F$1),0,F16/Bases!$D$37)</f>
        <v>0</v>
      </c>
      <c r="G23" s="406">
        <f>IF(OR($A23&gt;G$1,Bases!$D$37+$A23-1&lt;G$1),0,G16/Bases!$D$37)</f>
        <v>0</v>
      </c>
    </row>
    <row r="24" spans="1:7" x14ac:dyDescent="0.25">
      <c r="A24" s="49"/>
      <c r="B24" s="49" t="s">
        <v>104</v>
      </c>
      <c r="C24" s="447">
        <f>SUM(C19:C23)</f>
        <v>0</v>
      </c>
      <c r="D24" s="447">
        <f>SUM(D19:D23)</f>
        <v>0</v>
      </c>
      <c r="E24" s="447">
        <f>SUM(E19:E23)</f>
        <v>0</v>
      </c>
      <c r="F24" s="447">
        <f>SUM(F19:F23)</f>
        <v>0</v>
      </c>
      <c r="G24" s="447">
        <f>SUM(G19:G23)</f>
        <v>0</v>
      </c>
    </row>
    <row r="25" spans="1:7" s="30" customFormat="1" ht="13.5" customHeight="1" x14ac:dyDescent="0.25">
      <c r="B25" s="159" t="s">
        <v>105</v>
      </c>
      <c r="C25" s="451"/>
      <c r="D25" s="451"/>
      <c r="E25" s="451"/>
      <c r="F25" s="451"/>
      <c r="G25" s="451"/>
    </row>
    <row r="26" spans="1:7" x14ac:dyDescent="0.25">
      <c r="A26" s="49">
        <v>1</v>
      </c>
      <c r="B26" s="67" t="s">
        <v>96</v>
      </c>
      <c r="C26" s="406">
        <f>IF($A26&gt;=C$1,0,B33*Bases!F$9)</f>
        <v>0</v>
      </c>
      <c r="D26" s="406">
        <f>IF($A26&gt;=D$1,0,C33*Bases!G$9)</f>
        <v>0</v>
      </c>
      <c r="E26" s="406">
        <f>IF($A26&gt;=E$1,0,D33*Bases!H$9)</f>
        <v>0</v>
      </c>
      <c r="F26" s="406">
        <f>IF($A26&gt;=F$1,0,E33*Bases!I$9)</f>
        <v>0</v>
      </c>
      <c r="G26" s="406">
        <f>IF($A26&gt;=G$1,0,F33*Bases!J$9)</f>
        <v>0</v>
      </c>
    </row>
    <row r="27" spans="1:7" x14ac:dyDescent="0.25">
      <c r="A27" s="49">
        <v>2</v>
      </c>
      <c r="B27" s="67" t="s">
        <v>97</v>
      </c>
      <c r="C27" s="406">
        <f>IF($A27&gt;=C$1,0,B34*Bases!F$9)</f>
        <v>0</v>
      </c>
      <c r="D27" s="406">
        <f>IF($A27&gt;=D$1,0,C34*Bases!G$9)</f>
        <v>0</v>
      </c>
      <c r="E27" s="406">
        <f>IF($A27&gt;=E$1,0,D34*Bases!H$9)</f>
        <v>0</v>
      </c>
      <c r="F27" s="406">
        <f>IF($A27&gt;=F$1,0,E34*Bases!I$9)</f>
        <v>0</v>
      </c>
      <c r="G27" s="406">
        <f>IF($A27&gt;=G$1,0,F34*Bases!J$9)</f>
        <v>0</v>
      </c>
    </row>
    <row r="28" spans="1:7" x14ac:dyDescent="0.25">
      <c r="A28" s="49">
        <v>3</v>
      </c>
      <c r="B28" s="67" t="s">
        <v>98</v>
      </c>
      <c r="C28" s="406">
        <f>IF($A28&gt;=C$1,0,B35*Bases!F$9)</f>
        <v>0</v>
      </c>
      <c r="D28" s="406">
        <f>IF($A28&gt;=D$1,0,C35*Bases!G$9)</f>
        <v>0</v>
      </c>
      <c r="E28" s="406">
        <f>IF($A28&gt;=E$1,0,D35*Bases!H$9)</f>
        <v>0</v>
      </c>
      <c r="F28" s="406">
        <f>IF($A28&gt;=F$1,0,E35*Bases!I$9)</f>
        <v>0</v>
      </c>
      <c r="G28" s="406">
        <f>IF($A28&gt;=G$1,0,F35*Bases!J$9)</f>
        <v>0</v>
      </c>
    </row>
    <row r="29" spans="1:7" x14ac:dyDescent="0.25">
      <c r="A29" s="49">
        <v>4</v>
      </c>
      <c r="B29" s="67" t="s">
        <v>99</v>
      </c>
      <c r="C29" s="406">
        <f>IF($A29&gt;=C$1,0,B36*Bases!F$9)</f>
        <v>0</v>
      </c>
      <c r="D29" s="406">
        <f>IF($A29&gt;=D$1,0,C36*Bases!G$9)</f>
        <v>0</v>
      </c>
      <c r="E29" s="406">
        <f>IF($A29&gt;=E$1,0,D36*Bases!H$9)</f>
        <v>0</v>
      </c>
      <c r="F29" s="406">
        <f>IF($A29&gt;=F$1,0,E36*Bases!I$9)</f>
        <v>0</v>
      </c>
      <c r="G29" s="406">
        <f>IF($A29&gt;=G$1,0,F36*Bases!J$9)</f>
        <v>0</v>
      </c>
    </row>
    <row r="30" spans="1:7" x14ac:dyDescent="0.25">
      <c r="A30" s="49">
        <v>5</v>
      </c>
      <c r="B30" s="67" t="s">
        <v>100</v>
      </c>
      <c r="C30" s="406">
        <f>IF($A30&gt;=C$1,0,B37*Bases!F$9)</f>
        <v>0</v>
      </c>
      <c r="D30" s="406">
        <f>IF($A30&gt;=D$1,0,C37*Bases!G$9)</f>
        <v>0</v>
      </c>
      <c r="E30" s="406">
        <f>IF($A30&gt;=E$1,0,D37*Bases!H$9)</f>
        <v>0</v>
      </c>
      <c r="F30" s="406">
        <f>IF($A30&gt;=F$1,0,E37*Bases!I$9)</f>
        <v>0</v>
      </c>
      <c r="G30" s="406">
        <f>IF($A30&gt;=G$1,0,F37*Bases!J$9)</f>
        <v>0</v>
      </c>
    </row>
    <row r="31" spans="1:7" x14ac:dyDescent="0.25">
      <c r="A31" s="49"/>
      <c r="B31" s="153" t="s">
        <v>106</v>
      </c>
      <c r="C31" s="406">
        <f>SUM(C26:C30)</f>
        <v>0</v>
      </c>
      <c r="D31" s="406">
        <f>SUM(D26:D30)</f>
        <v>0</v>
      </c>
      <c r="E31" s="406">
        <f>SUM(E26:E30)</f>
        <v>0</v>
      </c>
      <c r="F31" s="406">
        <f>SUM(F26:F30)</f>
        <v>0</v>
      </c>
      <c r="G31" s="406">
        <f>SUM(G26:G30)</f>
        <v>0</v>
      </c>
    </row>
    <row r="32" spans="1:7" s="30" customFormat="1" ht="13.5" customHeight="1" x14ac:dyDescent="0.25">
      <c r="B32" s="159" t="s">
        <v>107</v>
      </c>
      <c r="C32" s="451"/>
      <c r="D32" s="451"/>
      <c r="E32" s="451"/>
      <c r="F32" s="451"/>
      <c r="G32" s="451"/>
    </row>
    <row r="33" spans="1:8" x14ac:dyDescent="0.25">
      <c r="A33" s="49">
        <v>1</v>
      </c>
      <c r="B33" s="76" t="s">
        <v>96</v>
      </c>
      <c r="C33" s="447">
        <f>IF($A33&gt;C$1,0,IF($A33=C$1,C19,B33+C19+C26))</f>
        <v>0</v>
      </c>
      <c r="D33" s="447">
        <f>IF($A33&gt;D$1,0,IF($A33=D$1,D19,C33+D19+D26))</f>
        <v>0</v>
      </c>
      <c r="E33" s="447">
        <f>IF($A33&gt;E$1,0,IF($A33=E$1,E19,D33+E19+E26))</f>
        <v>0</v>
      </c>
      <c r="F33" s="447">
        <f>IF($A33&gt;F$1,0,IF($A33=F$1,F19,E33+F19+F26))</f>
        <v>0</v>
      </c>
      <c r="G33" s="447">
        <f>IF($A33&gt;G$1,0,IF($A33=G$1,G19,F33+G19+G26))</f>
        <v>0</v>
      </c>
      <c r="H33" s="32"/>
    </row>
    <row r="34" spans="1:8" x14ac:dyDescent="0.25">
      <c r="A34" s="49">
        <v>2</v>
      </c>
      <c r="B34" s="76" t="s">
        <v>97</v>
      </c>
      <c r="C34" s="447">
        <f t="shared" ref="C34:G37" si="1">IF($A34&gt;C$1,0,IF($A34=C$1,C20,B34+C20+C27))</f>
        <v>0</v>
      </c>
      <c r="D34" s="447">
        <f t="shared" si="1"/>
        <v>0</v>
      </c>
      <c r="E34" s="447">
        <f t="shared" si="1"/>
        <v>0</v>
      </c>
      <c r="F34" s="447">
        <f t="shared" si="1"/>
        <v>0</v>
      </c>
      <c r="G34" s="447">
        <f t="shared" si="1"/>
        <v>0</v>
      </c>
    </row>
    <row r="35" spans="1:8" x14ac:dyDescent="0.25">
      <c r="A35" s="49">
        <v>3</v>
      </c>
      <c r="B35" s="76" t="s">
        <v>98</v>
      </c>
      <c r="C35" s="447">
        <f t="shared" si="1"/>
        <v>0</v>
      </c>
      <c r="D35" s="447">
        <f t="shared" si="1"/>
        <v>0</v>
      </c>
      <c r="E35" s="447">
        <f t="shared" si="1"/>
        <v>0</v>
      </c>
      <c r="F35" s="447">
        <f t="shared" si="1"/>
        <v>0</v>
      </c>
      <c r="G35" s="447">
        <f t="shared" si="1"/>
        <v>0</v>
      </c>
    </row>
    <row r="36" spans="1:8" x14ac:dyDescent="0.25">
      <c r="A36" s="49">
        <v>4</v>
      </c>
      <c r="B36" s="76" t="s">
        <v>99</v>
      </c>
      <c r="C36" s="447">
        <f t="shared" si="1"/>
        <v>0</v>
      </c>
      <c r="D36" s="447">
        <f t="shared" si="1"/>
        <v>0</v>
      </c>
      <c r="E36" s="447">
        <f t="shared" si="1"/>
        <v>0</v>
      </c>
      <c r="F36" s="447">
        <f t="shared" si="1"/>
        <v>0</v>
      </c>
      <c r="G36" s="447">
        <f t="shared" si="1"/>
        <v>0</v>
      </c>
    </row>
    <row r="37" spans="1:8" x14ac:dyDescent="0.25">
      <c r="A37" s="49">
        <v>5</v>
      </c>
      <c r="B37" s="76" t="s">
        <v>100</v>
      </c>
      <c r="C37" s="447">
        <f t="shared" si="1"/>
        <v>0</v>
      </c>
      <c r="D37" s="447">
        <f t="shared" si="1"/>
        <v>0</v>
      </c>
      <c r="E37" s="447">
        <f t="shared" si="1"/>
        <v>0</v>
      </c>
      <c r="F37" s="447">
        <f t="shared" si="1"/>
        <v>0</v>
      </c>
      <c r="G37" s="447">
        <f t="shared" si="1"/>
        <v>0</v>
      </c>
    </row>
    <row r="38" spans="1:8" x14ac:dyDescent="0.25">
      <c r="B38" s="49" t="s">
        <v>108</v>
      </c>
      <c r="C38" s="447">
        <f>SUM(C33:C37)</f>
        <v>0</v>
      </c>
      <c r="D38" s="447">
        <f>SUM(D33:D37)</f>
        <v>0</v>
      </c>
      <c r="E38" s="447">
        <f>SUM(E33:E37)</f>
        <v>0</v>
      </c>
      <c r="F38" s="447">
        <f>SUM(F33:F37)</f>
        <v>0</v>
      </c>
      <c r="G38" s="447">
        <f>SUM(G33:G37)</f>
        <v>0</v>
      </c>
    </row>
    <row r="39" spans="1:8" x14ac:dyDescent="0.25"/>
  </sheetData>
  <sheetProtection password="CA1B" sheet="1"/>
  <phoneticPr fontId="0" type="noConversion"/>
  <hyperlinks>
    <hyperlink ref="B1" location="Inicio!A1" display="Inicio" xr:uid="{00000000-0004-0000-1500-000000000000}"/>
  </hyperlinks>
  <printOptions horizontalCentered="1" verticalCentered="1" gridLines="1"/>
  <pageMargins left="0.19685039370078741" right="0.19685039370078741" top="0.98425196850393704" bottom="0.39370078740157483" header="0.59055118110236227" footer="0.51181102362204722"/>
  <pageSetup scale="85" orientation="landscape" horizontalDpi="300" verticalDpi="0"/>
  <headerFooter alignWithMargins="0">
    <oddHeader>&amp;C&amp;"Arial,Negrita"&amp;14&amp;A</oddHeader>
    <oddFooter>&amp;L&amp;"Arial,Negrita"&amp;8&amp;F&amp;C&amp;"Arial,Negrita"&amp;8Página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12">
    <tabColor indexed="30"/>
  </sheetPr>
  <dimension ref="A1:H39"/>
  <sheetViews>
    <sheetView showGridLines="0" workbookViewId="0">
      <selection activeCell="G1" sqref="G1"/>
    </sheetView>
  </sheetViews>
  <sheetFormatPr baseColWidth="10" defaultColWidth="0" defaultRowHeight="13.2" zeroHeight="1" x14ac:dyDescent="0.25"/>
  <cols>
    <col min="1" max="1" width="2.21875" style="1" customWidth="1"/>
    <col min="2" max="2" width="29.44140625" style="1" customWidth="1"/>
    <col min="3" max="4" width="16.21875" style="1" customWidth="1"/>
    <col min="5" max="7" width="15.33203125" style="1" customWidth="1"/>
    <col min="8" max="8" width="12.77734375" style="1" hidden="1" customWidth="1"/>
    <col min="9" max="16384" width="0" style="1" hidden="1"/>
  </cols>
  <sheetData>
    <row r="1" spans="1:7" ht="17.399999999999999" x14ac:dyDescent="0.25">
      <c r="B1" s="329" t="s">
        <v>350</v>
      </c>
      <c r="C1" s="161">
        <v>1</v>
      </c>
      <c r="D1" s="161">
        <v>2</v>
      </c>
      <c r="E1" s="161">
        <v>3</v>
      </c>
      <c r="F1" s="161">
        <v>4</v>
      </c>
      <c r="G1" s="161">
        <v>5</v>
      </c>
    </row>
    <row r="2" spans="1:7" x14ac:dyDescent="0.25">
      <c r="B2" s="25" t="s">
        <v>95</v>
      </c>
      <c r="C2" s="448"/>
      <c r="D2" s="448"/>
      <c r="E2" s="448"/>
      <c r="F2" s="448"/>
      <c r="G2" s="448"/>
    </row>
    <row r="3" spans="1:7" x14ac:dyDescent="0.25">
      <c r="B3" s="74" t="s">
        <v>155</v>
      </c>
      <c r="C3" s="410">
        <f>' Inversiones Fijas y Diferidas'!H107</f>
        <v>0</v>
      </c>
      <c r="D3" s="410">
        <f>' Inversiones Fijas y Diferidas'!I107</f>
        <v>0</v>
      </c>
      <c r="E3" s="410">
        <f>' Inversiones Fijas y Diferidas'!J107</f>
        <v>0</v>
      </c>
      <c r="F3" s="410">
        <f>' Inversiones Fijas y Diferidas'!K107</f>
        <v>0</v>
      </c>
      <c r="G3" s="410">
        <f>' Inversiones Fijas y Diferidas'!L107</f>
        <v>0</v>
      </c>
    </row>
    <row r="4" spans="1:7" s="18" customFormat="1" x14ac:dyDescent="0.25">
      <c r="B4" s="28" t="s">
        <v>12</v>
      </c>
      <c r="C4" s="450"/>
      <c r="D4" s="450"/>
      <c r="E4" s="450"/>
      <c r="F4" s="450"/>
      <c r="G4" s="450"/>
    </row>
    <row r="5" spans="1:7" x14ac:dyDescent="0.25">
      <c r="A5" s="49">
        <v>1</v>
      </c>
      <c r="B5" s="76" t="s">
        <v>96</v>
      </c>
      <c r="C5" s="406">
        <f>IF($A5&gt;C$1,0,IF($A5=C$1,C$3*Bases!F$9,B12*Bases!F$9))</f>
        <v>0</v>
      </c>
      <c r="D5" s="406">
        <f>IF($A5&gt;D$1,0,IF($A5=D$1,D$3*Bases!G$9,C12*Bases!G$9))</f>
        <v>0</v>
      </c>
      <c r="E5" s="406">
        <f>IF($A5&gt;E$1,0,IF($A5=E$1,E$3*Bases!H$9,D12*Bases!H$9))</f>
        <v>0</v>
      </c>
      <c r="F5" s="406">
        <f>IF($A5&gt;F$1,0,IF($A5=F$1,F$3*Bases!I$9,E12*Bases!I$9))</f>
        <v>0</v>
      </c>
      <c r="G5" s="406">
        <f>IF($A5&gt;G$1,0,IF($A5=G$1,G$3*Bases!J$9,F12*Bases!J$9))</f>
        <v>0</v>
      </c>
    </row>
    <row r="6" spans="1:7" x14ac:dyDescent="0.25">
      <c r="A6" s="49">
        <v>2</v>
      </c>
      <c r="B6" s="76" t="s">
        <v>97</v>
      </c>
      <c r="C6" s="406">
        <f>IF($A6&gt;C$1,0,IF($A6=C$1,C$3*Bases!F$9,B13*Bases!F$9))</f>
        <v>0</v>
      </c>
      <c r="D6" s="406">
        <f>IF($A6&gt;D$1,0,IF($A6=D$1,D$3*Bases!G$9,C13*Bases!G$9))</f>
        <v>0</v>
      </c>
      <c r="E6" s="406">
        <f>IF($A6&gt;E$1,0,IF($A6=E$1,E$3*Bases!H$9,D13*Bases!H$9))</f>
        <v>0</v>
      </c>
      <c r="F6" s="406">
        <f>IF($A6&gt;F$1,0,IF($A6=F$1,F$3*Bases!I$9,E13*Bases!I$9))</f>
        <v>0</v>
      </c>
      <c r="G6" s="406">
        <f>IF($A6&gt;G$1,0,IF($A6=G$1,G$3*Bases!J$9,F13*Bases!J$9))</f>
        <v>0</v>
      </c>
    </row>
    <row r="7" spans="1:7" x14ac:dyDescent="0.25">
      <c r="A7" s="49">
        <v>3</v>
      </c>
      <c r="B7" s="76" t="s">
        <v>98</v>
      </c>
      <c r="C7" s="406">
        <f>IF($A7&gt;C$1,0,IF($A7=C$1,C$3*Bases!F$9,B14*Bases!F$9))</f>
        <v>0</v>
      </c>
      <c r="D7" s="406">
        <f>IF($A7&gt;D$1,0,IF($A7=D$1,D$3*Bases!G$9,C14*Bases!G$9))</f>
        <v>0</v>
      </c>
      <c r="E7" s="406">
        <f>IF($A7&gt;E$1,0,IF($A7=E$1,E$3*Bases!H$9,D14*Bases!H$9))</f>
        <v>0</v>
      </c>
      <c r="F7" s="406">
        <f>IF($A7&gt;F$1,0,IF($A7=F$1,F$3*Bases!I$9,E14*Bases!I$9))</f>
        <v>0</v>
      </c>
      <c r="G7" s="406">
        <f>IF($A7&gt;G$1,0,IF($A7=G$1,G$3*Bases!J$9,F14*Bases!J$9))</f>
        <v>0</v>
      </c>
    </row>
    <row r="8" spans="1:7" x14ac:dyDescent="0.25">
      <c r="A8" s="49">
        <v>4</v>
      </c>
      <c r="B8" s="76" t="s">
        <v>99</v>
      </c>
      <c r="C8" s="406">
        <f>IF($A8&gt;C$1,0,IF($A8=C$1,C$3*Bases!F$9,B15*Bases!F$9))</f>
        <v>0</v>
      </c>
      <c r="D8" s="406">
        <f>IF($A8&gt;D$1,0,IF($A8=D$1,D$3*Bases!G$9,C15*Bases!G$9))</f>
        <v>0</v>
      </c>
      <c r="E8" s="406">
        <f>IF($A8&gt;E$1,0,IF($A8=E$1,E$3*Bases!H$9,D15*Bases!H$9))</f>
        <v>0</v>
      </c>
      <c r="F8" s="406">
        <f>IF($A8&gt;F$1,0,IF($A8=F$1,F$3*Bases!I$9,E15*Bases!I$9))</f>
        <v>0</v>
      </c>
      <c r="G8" s="406">
        <f>IF($A8&gt;G$1,0,IF($A8=G$1,G$3*Bases!J$9,F15*Bases!J$9))</f>
        <v>0</v>
      </c>
    </row>
    <row r="9" spans="1:7" x14ac:dyDescent="0.25">
      <c r="A9" s="49">
        <v>5</v>
      </c>
      <c r="B9" s="76" t="s">
        <v>100</v>
      </c>
      <c r="C9" s="406">
        <f>IF($A9&gt;C$1,0,IF($A9=C$1,C$3*Bases!F$9,B16*Bases!F$9))</f>
        <v>0</v>
      </c>
      <c r="D9" s="406">
        <f>IF($A9&gt;D$1,0,IF($A9=D$1,D$3*Bases!G$9,C16*Bases!G$9))</f>
        <v>0</v>
      </c>
      <c r="E9" s="406">
        <f>IF($A9&gt;E$1,0,IF($A9=E$1,E$3*Bases!H$9,D16*Bases!H$9))</f>
        <v>0</v>
      </c>
      <c r="F9" s="406">
        <f>IF($A9&gt;F$1,0,IF($A9=F$1,F$3*Bases!I$9,E16*Bases!I$9))</f>
        <v>0</v>
      </c>
      <c r="G9" s="406">
        <f>IF($A9&gt;G$1,0,IF($A9=G$1,G$3*Bases!J$9,F16*Bases!J$9))</f>
        <v>0</v>
      </c>
    </row>
    <row r="10" spans="1:7" x14ac:dyDescent="0.25">
      <c r="B10" s="49" t="s">
        <v>101</v>
      </c>
      <c r="C10" s="406">
        <f>SUM(C5:C9)</f>
        <v>0</v>
      </c>
      <c r="D10" s="406">
        <f>SUM(D5:D9)</f>
        <v>0</v>
      </c>
      <c r="E10" s="406">
        <f>SUM(E5:E9)</f>
        <v>0</v>
      </c>
      <c r="F10" s="406">
        <f>SUM(F5:F9)</f>
        <v>0</v>
      </c>
      <c r="G10" s="406">
        <f>SUM(G5:G9)</f>
        <v>0</v>
      </c>
    </row>
    <row r="11" spans="1:7" s="30" customFormat="1" x14ac:dyDescent="0.25">
      <c r="B11" s="28" t="s">
        <v>102</v>
      </c>
      <c r="C11" s="451"/>
      <c r="D11" s="451"/>
      <c r="E11" s="451"/>
      <c r="F11" s="451"/>
      <c r="G11" s="451"/>
    </row>
    <row r="12" spans="1:7" x14ac:dyDescent="0.25">
      <c r="A12" s="49">
        <v>1</v>
      </c>
      <c r="B12" s="76" t="s">
        <v>96</v>
      </c>
      <c r="C12" s="406">
        <f t="shared" ref="C12:G16" si="0">IF($A12&gt;C$1,0,IF($A12=C$1,C$3+C5,B12+C5))</f>
        <v>0</v>
      </c>
      <c r="D12" s="406">
        <f t="shared" si="0"/>
        <v>0</v>
      </c>
      <c r="E12" s="406">
        <f t="shared" si="0"/>
        <v>0</v>
      </c>
      <c r="F12" s="406">
        <f t="shared" si="0"/>
        <v>0</v>
      </c>
      <c r="G12" s="406">
        <f t="shared" si="0"/>
        <v>0</v>
      </c>
    </row>
    <row r="13" spans="1:7" x14ac:dyDescent="0.25">
      <c r="A13" s="49">
        <v>2</v>
      </c>
      <c r="B13" s="76" t="s">
        <v>97</v>
      </c>
      <c r="C13" s="406">
        <f t="shared" si="0"/>
        <v>0</v>
      </c>
      <c r="D13" s="406">
        <f t="shared" si="0"/>
        <v>0</v>
      </c>
      <c r="E13" s="406">
        <f t="shared" si="0"/>
        <v>0</v>
      </c>
      <c r="F13" s="406">
        <f t="shared" si="0"/>
        <v>0</v>
      </c>
      <c r="G13" s="406">
        <f t="shared" si="0"/>
        <v>0</v>
      </c>
    </row>
    <row r="14" spans="1:7" x14ac:dyDescent="0.25">
      <c r="A14" s="49">
        <v>3</v>
      </c>
      <c r="B14" s="76" t="s">
        <v>98</v>
      </c>
      <c r="C14" s="406">
        <f t="shared" si="0"/>
        <v>0</v>
      </c>
      <c r="D14" s="406">
        <f t="shared" si="0"/>
        <v>0</v>
      </c>
      <c r="E14" s="406">
        <f t="shared" si="0"/>
        <v>0</v>
      </c>
      <c r="F14" s="406">
        <f t="shared" si="0"/>
        <v>0</v>
      </c>
      <c r="G14" s="406">
        <f t="shared" si="0"/>
        <v>0</v>
      </c>
    </row>
    <row r="15" spans="1:7" x14ac:dyDescent="0.25">
      <c r="A15" s="49">
        <v>4</v>
      </c>
      <c r="B15" s="76" t="s">
        <v>99</v>
      </c>
      <c r="C15" s="406">
        <f t="shared" si="0"/>
        <v>0</v>
      </c>
      <c r="D15" s="406">
        <f t="shared" si="0"/>
        <v>0</v>
      </c>
      <c r="E15" s="406">
        <f t="shared" si="0"/>
        <v>0</v>
      </c>
      <c r="F15" s="406">
        <f t="shared" si="0"/>
        <v>0</v>
      </c>
      <c r="G15" s="406">
        <f t="shared" si="0"/>
        <v>0</v>
      </c>
    </row>
    <row r="16" spans="1:7" x14ac:dyDescent="0.25">
      <c r="A16" s="49">
        <v>5</v>
      </c>
      <c r="B16" s="76" t="s">
        <v>100</v>
      </c>
      <c r="C16" s="406">
        <f t="shared" si="0"/>
        <v>0</v>
      </c>
      <c r="D16" s="406">
        <f t="shared" si="0"/>
        <v>0</v>
      </c>
      <c r="E16" s="406">
        <f t="shared" si="0"/>
        <v>0</v>
      </c>
      <c r="F16" s="406">
        <f t="shared" si="0"/>
        <v>0</v>
      </c>
      <c r="G16" s="406">
        <f t="shared" si="0"/>
        <v>0</v>
      </c>
    </row>
    <row r="17" spans="1:7" x14ac:dyDescent="0.25">
      <c r="B17" s="49" t="s">
        <v>103</v>
      </c>
      <c r="C17" s="447">
        <f>SUM(C12:C16)</f>
        <v>0</v>
      </c>
      <c r="D17" s="447">
        <f>SUM(D12:D16)</f>
        <v>0</v>
      </c>
      <c r="E17" s="447">
        <f>SUM(E12:E16)</f>
        <v>0</v>
      </c>
      <c r="F17" s="447">
        <f>SUM(F12:F16)</f>
        <v>0</v>
      </c>
      <c r="G17" s="447">
        <f>SUM(G12:G16)</f>
        <v>0</v>
      </c>
    </row>
    <row r="18" spans="1:7" s="30" customFormat="1" ht="13.5" customHeight="1" x14ac:dyDescent="0.25">
      <c r="B18" s="28" t="s">
        <v>18</v>
      </c>
      <c r="C18" s="451"/>
      <c r="D18" s="451"/>
      <c r="E18" s="451"/>
      <c r="F18" s="451"/>
      <c r="G18" s="451"/>
    </row>
    <row r="19" spans="1:7" x14ac:dyDescent="0.25">
      <c r="A19" s="49">
        <v>1</v>
      </c>
      <c r="B19" s="76" t="s">
        <v>96</v>
      </c>
      <c r="C19" s="406">
        <f>IF(OR($A19&gt;C$1,Bases!$D$38+$A19-1&lt;C$1),0,C12/Bases!$D$38)</f>
        <v>0</v>
      </c>
      <c r="D19" s="406">
        <f>IF(OR($A19&gt;D$1,Bases!$D$38+$A19-1&lt;D$1),0,D12/Bases!$D$38)</f>
        <v>0</v>
      </c>
      <c r="E19" s="406">
        <f>IF(OR($A19&gt;E$1,Bases!$D$38+$A19-1&lt;E$1),0,E12/Bases!$D$38)</f>
        <v>0</v>
      </c>
      <c r="F19" s="406">
        <f>IF(OR($A19&gt;F$1,Bases!$D$38+$A19-1&lt;F$1),0,F12/Bases!$D$38)</f>
        <v>0</v>
      </c>
      <c r="G19" s="406">
        <f>IF(OR($A19&gt;G$1,Bases!$D$38+$A19-1&lt;G$1),0,G12/Bases!$D$38)</f>
        <v>0</v>
      </c>
    </row>
    <row r="20" spans="1:7" x14ac:dyDescent="0.25">
      <c r="A20" s="49">
        <v>2</v>
      </c>
      <c r="B20" s="76" t="s">
        <v>97</v>
      </c>
      <c r="C20" s="406">
        <f>IF(OR($A20&gt;C$1,Bases!$D$38+$A20-1&lt;C$1),0,C13/Bases!$D$38)</f>
        <v>0</v>
      </c>
      <c r="D20" s="406">
        <f>IF(OR($A20&gt;D$1,Bases!$D$38+$A20-1&lt;D$1),0,D13/Bases!$D$38)</f>
        <v>0</v>
      </c>
      <c r="E20" s="406">
        <f>IF(OR($A20&gt;E$1,Bases!$D$38+$A20-1&lt;E$1),0,E13/Bases!$D$38)</f>
        <v>0</v>
      </c>
      <c r="F20" s="406">
        <f>IF(OR($A20&gt;F$1,Bases!$D$38+$A20-1&lt;F$1),0,F13/Bases!$D$38)</f>
        <v>0</v>
      </c>
      <c r="G20" s="406">
        <f>IF(OR($A20&gt;G$1,Bases!$D$38+$A20-1&lt;G$1),0,G13/Bases!$D$38)</f>
        <v>0</v>
      </c>
    </row>
    <row r="21" spans="1:7" x14ac:dyDescent="0.25">
      <c r="A21" s="49">
        <v>3</v>
      </c>
      <c r="B21" s="76" t="s">
        <v>98</v>
      </c>
      <c r="C21" s="406">
        <f>IF(OR($A21&gt;C$1,Bases!$D$38+$A21-1&lt;C$1),0,C14/Bases!$D$38)</f>
        <v>0</v>
      </c>
      <c r="D21" s="406">
        <f>IF(OR($A21&gt;D$1,Bases!$D$38+$A21-1&lt;D$1),0,D14/Bases!$D$38)</f>
        <v>0</v>
      </c>
      <c r="E21" s="406">
        <f>IF(OR($A21&gt;E$1,Bases!$D$38+$A21-1&lt;E$1),0,E14/Bases!$D$38)</f>
        <v>0</v>
      </c>
      <c r="F21" s="406">
        <f>IF(OR($A21&gt;F$1,Bases!$D$38+$A21-1&lt;F$1),0,F14/Bases!$D$38)</f>
        <v>0</v>
      </c>
      <c r="G21" s="406">
        <f>IF(OR($A21&gt;G$1,Bases!$D$38+$A21-1&lt;G$1),0,G14/Bases!$D$38)</f>
        <v>0</v>
      </c>
    </row>
    <row r="22" spans="1:7" x14ac:dyDescent="0.25">
      <c r="A22" s="49">
        <v>4</v>
      </c>
      <c r="B22" s="76" t="s">
        <v>99</v>
      </c>
      <c r="C22" s="406">
        <f>IF(OR($A22&gt;C$1,Bases!$D$38+$A22-1&lt;C$1),0,C15/Bases!$D$38)</f>
        <v>0</v>
      </c>
      <c r="D22" s="406">
        <f>IF(OR($A22&gt;D$1,Bases!$D$38+$A22-1&lt;D$1),0,D15/Bases!$D$38)</f>
        <v>0</v>
      </c>
      <c r="E22" s="406">
        <f>IF(OR($A22&gt;E$1,Bases!$D$38+$A22-1&lt;E$1),0,E15/Bases!$D$38)</f>
        <v>0</v>
      </c>
      <c r="F22" s="406">
        <f>IF(OR($A22&gt;F$1,Bases!$D$38+$A22-1&lt;F$1),0,F15/Bases!$D$38)</f>
        <v>0</v>
      </c>
      <c r="G22" s="406">
        <f>IF(OR($A22&gt;G$1,Bases!$D$38+$A22-1&lt;G$1),0,G15/Bases!$D$38)</f>
        <v>0</v>
      </c>
    </row>
    <row r="23" spans="1:7" x14ac:dyDescent="0.25">
      <c r="A23" s="49">
        <v>5</v>
      </c>
      <c r="B23" s="76" t="s">
        <v>100</v>
      </c>
      <c r="C23" s="406">
        <f>IF(OR($A23&gt;C$1,Bases!$D$38+$A23-1&lt;C$1),0,C16/Bases!$D$38)</f>
        <v>0</v>
      </c>
      <c r="D23" s="406">
        <f>IF(OR($A23&gt;D$1,Bases!$D$38+$A23-1&lt;D$1),0,D16/Bases!$D$38)</f>
        <v>0</v>
      </c>
      <c r="E23" s="406">
        <f>IF(OR($A23&gt;E$1,Bases!$D$38+$A23-1&lt;E$1),0,E16/Bases!$D$38)</f>
        <v>0</v>
      </c>
      <c r="F23" s="406">
        <f>IF(OR($A23&gt;F$1,Bases!$D$38+$A23-1&lt;F$1),0,F16/Bases!$D$38)</f>
        <v>0</v>
      </c>
      <c r="G23" s="406">
        <f>IF(OR($A23&gt;G$1,Bases!$D$38+$A23-1&lt;G$1),0,G16/Bases!$D$38)</f>
        <v>0</v>
      </c>
    </row>
    <row r="24" spans="1:7" x14ac:dyDescent="0.25">
      <c r="B24" s="49" t="s">
        <v>104</v>
      </c>
      <c r="C24" s="447">
        <f>SUM(C19:C23)</f>
        <v>0</v>
      </c>
      <c r="D24" s="447">
        <f>SUM(D19:D23)</f>
        <v>0</v>
      </c>
      <c r="E24" s="447">
        <f>SUM(E19:E23)</f>
        <v>0</v>
      </c>
      <c r="F24" s="447">
        <f>SUM(F19:F23)</f>
        <v>0</v>
      </c>
      <c r="G24" s="447">
        <f>SUM(G19:G23)</f>
        <v>0</v>
      </c>
    </row>
    <row r="25" spans="1:7" s="30" customFormat="1" ht="13.5" customHeight="1" x14ac:dyDescent="0.25">
      <c r="B25" s="28" t="s">
        <v>105</v>
      </c>
      <c r="C25" s="451"/>
      <c r="D25" s="451"/>
      <c r="E25" s="451"/>
      <c r="F25" s="451"/>
      <c r="G25" s="451"/>
    </row>
    <row r="26" spans="1:7" x14ac:dyDescent="0.25">
      <c r="A26" s="49">
        <v>1</v>
      </c>
      <c r="B26" s="67" t="s">
        <v>96</v>
      </c>
      <c r="C26" s="406">
        <f>IF($A26&gt;=C$1,0,B33*Bases!F$9)</f>
        <v>0</v>
      </c>
      <c r="D26" s="406">
        <f>IF($A26&gt;=D$1,0,C33*Bases!G$9)</f>
        <v>0</v>
      </c>
      <c r="E26" s="406">
        <f>IF($A26&gt;=E$1,0,D33*Bases!H$9)</f>
        <v>0</v>
      </c>
      <c r="F26" s="406">
        <f>IF($A26&gt;=F$1,0,E33*Bases!I$9)</f>
        <v>0</v>
      </c>
      <c r="G26" s="406">
        <f>IF($A26&gt;=G$1,0,F33*Bases!J$9)</f>
        <v>0</v>
      </c>
    </row>
    <row r="27" spans="1:7" x14ac:dyDescent="0.25">
      <c r="A27" s="49">
        <v>2</v>
      </c>
      <c r="B27" s="67" t="s">
        <v>97</v>
      </c>
      <c r="C27" s="406">
        <f>IF($A27&gt;=C$1,0,B34*Bases!F$9)</f>
        <v>0</v>
      </c>
      <c r="D27" s="406">
        <f>IF($A27&gt;=D$1,0,C34*Bases!G$9)</f>
        <v>0</v>
      </c>
      <c r="E27" s="406">
        <f>IF($A27&gt;=E$1,0,D34*Bases!H$9)</f>
        <v>0</v>
      </c>
      <c r="F27" s="406">
        <f>IF($A27&gt;=F$1,0,E34*Bases!I$9)</f>
        <v>0</v>
      </c>
      <c r="G27" s="406">
        <f>IF($A27&gt;=G$1,0,F34*Bases!J$9)</f>
        <v>0</v>
      </c>
    </row>
    <row r="28" spans="1:7" x14ac:dyDescent="0.25">
      <c r="A28" s="49">
        <v>3</v>
      </c>
      <c r="B28" s="67" t="s">
        <v>98</v>
      </c>
      <c r="C28" s="406">
        <f>IF($A28&gt;=C$1,0,B35*Bases!F$9)</f>
        <v>0</v>
      </c>
      <c r="D28" s="406">
        <f>IF($A28&gt;=D$1,0,C35*Bases!G$9)</f>
        <v>0</v>
      </c>
      <c r="E28" s="406">
        <f>IF($A28&gt;=E$1,0,D35*Bases!H$9)</f>
        <v>0</v>
      </c>
      <c r="F28" s="406">
        <f>IF($A28&gt;=F$1,0,E35*Bases!I$9)</f>
        <v>0</v>
      </c>
      <c r="G28" s="406">
        <f>IF($A28&gt;=G$1,0,F35*Bases!J$9)</f>
        <v>0</v>
      </c>
    </row>
    <row r="29" spans="1:7" x14ac:dyDescent="0.25">
      <c r="A29" s="49">
        <v>4</v>
      </c>
      <c r="B29" s="67" t="s">
        <v>99</v>
      </c>
      <c r="C29" s="406">
        <f>IF($A29&gt;=C$1,0,B36*Bases!F$9)</f>
        <v>0</v>
      </c>
      <c r="D29" s="406">
        <f>IF($A29&gt;=D$1,0,C36*Bases!G$9)</f>
        <v>0</v>
      </c>
      <c r="E29" s="406">
        <f>IF($A29&gt;=E$1,0,D36*Bases!H$9)</f>
        <v>0</v>
      </c>
      <c r="F29" s="406">
        <f>IF($A29&gt;=F$1,0,E36*Bases!I$9)</f>
        <v>0</v>
      </c>
      <c r="G29" s="406">
        <f>IF($A29&gt;=G$1,0,F36*Bases!J$9)</f>
        <v>0</v>
      </c>
    </row>
    <row r="30" spans="1:7" x14ac:dyDescent="0.25">
      <c r="A30" s="49">
        <v>5</v>
      </c>
      <c r="B30" s="67" t="s">
        <v>100</v>
      </c>
      <c r="C30" s="406">
        <f>IF($A30&gt;=C$1,0,B37*Bases!F$9)</f>
        <v>0</v>
      </c>
      <c r="D30" s="406">
        <f>IF($A30&gt;=D$1,0,C37*Bases!G$9)</f>
        <v>0</v>
      </c>
      <c r="E30" s="406">
        <f>IF($A30&gt;=E$1,0,D37*Bases!H$9)</f>
        <v>0</v>
      </c>
      <c r="F30" s="406">
        <f>IF($A30&gt;=F$1,0,E37*Bases!I$9)</f>
        <v>0</v>
      </c>
      <c r="G30" s="406">
        <f>IF($A30&gt;=G$1,0,F37*Bases!J$9)</f>
        <v>0</v>
      </c>
    </row>
    <row r="31" spans="1:7" x14ac:dyDescent="0.25">
      <c r="B31" s="153" t="s">
        <v>106</v>
      </c>
      <c r="C31" s="406">
        <f>SUM(C26:C30)</f>
        <v>0</v>
      </c>
      <c r="D31" s="406">
        <f>SUM(D26:D30)</f>
        <v>0</v>
      </c>
      <c r="E31" s="406">
        <f>SUM(E26:E30)</f>
        <v>0</v>
      </c>
      <c r="F31" s="406">
        <f>SUM(F26:F30)</f>
        <v>0</v>
      </c>
      <c r="G31" s="406">
        <f>SUM(G26:G30)</f>
        <v>0</v>
      </c>
    </row>
    <row r="32" spans="1:7" s="30" customFormat="1" ht="13.5" customHeight="1" x14ac:dyDescent="0.25">
      <c r="B32" s="28" t="s">
        <v>107</v>
      </c>
      <c r="C32" s="451"/>
      <c r="D32" s="451"/>
      <c r="E32" s="451"/>
      <c r="F32" s="451"/>
      <c r="G32" s="451"/>
    </row>
    <row r="33" spans="1:8" x14ac:dyDescent="0.25">
      <c r="A33" s="49">
        <v>1</v>
      </c>
      <c r="B33" s="76" t="s">
        <v>96</v>
      </c>
      <c r="C33" s="447">
        <f t="shared" ref="C33:G37" si="1">IF($A33&gt;C$1,0,IF($A33=C$1,C19,B33+C19+C26))</f>
        <v>0</v>
      </c>
      <c r="D33" s="447">
        <f t="shared" si="1"/>
        <v>0</v>
      </c>
      <c r="E33" s="447">
        <f t="shared" si="1"/>
        <v>0</v>
      </c>
      <c r="F33" s="447">
        <f t="shared" si="1"/>
        <v>0</v>
      </c>
      <c r="G33" s="447">
        <f t="shared" si="1"/>
        <v>0</v>
      </c>
      <c r="H33" s="32"/>
    </row>
    <row r="34" spans="1:8" x14ac:dyDescent="0.25">
      <c r="A34" s="49">
        <v>2</v>
      </c>
      <c r="B34" s="76" t="s">
        <v>97</v>
      </c>
      <c r="C34" s="447">
        <f t="shared" si="1"/>
        <v>0</v>
      </c>
      <c r="D34" s="447">
        <f t="shared" si="1"/>
        <v>0</v>
      </c>
      <c r="E34" s="447">
        <f t="shared" si="1"/>
        <v>0</v>
      </c>
      <c r="F34" s="447">
        <f t="shared" si="1"/>
        <v>0</v>
      </c>
      <c r="G34" s="447">
        <f t="shared" si="1"/>
        <v>0</v>
      </c>
    </row>
    <row r="35" spans="1:8" x14ac:dyDescent="0.25">
      <c r="A35" s="49">
        <v>3</v>
      </c>
      <c r="B35" s="76" t="s">
        <v>98</v>
      </c>
      <c r="C35" s="447">
        <f t="shared" si="1"/>
        <v>0</v>
      </c>
      <c r="D35" s="447">
        <f t="shared" si="1"/>
        <v>0</v>
      </c>
      <c r="E35" s="447">
        <f t="shared" si="1"/>
        <v>0</v>
      </c>
      <c r="F35" s="447">
        <f t="shared" si="1"/>
        <v>0</v>
      </c>
      <c r="G35" s="447">
        <f t="shared" si="1"/>
        <v>0</v>
      </c>
    </row>
    <row r="36" spans="1:8" x14ac:dyDescent="0.25">
      <c r="A36" s="49">
        <v>4</v>
      </c>
      <c r="B36" s="76" t="s">
        <v>99</v>
      </c>
      <c r="C36" s="447">
        <f t="shared" si="1"/>
        <v>0</v>
      </c>
      <c r="D36" s="447">
        <f t="shared" si="1"/>
        <v>0</v>
      </c>
      <c r="E36" s="447">
        <f t="shared" si="1"/>
        <v>0</v>
      </c>
      <c r="F36" s="447">
        <f t="shared" si="1"/>
        <v>0</v>
      </c>
      <c r="G36" s="447">
        <f t="shared" si="1"/>
        <v>0</v>
      </c>
    </row>
    <row r="37" spans="1:8" x14ac:dyDescent="0.25">
      <c r="A37" s="49">
        <v>5</v>
      </c>
      <c r="B37" s="76" t="s">
        <v>100</v>
      </c>
      <c r="C37" s="447">
        <f t="shared" si="1"/>
        <v>0</v>
      </c>
      <c r="D37" s="447">
        <f t="shared" si="1"/>
        <v>0</v>
      </c>
      <c r="E37" s="447">
        <f t="shared" si="1"/>
        <v>0</v>
      </c>
      <c r="F37" s="447">
        <f t="shared" si="1"/>
        <v>0</v>
      </c>
      <c r="G37" s="447">
        <f t="shared" si="1"/>
        <v>0</v>
      </c>
    </row>
    <row r="38" spans="1:8" x14ac:dyDescent="0.25">
      <c r="B38" s="49" t="s">
        <v>108</v>
      </c>
      <c r="C38" s="447">
        <f>SUM(C33:C37)</f>
        <v>0</v>
      </c>
      <c r="D38" s="447">
        <f>SUM(D33:D37)</f>
        <v>0</v>
      </c>
      <c r="E38" s="447">
        <f>SUM(E33:E37)</f>
        <v>0</v>
      </c>
      <c r="F38" s="447">
        <f>SUM(F33:F37)</f>
        <v>0</v>
      </c>
      <c r="G38" s="447">
        <f>SUM(G33:G37)</f>
        <v>0</v>
      </c>
    </row>
    <row r="39" spans="1:8" x14ac:dyDescent="0.25"/>
  </sheetData>
  <sheetProtection password="CA1B" sheet="1"/>
  <phoneticPr fontId="0" type="noConversion"/>
  <hyperlinks>
    <hyperlink ref="B1" location="Inicio!A1" display="Inicio" xr:uid="{00000000-0004-0000-1600-000000000000}"/>
  </hyperlinks>
  <printOptions horizontalCentered="1" verticalCentered="1" gridLines="1"/>
  <pageMargins left="0.19685039370078741" right="0.19685039370078741" top="0.98425196850393704" bottom="0.39370078740157483" header="0.59055118110236227" footer="0.51181102362204722"/>
  <pageSetup scale="85" orientation="landscape" horizontalDpi="300" verticalDpi="0"/>
  <headerFooter alignWithMargins="0">
    <oddHeader>&amp;C&amp;"Arial,Negrita"&amp;14&amp;A</oddHeader>
    <oddFooter>&amp;L&amp;"Arial,Negrita"&amp;8&amp;F&amp;C&amp;"Arial,Negrita"&amp;8Página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13">
    <tabColor indexed="30"/>
  </sheetPr>
  <dimension ref="A1:H38"/>
  <sheetViews>
    <sheetView zoomScaleNormal="100" workbookViewId="0">
      <selection activeCell="G1" sqref="G1"/>
    </sheetView>
  </sheetViews>
  <sheetFormatPr baseColWidth="10" defaultColWidth="0" defaultRowHeight="13.2" x14ac:dyDescent="0.25"/>
  <cols>
    <col min="1" max="1" width="2.21875" style="1" customWidth="1"/>
    <col min="2" max="2" width="29.44140625" style="1" customWidth="1"/>
    <col min="3" max="4" width="16.21875" style="1" customWidth="1"/>
    <col min="5" max="7" width="15.33203125" style="1" customWidth="1"/>
    <col min="8" max="8" width="12.77734375" style="1" hidden="1" customWidth="1"/>
    <col min="9" max="16384" width="0" style="1" hidden="1"/>
  </cols>
  <sheetData>
    <row r="1" spans="1:7" ht="17.399999999999999" x14ac:dyDescent="0.25">
      <c r="B1" s="329" t="s">
        <v>350</v>
      </c>
      <c r="C1" s="161">
        <v>1</v>
      </c>
      <c r="D1" s="161">
        <v>2</v>
      </c>
      <c r="E1" s="161">
        <v>3</v>
      </c>
      <c r="F1" s="161">
        <v>4</v>
      </c>
      <c r="G1" s="161">
        <v>5</v>
      </c>
    </row>
    <row r="2" spans="1:7" x14ac:dyDescent="0.25">
      <c r="B2" s="25" t="s">
        <v>95</v>
      </c>
      <c r="C2" s="448"/>
      <c r="D2" s="448"/>
      <c r="E2" s="448"/>
      <c r="F2" s="448"/>
      <c r="G2" s="448"/>
    </row>
    <row r="3" spans="1:7" x14ac:dyDescent="0.25">
      <c r="B3" s="74" t="s">
        <v>154</v>
      </c>
      <c r="C3" s="410">
        <f>' Inversiones Fijas y Diferidas'!H115</f>
        <v>0</v>
      </c>
      <c r="D3" s="410">
        <f>' Inversiones Fijas y Diferidas'!I115</f>
        <v>0</v>
      </c>
      <c r="E3" s="410">
        <f>' Inversiones Fijas y Diferidas'!J115</f>
        <v>0</v>
      </c>
      <c r="F3" s="410">
        <f>' Inversiones Fijas y Diferidas'!K115</f>
        <v>0</v>
      </c>
      <c r="G3" s="410">
        <f>' Inversiones Fijas y Diferidas'!L115</f>
        <v>0</v>
      </c>
    </row>
    <row r="4" spans="1:7" s="18" customFormat="1" x14ac:dyDescent="0.25">
      <c r="B4" s="28" t="s">
        <v>12</v>
      </c>
      <c r="C4" s="450"/>
      <c r="D4" s="450"/>
      <c r="E4" s="450"/>
      <c r="F4" s="450"/>
      <c r="G4" s="450"/>
    </row>
    <row r="5" spans="1:7" x14ac:dyDescent="0.25">
      <c r="A5" s="49">
        <v>1</v>
      </c>
      <c r="B5" s="76" t="s">
        <v>96</v>
      </c>
      <c r="C5" s="406">
        <f>IF($A5&gt;C$1,0,IF($A5=C$1,C$3*Bases!F$9,B12*Bases!F$9))</f>
        <v>0</v>
      </c>
      <c r="D5" s="406">
        <f>IF($A5&gt;D$1,0,IF($A5=D$1,D$3*Bases!G$9,C12*Bases!G$9))</f>
        <v>0</v>
      </c>
      <c r="E5" s="406">
        <f>IF($A5&gt;E$1,0,IF($A5=E$1,E$3*Bases!H$9,D12*Bases!H$9))</f>
        <v>0</v>
      </c>
      <c r="F5" s="406">
        <f>IF($A5&gt;F$1,0,IF($A5=F$1,F$3*Bases!I$9,E12*Bases!I$9))</f>
        <v>0</v>
      </c>
      <c r="G5" s="406">
        <f>IF($A5&gt;G$1,0,IF($A5=G$1,G$3*Bases!J$9,F12*Bases!J$9))</f>
        <v>0</v>
      </c>
    </row>
    <row r="6" spans="1:7" x14ac:dyDescent="0.25">
      <c r="A6" s="49">
        <v>2</v>
      </c>
      <c r="B6" s="76" t="s">
        <v>97</v>
      </c>
      <c r="C6" s="406">
        <f>IF($A6&gt;C$1,0,IF($A6=C$1,C$3*Bases!F$9,B13*Bases!F$9))</f>
        <v>0</v>
      </c>
      <c r="D6" s="406">
        <f>IF($A6&gt;D$1,0,IF($A6=D$1,D$3*Bases!G$9,C13*Bases!G$9))</f>
        <v>0</v>
      </c>
      <c r="E6" s="406">
        <f>IF($A6&gt;E$1,0,IF($A6=E$1,E$3*Bases!H$9,D13*Bases!H$9))</f>
        <v>0</v>
      </c>
      <c r="F6" s="406">
        <f>IF($A6&gt;F$1,0,IF($A6=F$1,F$3*Bases!I$9,E13*Bases!I$9))</f>
        <v>0</v>
      </c>
      <c r="G6" s="406">
        <f>IF($A6&gt;G$1,0,IF($A6=G$1,G$3*Bases!J$9,F13*Bases!J$9))</f>
        <v>0</v>
      </c>
    </row>
    <row r="7" spans="1:7" x14ac:dyDescent="0.25">
      <c r="A7" s="49">
        <v>3</v>
      </c>
      <c r="B7" s="76" t="s">
        <v>98</v>
      </c>
      <c r="C7" s="406">
        <f>IF($A7&gt;C$1,0,IF($A7=C$1,C$3*Bases!F$9,B14*Bases!F$9))</f>
        <v>0</v>
      </c>
      <c r="D7" s="406">
        <f>IF($A7&gt;D$1,0,IF($A7=D$1,D$3*Bases!G$9,C14*Bases!G$9))</f>
        <v>0</v>
      </c>
      <c r="E7" s="406">
        <f>IF($A7&gt;E$1,0,IF($A7=E$1,E$3*Bases!H$9,D14*Bases!H$9))</f>
        <v>0</v>
      </c>
      <c r="F7" s="406">
        <f>IF($A7&gt;F$1,0,IF($A7=F$1,F$3*Bases!I$9,E14*Bases!I$9))</f>
        <v>0</v>
      </c>
      <c r="G7" s="406">
        <f>IF($A7&gt;G$1,0,IF($A7=G$1,G$3*Bases!J$9,F14*Bases!J$9))</f>
        <v>0</v>
      </c>
    </row>
    <row r="8" spans="1:7" x14ac:dyDescent="0.25">
      <c r="A8" s="49">
        <v>4</v>
      </c>
      <c r="B8" s="76" t="s">
        <v>99</v>
      </c>
      <c r="C8" s="406">
        <f>IF($A8&gt;C$1,0,IF($A8=C$1,C$3*Bases!F$9,B15*Bases!F$9))</f>
        <v>0</v>
      </c>
      <c r="D8" s="406">
        <f>IF($A8&gt;D$1,0,IF($A8=D$1,D$3*Bases!G$9,C15*Bases!G$9))</f>
        <v>0</v>
      </c>
      <c r="E8" s="406">
        <f>IF($A8&gt;E$1,0,IF($A8=E$1,E$3*Bases!H$9,D15*Bases!H$9))</f>
        <v>0</v>
      </c>
      <c r="F8" s="406">
        <f>IF($A8&gt;F$1,0,IF($A8=F$1,F$3*Bases!I$9,E15*Bases!I$9))</f>
        <v>0</v>
      </c>
      <c r="G8" s="406">
        <f>IF($A8&gt;G$1,0,IF($A8=G$1,G$3*Bases!J$9,F15*Bases!J$9))</f>
        <v>0</v>
      </c>
    </row>
    <row r="9" spans="1:7" x14ac:dyDescent="0.25">
      <c r="A9" s="49">
        <v>5</v>
      </c>
      <c r="B9" s="76" t="s">
        <v>100</v>
      </c>
      <c r="C9" s="406">
        <f>IF($A9&gt;C$1,0,IF($A9=C$1,C$3*Bases!F$9,B16*Bases!F$9))</f>
        <v>0</v>
      </c>
      <c r="D9" s="406">
        <f>IF($A9&gt;D$1,0,IF($A9=D$1,D$3*Bases!G$9,C16*Bases!G$9))</f>
        <v>0</v>
      </c>
      <c r="E9" s="406">
        <f>IF($A9&gt;E$1,0,IF($A9=E$1,E$3*Bases!H$9,D16*Bases!H$9))</f>
        <v>0</v>
      </c>
      <c r="F9" s="406">
        <f>IF($A9&gt;F$1,0,IF($A9=F$1,F$3*Bases!I$9,E16*Bases!I$9))</f>
        <v>0</v>
      </c>
      <c r="G9" s="406">
        <f>IF($A9&gt;G$1,0,IF($A9=G$1,G$3*Bases!J$9,F16*Bases!J$9))</f>
        <v>0</v>
      </c>
    </row>
    <row r="10" spans="1:7" x14ac:dyDescent="0.25">
      <c r="B10" s="49" t="s">
        <v>101</v>
      </c>
      <c r="C10" s="406">
        <f>SUM(C5:C9)</f>
        <v>0</v>
      </c>
      <c r="D10" s="406">
        <f>SUM(D5:D9)</f>
        <v>0</v>
      </c>
      <c r="E10" s="406">
        <f>SUM(E5:E9)</f>
        <v>0</v>
      </c>
      <c r="F10" s="406">
        <f>SUM(F5:F9)</f>
        <v>0</v>
      </c>
      <c r="G10" s="406">
        <f>SUM(G5:G9)</f>
        <v>0</v>
      </c>
    </row>
    <row r="11" spans="1:7" s="30" customFormat="1" x14ac:dyDescent="0.25">
      <c r="B11" s="28" t="s">
        <v>102</v>
      </c>
      <c r="C11" s="451"/>
      <c r="D11" s="451"/>
      <c r="E11" s="451"/>
      <c r="F11" s="451"/>
      <c r="G11" s="451"/>
    </row>
    <row r="12" spans="1:7" x14ac:dyDescent="0.25">
      <c r="A12" s="49">
        <v>1</v>
      </c>
      <c r="B12" s="76" t="s">
        <v>96</v>
      </c>
      <c r="C12" s="406">
        <f t="shared" ref="C12:G16" si="0">IF($A12&gt;C$1,0,IF($A12=C$1,C$3+C5,B12+C5))</f>
        <v>0</v>
      </c>
      <c r="D12" s="406">
        <f t="shared" si="0"/>
        <v>0</v>
      </c>
      <c r="E12" s="406">
        <f t="shared" si="0"/>
        <v>0</v>
      </c>
      <c r="F12" s="406">
        <f t="shared" si="0"/>
        <v>0</v>
      </c>
      <c r="G12" s="406">
        <f t="shared" si="0"/>
        <v>0</v>
      </c>
    </row>
    <row r="13" spans="1:7" x14ac:dyDescent="0.25">
      <c r="A13" s="49">
        <v>2</v>
      </c>
      <c r="B13" s="76" t="s">
        <v>97</v>
      </c>
      <c r="C13" s="406">
        <f t="shared" si="0"/>
        <v>0</v>
      </c>
      <c r="D13" s="406">
        <f t="shared" si="0"/>
        <v>0</v>
      </c>
      <c r="E13" s="406">
        <f t="shared" si="0"/>
        <v>0</v>
      </c>
      <c r="F13" s="406">
        <f t="shared" si="0"/>
        <v>0</v>
      </c>
      <c r="G13" s="406">
        <f t="shared" si="0"/>
        <v>0</v>
      </c>
    </row>
    <row r="14" spans="1:7" x14ac:dyDescent="0.25">
      <c r="A14" s="49">
        <v>3</v>
      </c>
      <c r="B14" s="76" t="s">
        <v>98</v>
      </c>
      <c r="C14" s="406">
        <f t="shared" si="0"/>
        <v>0</v>
      </c>
      <c r="D14" s="406">
        <f t="shared" si="0"/>
        <v>0</v>
      </c>
      <c r="E14" s="406">
        <f t="shared" si="0"/>
        <v>0</v>
      </c>
      <c r="F14" s="406">
        <f t="shared" si="0"/>
        <v>0</v>
      </c>
      <c r="G14" s="406">
        <f t="shared" si="0"/>
        <v>0</v>
      </c>
    </row>
    <row r="15" spans="1:7" x14ac:dyDescent="0.25">
      <c r="A15" s="49">
        <v>4</v>
      </c>
      <c r="B15" s="76" t="s">
        <v>99</v>
      </c>
      <c r="C15" s="406">
        <f t="shared" si="0"/>
        <v>0</v>
      </c>
      <c r="D15" s="406">
        <f t="shared" si="0"/>
        <v>0</v>
      </c>
      <c r="E15" s="406">
        <f t="shared" si="0"/>
        <v>0</v>
      </c>
      <c r="F15" s="406">
        <f t="shared" si="0"/>
        <v>0</v>
      </c>
      <c r="G15" s="406">
        <f t="shared" si="0"/>
        <v>0</v>
      </c>
    </row>
    <row r="16" spans="1:7" x14ac:dyDescent="0.25">
      <c r="A16" s="49">
        <v>5</v>
      </c>
      <c r="B16" s="76" t="s">
        <v>100</v>
      </c>
      <c r="C16" s="406">
        <f t="shared" si="0"/>
        <v>0</v>
      </c>
      <c r="D16" s="406">
        <f t="shared" si="0"/>
        <v>0</v>
      </c>
      <c r="E16" s="406">
        <f t="shared" si="0"/>
        <v>0</v>
      </c>
      <c r="F16" s="406">
        <f t="shared" si="0"/>
        <v>0</v>
      </c>
      <c r="G16" s="406">
        <f t="shared" si="0"/>
        <v>0</v>
      </c>
    </row>
    <row r="17" spans="1:7" x14ac:dyDescent="0.25">
      <c r="B17" s="49" t="s">
        <v>103</v>
      </c>
      <c r="C17" s="447">
        <f>SUM(C12:C16)</f>
        <v>0</v>
      </c>
      <c r="D17" s="447">
        <f>SUM(D12:D16)</f>
        <v>0</v>
      </c>
      <c r="E17" s="447">
        <f>SUM(E12:E16)</f>
        <v>0</v>
      </c>
      <c r="F17" s="447">
        <f>SUM(F12:F16)</f>
        <v>0</v>
      </c>
      <c r="G17" s="447">
        <f>SUM(G12:G16)</f>
        <v>0</v>
      </c>
    </row>
    <row r="18" spans="1:7" s="30" customFormat="1" ht="13.5" customHeight="1" x14ac:dyDescent="0.25">
      <c r="B18" s="28" t="s">
        <v>18</v>
      </c>
      <c r="C18" s="451"/>
      <c r="D18" s="451"/>
      <c r="E18" s="451"/>
      <c r="F18" s="451"/>
      <c r="G18" s="451"/>
    </row>
    <row r="19" spans="1:7" x14ac:dyDescent="0.25">
      <c r="A19" s="49">
        <v>1</v>
      </c>
      <c r="B19" s="76" t="s">
        <v>96</v>
      </c>
      <c r="C19" s="406">
        <f>IF(OR($A19&gt;C$1,Bases!$D$39+$A19-1&lt;C$1),0,C12/Bases!$D$39)</f>
        <v>0</v>
      </c>
      <c r="D19" s="406">
        <f>IF(OR($A19&gt;D$1,Bases!$D$39+$A19-1&lt;D$1),0,D12/Bases!$D$39)</f>
        <v>0</v>
      </c>
      <c r="E19" s="406">
        <f>IF(OR($A19&gt;E$1,Bases!$D$39+$A19-1&lt;E$1),0,E12/Bases!$D$39)</f>
        <v>0</v>
      </c>
      <c r="F19" s="406">
        <f>IF(OR($A19&gt;F$1,Bases!$D$39+$A19-1&lt;F$1),0,F12/Bases!$D$39)</f>
        <v>0</v>
      </c>
      <c r="G19" s="406">
        <f>IF(OR($A19&gt;G$1,Bases!$D$39+$A19-1&lt;G$1),0,G12/Bases!$D$39)</f>
        <v>0</v>
      </c>
    </row>
    <row r="20" spans="1:7" x14ac:dyDescent="0.25">
      <c r="A20" s="49">
        <v>2</v>
      </c>
      <c r="B20" s="76" t="s">
        <v>97</v>
      </c>
      <c r="C20" s="406">
        <f>IF(OR($A20&gt;C$1,Bases!$D$39+$A20-1&lt;C$1),0,C13/Bases!$D$39)</f>
        <v>0</v>
      </c>
      <c r="D20" s="406">
        <f>IF(OR($A20&gt;D$1,Bases!$D$39+$A20-1&lt;D$1),0,D13/Bases!$D$39)</f>
        <v>0</v>
      </c>
      <c r="E20" s="406">
        <f>IF(OR($A20&gt;E$1,Bases!$D$39+$A20-1&lt;E$1),0,E13/Bases!$D$39)</f>
        <v>0</v>
      </c>
      <c r="F20" s="406">
        <f>IF(OR($A20&gt;F$1,Bases!$D$39+$A20-1&lt;F$1),0,F13/Bases!$D$39)</f>
        <v>0</v>
      </c>
      <c r="G20" s="406">
        <f>IF(OR($A20&gt;G$1,Bases!$D$39+$A20-1&lt;G$1),0,G13/Bases!$D$39)</f>
        <v>0</v>
      </c>
    </row>
    <row r="21" spans="1:7" x14ac:dyDescent="0.25">
      <c r="A21" s="49">
        <v>3</v>
      </c>
      <c r="B21" s="76" t="s">
        <v>98</v>
      </c>
      <c r="C21" s="406">
        <f>IF(OR($A21&gt;C$1,Bases!$D$39+$A21-1&lt;C$1),0,C14/Bases!$D$39)</f>
        <v>0</v>
      </c>
      <c r="D21" s="406">
        <f>IF(OR($A21&gt;D$1,Bases!$D$39+$A21-1&lt;D$1),0,D14/Bases!$D$39)</f>
        <v>0</v>
      </c>
      <c r="E21" s="406">
        <f>IF(OR($A21&gt;E$1,Bases!$D$39+$A21-1&lt;E$1),0,E14/Bases!$D$39)</f>
        <v>0</v>
      </c>
      <c r="F21" s="406">
        <f>IF(OR($A21&gt;F$1,Bases!$D$39+$A21-1&lt;F$1),0,F14/Bases!$D$39)</f>
        <v>0</v>
      </c>
      <c r="G21" s="406">
        <f>IF(OR($A21&gt;G$1,Bases!$D$39+$A21-1&lt;G$1),0,G14/Bases!$D$39)</f>
        <v>0</v>
      </c>
    </row>
    <row r="22" spans="1:7" x14ac:dyDescent="0.25">
      <c r="A22" s="49">
        <v>4</v>
      </c>
      <c r="B22" s="76" t="s">
        <v>99</v>
      </c>
      <c r="C22" s="406">
        <f>IF(OR($A22&gt;C$1,Bases!$D$39+$A22-1&lt;C$1),0,C15/Bases!$D$39)</f>
        <v>0</v>
      </c>
      <c r="D22" s="406">
        <f>IF(OR($A22&gt;D$1,Bases!$D$39+$A22-1&lt;D$1),0,D15/Bases!$D$39)</f>
        <v>0</v>
      </c>
      <c r="E22" s="406">
        <f>IF(OR($A22&gt;E$1,Bases!$D$39+$A22-1&lt;E$1),0,E15/Bases!$D$39)</f>
        <v>0</v>
      </c>
      <c r="F22" s="406">
        <f>IF(OR($A22&gt;F$1,Bases!$D$39+$A22-1&lt;F$1),0,F15/Bases!$D$39)</f>
        <v>0</v>
      </c>
      <c r="G22" s="406">
        <f>IF(OR($A22&gt;G$1,Bases!$D$39+$A22-1&lt;G$1),0,G15/Bases!$D$39)</f>
        <v>0</v>
      </c>
    </row>
    <row r="23" spans="1:7" x14ac:dyDescent="0.25">
      <c r="A23" s="49">
        <v>5</v>
      </c>
      <c r="B23" s="76" t="s">
        <v>100</v>
      </c>
      <c r="C23" s="406">
        <f>IF(OR($A23&gt;C$1,Bases!$D$39+$A23-1&lt;C$1),0,C16/Bases!$D$39)</f>
        <v>0</v>
      </c>
      <c r="D23" s="406">
        <f>IF(OR($A23&gt;D$1,Bases!$D$39+$A23-1&lt;D$1),0,D16/Bases!$D$39)</f>
        <v>0</v>
      </c>
      <c r="E23" s="406">
        <f>IF(OR($A23&gt;E$1,Bases!$D$39+$A23-1&lt;E$1),0,E16/Bases!$D$39)</f>
        <v>0</v>
      </c>
      <c r="F23" s="406">
        <f>IF(OR($A23&gt;F$1,Bases!$D$39+$A23-1&lt;F$1),0,F16/Bases!$D$39)</f>
        <v>0</v>
      </c>
      <c r="G23" s="406">
        <f>IF(OR($A23&gt;G$1,Bases!$D$39+$A23-1&lt;G$1),0,G16/Bases!$D$39)</f>
        <v>0</v>
      </c>
    </row>
    <row r="24" spans="1:7" x14ac:dyDescent="0.25">
      <c r="B24" s="49" t="s">
        <v>104</v>
      </c>
      <c r="C24" s="447">
        <f>SUM(C19:C23)</f>
        <v>0</v>
      </c>
      <c r="D24" s="447">
        <f>SUM(D19:D23)</f>
        <v>0</v>
      </c>
      <c r="E24" s="447">
        <f>SUM(E19:E23)</f>
        <v>0</v>
      </c>
      <c r="F24" s="447">
        <f>SUM(F19:F23)</f>
        <v>0</v>
      </c>
      <c r="G24" s="447">
        <f>SUM(G19:G23)</f>
        <v>0</v>
      </c>
    </row>
    <row r="25" spans="1:7" s="30" customFormat="1" ht="13.5" customHeight="1" x14ac:dyDescent="0.25">
      <c r="B25" s="28" t="s">
        <v>105</v>
      </c>
      <c r="C25" s="451"/>
      <c r="D25" s="451"/>
      <c r="E25" s="451"/>
      <c r="F25" s="451"/>
      <c r="G25" s="451"/>
    </row>
    <row r="26" spans="1:7" x14ac:dyDescent="0.25">
      <c r="A26" s="49">
        <v>1</v>
      </c>
      <c r="B26" s="67" t="s">
        <v>96</v>
      </c>
      <c r="C26" s="406">
        <f>IF($A26&gt;=C$1,0,B33*Bases!F$9)</f>
        <v>0</v>
      </c>
      <c r="D26" s="406">
        <f>IF($A26&gt;=D$1,0,C33*Bases!G$9)</f>
        <v>0</v>
      </c>
      <c r="E26" s="406">
        <f>IF($A26&gt;=E$1,0,D33*Bases!H$9)</f>
        <v>0</v>
      </c>
      <c r="F26" s="406">
        <f>IF($A26&gt;=F$1,0,E33*Bases!I$9)</f>
        <v>0</v>
      </c>
      <c r="G26" s="406">
        <f>IF($A26&gt;=G$1,0,F33*Bases!J$9)</f>
        <v>0</v>
      </c>
    </row>
    <row r="27" spans="1:7" x14ac:dyDescent="0.25">
      <c r="A27" s="49">
        <v>2</v>
      </c>
      <c r="B27" s="67" t="s">
        <v>97</v>
      </c>
      <c r="C27" s="406">
        <f>IF($A27&gt;=C$1,0,B34*Bases!F$9)</f>
        <v>0</v>
      </c>
      <c r="D27" s="406">
        <f>IF($A27&gt;=D$1,0,C34*Bases!G$9)</f>
        <v>0</v>
      </c>
      <c r="E27" s="406">
        <f>IF($A27&gt;=E$1,0,D34*Bases!H$9)</f>
        <v>0</v>
      </c>
      <c r="F27" s="406">
        <f>IF($A27&gt;=F$1,0,E34*Bases!I$9)</f>
        <v>0</v>
      </c>
      <c r="G27" s="406">
        <f>IF($A27&gt;=G$1,0,F34*Bases!J$9)</f>
        <v>0</v>
      </c>
    </row>
    <row r="28" spans="1:7" x14ac:dyDescent="0.25">
      <c r="A28" s="49">
        <v>3</v>
      </c>
      <c r="B28" s="67" t="s">
        <v>98</v>
      </c>
      <c r="C28" s="406">
        <f>IF($A28&gt;=C$1,0,B35*Bases!F$9)</f>
        <v>0</v>
      </c>
      <c r="D28" s="406">
        <f>IF($A28&gt;=D$1,0,C35*Bases!G$9)</f>
        <v>0</v>
      </c>
      <c r="E28" s="406">
        <f>IF($A28&gt;=E$1,0,D35*Bases!H$9)</f>
        <v>0</v>
      </c>
      <c r="F28" s="406">
        <f>IF($A28&gt;=F$1,0,E35*Bases!I$9)</f>
        <v>0</v>
      </c>
      <c r="G28" s="406">
        <f>IF($A28&gt;=G$1,0,F35*Bases!J$9)</f>
        <v>0</v>
      </c>
    </row>
    <row r="29" spans="1:7" x14ac:dyDescent="0.25">
      <c r="A29" s="49">
        <v>4</v>
      </c>
      <c r="B29" s="67" t="s">
        <v>99</v>
      </c>
      <c r="C29" s="406">
        <f>IF($A29&gt;=C$1,0,B36*Bases!F$9)</f>
        <v>0</v>
      </c>
      <c r="D29" s="406">
        <f>IF($A29&gt;=D$1,0,C36*Bases!G$9)</f>
        <v>0</v>
      </c>
      <c r="E29" s="406">
        <f>IF($A29&gt;=E$1,0,D36*Bases!H$9)</f>
        <v>0</v>
      </c>
      <c r="F29" s="406">
        <f>IF($A29&gt;=F$1,0,E36*Bases!I$9)</f>
        <v>0</v>
      </c>
      <c r="G29" s="406">
        <f>IF($A29&gt;=G$1,0,F36*Bases!J$9)</f>
        <v>0</v>
      </c>
    </row>
    <row r="30" spans="1:7" x14ac:dyDescent="0.25">
      <c r="A30" s="49">
        <v>5</v>
      </c>
      <c r="B30" s="67" t="s">
        <v>100</v>
      </c>
      <c r="C30" s="406">
        <f>IF($A30&gt;=C$1,0,B37*Bases!F$9)</f>
        <v>0</v>
      </c>
      <c r="D30" s="406">
        <f>IF($A30&gt;=D$1,0,C37*Bases!G$9)</f>
        <v>0</v>
      </c>
      <c r="E30" s="406">
        <f>IF($A30&gt;=E$1,0,D37*Bases!H$9)</f>
        <v>0</v>
      </c>
      <c r="F30" s="406">
        <f>IF($A30&gt;=F$1,0,E37*Bases!I$9)</f>
        <v>0</v>
      </c>
      <c r="G30" s="406">
        <f>IF($A30&gt;=G$1,0,F37*Bases!J$9)</f>
        <v>0</v>
      </c>
    </row>
    <row r="31" spans="1:7" x14ac:dyDescent="0.25">
      <c r="B31" s="153" t="s">
        <v>106</v>
      </c>
      <c r="C31" s="406">
        <f>SUM(C26:C30)</f>
        <v>0</v>
      </c>
      <c r="D31" s="406">
        <f>SUM(D26:D30)</f>
        <v>0</v>
      </c>
      <c r="E31" s="406">
        <f>SUM(E26:E30)</f>
        <v>0</v>
      </c>
      <c r="F31" s="406">
        <f>SUM(F26:F30)</f>
        <v>0</v>
      </c>
      <c r="G31" s="406">
        <f>SUM(G26:G30)</f>
        <v>0</v>
      </c>
    </row>
    <row r="32" spans="1:7" s="30" customFormat="1" ht="13.5" customHeight="1" x14ac:dyDescent="0.25">
      <c r="B32" s="28" t="s">
        <v>107</v>
      </c>
      <c r="C32" s="451"/>
      <c r="D32" s="451"/>
      <c r="E32" s="451"/>
      <c r="F32" s="451"/>
      <c r="G32" s="451"/>
    </row>
    <row r="33" spans="1:8" x14ac:dyDescent="0.25">
      <c r="A33" s="49">
        <v>1</v>
      </c>
      <c r="B33" s="76" t="s">
        <v>96</v>
      </c>
      <c r="C33" s="447">
        <f t="shared" ref="C33:G37" si="1">IF($A33&gt;C$1,0,IF($A33=C$1,C19,B33+C19+C26))</f>
        <v>0</v>
      </c>
      <c r="D33" s="447">
        <f t="shared" si="1"/>
        <v>0</v>
      </c>
      <c r="E33" s="447">
        <f t="shared" si="1"/>
        <v>0</v>
      </c>
      <c r="F33" s="447">
        <f t="shared" si="1"/>
        <v>0</v>
      </c>
      <c r="G33" s="447">
        <f t="shared" si="1"/>
        <v>0</v>
      </c>
      <c r="H33" s="32"/>
    </row>
    <row r="34" spans="1:8" x14ac:dyDescent="0.25">
      <c r="A34" s="49">
        <v>2</v>
      </c>
      <c r="B34" s="76" t="s">
        <v>97</v>
      </c>
      <c r="C34" s="447">
        <f t="shared" si="1"/>
        <v>0</v>
      </c>
      <c r="D34" s="447">
        <f t="shared" si="1"/>
        <v>0</v>
      </c>
      <c r="E34" s="447">
        <f t="shared" si="1"/>
        <v>0</v>
      </c>
      <c r="F34" s="447">
        <f t="shared" si="1"/>
        <v>0</v>
      </c>
      <c r="G34" s="447">
        <f t="shared" si="1"/>
        <v>0</v>
      </c>
    </row>
    <row r="35" spans="1:8" x14ac:dyDescent="0.25">
      <c r="A35" s="49">
        <v>3</v>
      </c>
      <c r="B35" s="76" t="s">
        <v>98</v>
      </c>
      <c r="C35" s="447">
        <f t="shared" si="1"/>
        <v>0</v>
      </c>
      <c r="D35" s="447">
        <f t="shared" si="1"/>
        <v>0</v>
      </c>
      <c r="E35" s="447">
        <f t="shared" si="1"/>
        <v>0</v>
      </c>
      <c r="F35" s="447">
        <f t="shared" si="1"/>
        <v>0</v>
      </c>
      <c r="G35" s="447">
        <f t="shared" si="1"/>
        <v>0</v>
      </c>
    </row>
    <row r="36" spans="1:8" x14ac:dyDescent="0.25">
      <c r="A36" s="49">
        <v>4</v>
      </c>
      <c r="B36" s="76" t="s">
        <v>99</v>
      </c>
      <c r="C36" s="447">
        <f t="shared" si="1"/>
        <v>0</v>
      </c>
      <c r="D36" s="447">
        <f t="shared" si="1"/>
        <v>0</v>
      </c>
      <c r="E36" s="447">
        <f t="shared" si="1"/>
        <v>0</v>
      </c>
      <c r="F36" s="447">
        <f t="shared" si="1"/>
        <v>0</v>
      </c>
      <c r="G36" s="447">
        <f t="shared" si="1"/>
        <v>0</v>
      </c>
    </row>
    <row r="37" spans="1:8" x14ac:dyDescent="0.25">
      <c r="A37" s="49">
        <v>5</v>
      </c>
      <c r="B37" s="76" t="s">
        <v>100</v>
      </c>
      <c r="C37" s="447">
        <f t="shared" si="1"/>
        <v>0</v>
      </c>
      <c r="D37" s="447">
        <f t="shared" si="1"/>
        <v>0</v>
      </c>
      <c r="E37" s="447">
        <f t="shared" si="1"/>
        <v>0</v>
      </c>
      <c r="F37" s="447">
        <f t="shared" si="1"/>
        <v>0</v>
      </c>
      <c r="G37" s="447">
        <f t="shared" si="1"/>
        <v>0</v>
      </c>
    </row>
    <row r="38" spans="1:8" x14ac:dyDescent="0.25">
      <c r="B38" s="49" t="s">
        <v>108</v>
      </c>
      <c r="C38" s="447">
        <f>SUM(C33:C37)</f>
        <v>0</v>
      </c>
      <c r="D38" s="447">
        <f>SUM(D33:D37)</f>
        <v>0</v>
      </c>
      <c r="E38" s="447">
        <f>SUM(E33:E37)</f>
        <v>0</v>
      </c>
      <c r="F38" s="447">
        <f>SUM(F33:F37)</f>
        <v>0</v>
      </c>
      <c r="G38" s="447">
        <f>SUM(G33:G37)</f>
        <v>0</v>
      </c>
    </row>
  </sheetData>
  <sheetProtection password="CA1B" sheet="1"/>
  <phoneticPr fontId="0" type="noConversion"/>
  <hyperlinks>
    <hyperlink ref="B1" location="Inicio!A1" display="Inicio" xr:uid="{00000000-0004-0000-1700-000000000000}"/>
  </hyperlinks>
  <printOptions horizontalCentered="1" verticalCentered="1" gridLines="1"/>
  <pageMargins left="0.19685039370078741" right="0.19685039370078741" top="0.98425196850393704" bottom="0.39370078740157483" header="0.59055118110236227" footer="0.51181102362204722"/>
  <pageSetup scale="85" orientation="landscape" horizontalDpi="300" verticalDpi="0"/>
  <headerFooter alignWithMargins="0">
    <oddHeader xml:space="preserve">&amp;C&amp;"Arial,Negrita"&amp;14&amp;A&amp;"Arial,Normal"&amp;10
</oddHeader>
    <oddFooter>&amp;L&amp;"Arial,Negrita"&amp;8&amp;F&amp;C&amp;"Arial,Negrita"&amp;8Página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14">
    <tabColor indexed="30"/>
  </sheetPr>
  <dimension ref="A1:H39"/>
  <sheetViews>
    <sheetView showGridLines="0" zoomScaleNormal="100" workbookViewId="0">
      <selection activeCell="G1" sqref="G1"/>
    </sheetView>
  </sheetViews>
  <sheetFormatPr baseColWidth="10" defaultColWidth="0" defaultRowHeight="13.2" zeroHeight="1" x14ac:dyDescent="0.25"/>
  <cols>
    <col min="1" max="1" width="2.21875" style="1" customWidth="1"/>
    <col min="2" max="2" width="29.44140625" style="1" customWidth="1"/>
    <col min="3" max="4" width="16.21875" style="1" customWidth="1"/>
    <col min="5" max="7" width="15.33203125" style="1" customWidth="1"/>
    <col min="8" max="8" width="12.77734375" style="1" hidden="1" customWidth="1"/>
    <col min="9" max="16384" width="0" style="1" hidden="1"/>
  </cols>
  <sheetData>
    <row r="1" spans="1:7" ht="17.399999999999999" x14ac:dyDescent="0.25">
      <c r="B1" s="329" t="s">
        <v>350</v>
      </c>
      <c r="C1" s="161">
        <v>1</v>
      </c>
      <c r="D1" s="161">
        <v>2</v>
      </c>
      <c r="E1" s="161">
        <v>3</v>
      </c>
      <c r="F1" s="161">
        <v>4</v>
      </c>
      <c r="G1" s="161">
        <v>5</v>
      </c>
    </row>
    <row r="2" spans="1:7" x14ac:dyDescent="0.25">
      <c r="B2" s="157" t="s">
        <v>95</v>
      </c>
      <c r="C2" s="448"/>
      <c r="D2" s="448"/>
      <c r="E2" s="448"/>
      <c r="F2" s="448"/>
      <c r="G2" s="448"/>
    </row>
    <row r="3" spans="1:7" x14ac:dyDescent="0.25">
      <c r="B3" s="160" t="s">
        <v>156</v>
      </c>
      <c r="C3" s="452">
        <f>' Inversiones Fijas y Diferidas'!H125</f>
        <v>0</v>
      </c>
      <c r="D3" s="452">
        <f>' Inversiones Fijas y Diferidas'!I125</f>
        <v>0</v>
      </c>
      <c r="E3" s="452">
        <f>' Inversiones Fijas y Diferidas'!J125</f>
        <v>0</v>
      </c>
      <c r="F3" s="452">
        <f>' Inversiones Fijas y Diferidas'!K125</f>
        <v>0</v>
      </c>
      <c r="G3" s="452">
        <f>' Inversiones Fijas y Diferidas'!L125</f>
        <v>0</v>
      </c>
    </row>
    <row r="4" spans="1:7" s="18" customFormat="1" x14ac:dyDescent="0.25">
      <c r="B4" s="75" t="s">
        <v>12</v>
      </c>
      <c r="C4" s="450"/>
      <c r="D4" s="450"/>
      <c r="E4" s="450"/>
      <c r="F4" s="450"/>
      <c r="G4" s="450"/>
    </row>
    <row r="5" spans="1:7" x14ac:dyDescent="0.25">
      <c r="A5" s="154">
        <v>1</v>
      </c>
      <c r="B5" s="76" t="s">
        <v>96</v>
      </c>
      <c r="C5" s="419">
        <f>IF($A5&gt;C$1,0,IF($A5=C$1,C$3*Bases!F$9,B12*Bases!F$9))</f>
        <v>0</v>
      </c>
      <c r="D5" s="406">
        <f>IF($A5&gt;D$1,0,IF($A5=D$1,D$3*Bases!G$9,C12*Bases!G$9))</f>
        <v>0</v>
      </c>
      <c r="E5" s="406">
        <f>IF($A5&gt;E$1,0,IF($A5=E$1,E$3*Bases!H$9,D12*Bases!H$9))</f>
        <v>0</v>
      </c>
      <c r="F5" s="406">
        <f>IF($A5&gt;F$1,0,IF($A5=F$1,F$3*Bases!I$9,E12*Bases!I$9))</f>
        <v>0</v>
      </c>
      <c r="G5" s="406">
        <f>IF($A5&gt;G$1,0,IF($A5=G$1,G$3*Bases!J$9,F12*Bases!J$9))</f>
        <v>0</v>
      </c>
    </row>
    <row r="6" spans="1:7" x14ac:dyDescent="0.25">
      <c r="A6" s="154">
        <v>2</v>
      </c>
      <c r="B6" s="76" t="s">
        <v>97</v>
      </c>
      <c r="C6" s="419">
        <f>IF($A6&gt;C$1,0,IF($A6=C$1,C$3*Bases!F$9,B13*Bases!F$9))</f>
        <v>0</v>
      </c>
      <c r="D6" s="406">
        <f>IF($A6&gt;D$1,0,IF($A6=D$1,D$3*Bases!G$9,C13*Bases!G$9))</f>
        <v>0</v>
      </c>
      <c r="E6" s="406">
        <f>IF($A6&gt;E$1,0,IF($A6=E$1,E$3*Bases!H$9,D13*Bases!H$9))</f>
        <v>0</v>
      </c>
      <c r="F6" s="406">
        <f>IF($A6&gt;F$1,0,IF($A6=F$1,F$3*Bases!I$9,E13*Bases!I$9))</f>
        <v>0</v>
      </c>
      <c r="G6" s="406">
        <f>IF($A6&gt;G$1,0,IF($A6=G$1,G$3*Bases!J$9,F13*Bases!J$9))</f>
        <v>0</v>
      </c>
    </row>
    <row r="7" spans="1:7" x14ac:dyDescent="0.25">
      <c r="A7" s="154">
        <v>3</v>
      </c>
      <c r="B7" s="76" t="s">
        <v>98</v>
      </c>
      <c r="C7" s="419">
        <f>IF($A7&gt;C$1,0,IF($A7=C$1,C$3*Bases!F$9,B14*Bases!F$9))</f>
        <v>0</v>
      </c>
      <c r="D7" s="406">
        <f>IF($A7&gt;D$1,0,IF($A7=D$1,D$3*Bases!G$9,C14*Bases!G$9))</f>
        <v>0</v>
      </c>
      <c r="E7" s="406">
        <f>IF($A7&gt;E$1,0,IF($A7=E$1,E$3*Bases!H$9,D14*Bases!H$9))</f>
        <v>0</v>
      </c>
      <c r="F7" s="406">
        <f>IF($A7&gt;F$1,0,IF($A7=F$1,F$3*Bases!I$9,E14*Bases!I$9))</f>
        <v>0</v>
      </c>
      <c r="G7" s="406">
        <f>IF($A7&gt;G$1,0,IF($A7=G$1,G$3*Bases!J$9,F14*Bases!J$9))</f>
        <v>0</v>
      </c>
    </row>
    <row r="8" spans="1:7" x14ac:dyDescent="0.25">
      <c r="A8" s="154">
        <v>4</v>
      </c>
      <c r="B8" s="76" t="s">
        <v>99</v>
      </c>
      <c r="C8" s="419">
        <f>IF($A8&gt;C$1,0,IF($A8=C$1,C$3*Bases!F$9,B15*Bases!F$9))</f>
        <v>0</v>
      </c>
      <c r="D8" s="406">
        <f>IF($A8&gt;D$1,0,IF($A8=D$1,D$3*Bases!G$9,C15*Bases!G$9))</f>
        <v>0</v>
      </c>
      <c r="E8" s="406">
        <f>IF($A8&gt;E$1,0,IF($A8=E$1,E$3*Bases!H$9,D15*Bases!H$9))</f>
        <v>0</v>
      </c>
      <c r="F8" s="406">
        <f>IF($A8&gt;F$1,0,IF($A8=F$1,F$3*Bases!I$9,E15*Bases!I$9))</f>
        <v>0</v>
      </c>
      <c r="G8" s="406">
        <f>IF($A8&gt;G$1,0,IF($A8=G$1,G$3*Bases!J$9,F15*Bases!J$9))</f>
        <v>0</v>
      </c>
    </row>
    <row r="9" spans="1:7" x14ac:dyDescent="0.25">
      <c r="A9" s="154">
        <v>5</v>
      </c>
      <c r="B9" s="76" t="s">
        <v>100</v>
      </c>
      <c r="C9" s="419">
        <f>IF($A9&gt;C$1,0,IF($A9=C$1,C$3*Bases!F$9,B16*Bases!F$9))</f>
        <v>0</v>
      </c>
      <c r="D9" s="406">
        <f>IF($A9&gt;D$1,0,IF($A9=D$1,D$3*Bases!G$9,C16*Bases!G$9))</f>
        <v>0</v>
      </c>
      <c r="E9" s="406">
        <f>IF($A9&gt;E$1,0,IF($A9=E$1,E$3*Bases!H$9,D16*Bases!H$9))</f>
        <v>0</v>
      </c>
      <c r="F9" s="406">
        <f>IF($A9&gt;F$1,0,IF($A9=F$1,F$3*Bases!I$9,E16*Bases!I$9))</f>
        <v>0</v>
      </c>
      <c r="G9" s="406">
        <f>IF($A9&gt;G$1,0,IF($A9=G$1,G$3*Bases!J$9,F16*Bases!J$9))</f>
        <v>0</v>
      </c>
    </row>
    <row r="10" spans="1:7" x14ac:dyDescent="0.25">
      <c r="B10" s="49" t="s">
        <v>101</v>
      </c>
      <c r="C10" s="419">
        <f>SUM(C5:C9)</f>
        <v>0</v>
      </c>
      <c r="D10" s="406">
        <f>SUM(D5:D9)</f>
        <v>0</v>
      </c>
      <c r="E10" s="406">
        <f>SUM(E5:E9)</f>
        <v>0</v>
      </c>
      <c r="F10" s="406">
        <f>SUM(F5:F9)</f>
        <v>0</v>
      </c>
      <c r="G10" s="406">
        <f>SUM(G5:G9)</f>
        <v>0</v>
      </c>
    </row>
    <row r="11" spans="1:7" s="30" customFormat="1" x14ac:dyDescent="0.25">
      <c r="B11" s="158" t="s">
        <v>102</v>
      </c>
      <c r="C11" s="451"/>
      <c r="D11" s="451"/>
      <c r="E11" s="451"/>
      <c r="F11" s="451"/>
      <c r="G11" s="451"/>
    </row>
    <row r="12" spans="1:7" x14ac:dyDescent="0.25">
      <c r="A12" s="49">
        <v>1</v>
      </c>
      <c r="B12" s="76" t="s">
        <v>96</v>
      </c>
      <c r="C12" s="406">
        <f t="shared" ref="C12:G16" si="0">IF($A12&gt;C$1,0,IF($A12=C$1,C$3+C5,B12+C5))</f>
        <v>0</v>
      </c>
      <c r="D12" s="406">
        <f t="shared" si="0"/>
        <v>0</v>
      </c>
      <c r="E12" s="406">
        <f t="shared" si="0"/>
        <v>0</v>
      </c>
      <c r="F12" s="406">
        <f t="shared" si="0"/>
        <v>0</v>
      </c>
      <c r="G12" s="406">
        <f t="shared" si="0"/>
        <v>0</v>
      </c>
    </row>
    <row r="13" spans="1:7" x14ac:dyDescent="0.25">
      <c r="A13" s="49">
        <v>2</v>
      </c>
      <c r="B13" s="76" t="s">
        <v>97</v>
      </c>
      <c r="C13" s="406">
        <f t="shared" si="0"/>
        <v>0</v>
      </c>
      <c r="D13" s="406">
        <f t="shared" si="0"/>
        <v>0</v>
      </c>
      <c r="E13" s="406">
        <f t="shared" si="0"/>
        <v>0</v>
      </c>
      <c r="F13" s="406">
        <f t="shared" si="0"/>
        <v>0</v>
      </c>
      <c r="G13" s="406">
        <f t="shared" si="0"/>
        <v>0</v>
      </c>
    </row>
    <row r="14" spans="1:7" x14ac:dyDescent="0.25">
      <c r="A14" s="49">
        <v>3</v>
      </c>
      <c r="B14" s="76" t="s">
        <v>98</v>
      </c>
      <c r="C14" s="406">
        <f t="shared" si="0"/>
        <v>0</v>
      </c>
      <c r="D14" s="406">
        <f t="shared" si="0"/>
        <v>0</v>
      </c>
      <c r="E14" s="406">
        <f t="shared" si="0"/>
        <v>0</v>
      </c>
      <c r="F14" s="406">
        <f t="shared" si="0"/>
        <v>0</v>
      </c>
      <c r="G14" s="406">
        <f t="shared" si="0"/>
        <v>0</v>
      </c>
    </row>
    <row r="15" spans="1:7" x14ac:dyDescent="0.25">
      <c r="A15" s="49">
        <v>4</v>
      </c>
      <c r="B15" s="76" t="s">
        <v>99</v>
      </c>
      <c r="C15" s="406">
        <f t="shared" si="0"/>
        <v>0</v>
      </c>
      <c r="D15" s="406">
        <f t="shared" si="0"/>
        <v>0</v>
      </c>
      <c r="E15" s="406">
        <f t="shared" si="0"/>
        <v>0</v>
      </c>
      <c r="F15" s="406">
        <f t="shared" si="0"/>
        <v>0</v>
      </c>
      <c r="G15" s="406">
        <f t="shared" si="0"/>
        <v>0</v>
      </c>
    </row>
    <row r="16" spans="1:7" x14ac:dyDescent="0.25">
      <c r="A16" s="49">
        <v>5</v>
      </c>
      <c r="B16" s="76" t="s">
        <v>100</v>
      </c>
      <c r="C16" s="406">
        <f t="shared" si="0"/>
        <v>0</v>
      </c>
      <c r="D16" s="406">
        <f t="shared" si="0"/>
        <v>0</v>
      </c>
      <c r="E16" s="406">
        <f t="shared" si="0"/>
        <v>0</v>
      </c>
      <c r="F16" s="406">
        <f t="shared" si="0"/>
        <v>0</v>
      </c>
      <c r="G16" s="406">
        <f t="shared" si="0"/>
        <v>0</v>
      </c>
    </row>
    <row r="17" spans="1:7" x14ac:dyDescent="0.25">
      <c r="B17" s="49" t="s">
        <v>103</v>
      </c>
      <c r="C17" s="447">
        <f>SUM(C12:C16)</f>
        <v>0</v>
      </c>
      <c r="D17" s="447">
        <f>SUM(D12:D16)</f>
        <v>0</v>
      </c>
      <c r="E17" s="447">
        <f>SUM(E12:E16)</f>
        <v>0</v>
      </c>
      <c r="F17" s="447">
        <f>SUM(F12:F16)</f>
        <v>0</v>
      </c>
      <c r="G17" s="447">
        <f>SUM(G12:G16)</f>
        <v>0</v>
      </c>
    </row>
    <row r="18" spans="1:7" s="30" customFormat="1" ht="13.5" customHeight="1" x14ac:dyDescent="0.25">
      <c r="B18" s="159" t="s">
        <v>18</v>
      </c>
      <c r="C18" s="451"/>
      <c r="D18" s="451"/>
      <c r="E18" s="451"/>
      <c r="F18" s="451"/>
      <c r="G18" s="451"/>
    </row>
    <row r="19" spans="1:7" x14ac:dyDescent="0.25">
      <c r="A19" s="49">
        <v>1</v>
      </c>
      <c r="B19" s="76" t="s">
        <v>96</v>
      </c>
      <c r="C19" s="406">
        <f>IF(OR($A19&gt;C$1,Bases!$D$40+$A19-1&lt;C$1),0,C12/Bases!$D$40)</f>
        <v>0</v>
      </c>
      <c r="D19" s="406">
        <f>IF(OR($A19&gt;D$1,Bases!$D$40+$A19-1&lt;D$1),0,D12/Bases!$D$40)</f>
        <v>0</v>
      </c>
      <c r="E19" s="406">
        <f>IF(OR($A19&gt;E$1,Bases!$D$40+$A19-1&lt;E$1),0,E12/Bases!$D$40)</f>
        <v>0</v>
      </c>
      <c r="F19" s="406">
        <f>IF(OR($A19&gt;F$1,Bases!$D$40+$A19-1&lt;F$1),0,F12/Bases!$D$40)</f>
        <v>0</v>
      </c>
      <c r="G19" s="406">
        <f>IF(OR($A19&gt;G$1,Bases!$D$40+$A19-1&lt;G$1),0,G12/Bases!$D$40)</f>
        <v>0</v>
      </c>
    </row>
    <row r="20" spans="1:7" x14ac:dyDescent="0.25">
      <c r="A20" s="49">
        <v>2</v>
      </c>
      <c r="B20" s="76" t="s">
        <v>97</v>
      </c>
      <c r="C20" s="406">
        <f>IF(OR($A20&gt;C$1,Bases!$D$40+$A20-1&lt;C$1),0,C13/Bases!$D$40)</f>
        <v>0</v>
      </c>
      <c r="D20" s="406">
        <f>IF(OR($A20&gt;D$1,Bases!$D$40+$A20-1&lt;D$1),0,D13/Bases!$D$40)</f>
        <v>0</v>
      </c>
      <c r="E20" s="406">
        <f>IF(OR($A20&gt;E$1,Bases!$D$40+$A20-1&lt;E$1),0,E13/Bases!$D$40)</f>
        <v>0</v>
      </c>
      <c r="F20" s="406">
        <f>IF(OR($A20&gt;F$1,Bases!$D$40+$A20-1&lt;F$1),0,F13/Bases!$D$40)</f>
        <v>0</v>
      </c>
      <c r="G20" s="406">
        <f>IF(OR($A20&gt;G$1,Bases!$D$40+$A20-1&lt;G$1),0,G13/Bases!$D$40)</f>
        <v>0</v>
      </c>
    </row>
    <row r="21" spans="1:7" x14ac:dyDescent="0.25">
      <c r="A21" s="49">
        <v>3</v>
      </c>
      <c r="B21" s="76" t="s">
        <v>98</v>
      </c>
      <c r="C21" s="406">
        <f>IF(OR($A21&gt;C$1,Bases!$D$40+$A21-1&lt;C$1),0,C14/Bases!$D$40)</f>
        <v>0</v>
      </c>
      <c r="D21" s="406">
        <f>IF(OR($A21&gt;D$1,Bases!$D$40+$A21-1&lt;D$1),0,D14/Bases!$D$40)</f>
        <v>0</v>
      </c>
      <c r="E21" s="406">
        <f>IF(OR($A21&gt;E$1,Bases!$D$40+$A21-1&lt;E$1),0,E14/Bases!$D$40)</f>
        <v>0</v>
      </c>
      <c r="F21" s="406">
        <f>IF(OR($A21&gt;F$1,Bases!$D$40+$A21-1&lt;F$1),0,F14/Bases!$D$40)</f>
        <v>0</v>
      </c>
      <c r="G21" s="406">
        <f>IF(OR($A21&gt;G$1,Bases!$D$40+$A21-1&lt;G$1),0,G14/Bases!$D$40)</f>
        <v>0</v>
      </c>
    </row>
    <row r="22" spans="1:7" x14ac:dyDescent="0.25">
      <c r="A22" s="49">
        <v>4</v>
      </c>
      <c r="B22" s="76" t="s">
        <v>99</v>
      </c>
      <c r="C22" s="406">
        <f>IF(OR($A22&gt;C$1,Bases!$D$40+$A22-1&lt;C$1),0,C15/Bases!$D$40)</f>
        <v>0</v>
      </c>
      <c r="D22" s="406">
        <f>IF(OR($A22&gt;D$1,Bases!$D$40+$A22-1&lt;D$1),0,D15/Bases!$D$40)</f>
        <v>0</v>
      </c>
      <c r="E22" s="406">
        <f>IF(OR($A22&gt;E$1,Bases!$D$40+$A22-1&lt;E$1),0,E15/Bases!$D$40)</f>
        <v>0</v>
      </c>
      <c r="F22" s="406">
        <f>IF(OR($A22&gt;F$1,Bases!$D$40+$A22-1&lt;F$1),0,F15/Bases!$D$40)</f>
        <v>0</v>
      </c>
      <c r="G22" s="406">
        <f>IF(OR($A22&gt;G$1,Bases!$D$40+$A22-1&lt;G$1),0,G15/Bases!$D$40)</f>
        <v>0</v>
      </c>
    </row>
    <row r="23" spans="1:7" x14ac:dyDescent="0.25">
      <c r="A23" s="49">
        <v>5</v>
      </c>
      <c r="B23" s="76" t="s">
        <v>100</v>
      </c>
      <c r="C23" s="406">
        <f>IF(OR($A23&gt;C$1,Bases!$D$40+$A23-1&lt;C$1),0,C16/Bases!$D$40)</f>
        <v>0</v>
      </c>
      <c r="D23" s="406">
        <f>IF(OR($A23&gt;D$1,Bases!$D$40+$A23-1&lt;D$1),0,D16/Bases!$D$40)</f>
        <v>0</v>
      </c>
      <c r="E23" s="406">
        <f>IF(OR($A23&gt;E$1,Bases!$D$40+$A23-1&lt;E$1),0,E16/Bases!$D$40)</f>
        <v>0</v>
      </c>
      <c r="F23" s="406">
        <f>IF(OR($A23&gt;F$1,Bases!$D$40+$A23-1&lt;F$1),0,F16/Bases!$D$40)</f>
        <v>0</v>
      </c>
      <c r="G23" s="406">
        <f>IF(OR($A23&gt;G$1,Bases!$D$40+$A23-1&lt;G$1),0,G16/Bases!$D$40)</f>
        <v>0</v>
      </c>
    </row>
    <row r="24" spans="1:7" x14ac:dyDescent="0.25">
      <c r="B24" s="49" t="s">
        <v>104</v>
      </c>
      <c r="C24" s="447">
        <f>SUM(C19:C23)</f>
        <v>0</v>
      </c>
      <c r="D24" s="447">
        <f>SUM(D19:D23)</f>
        <v>0</v>
      </c>
      <c r="E24" s="447">
        <f>SUM(E19:E23)</f>
        <v>0</v>
      </c>
      <c r="F24" s="447">
        <f>SUM(F19:F23)</f>
        <v>0</v>
      </c>
      <c r="G24" s="447">
        <f>SUM(G19:G23)</f>
        <v>0</v>
      </c>
    </row>
    <row r="25" spans="1:7" s="30" customFormat="1" ht="13.5" customHeight="1" x14ac:dyDescent="0.25">
      <c r="B25" s="159" t="s">
        <v>105</v>
      </c>
      <c r="C25" s="451"/>
      <c r="D25" s="451"/>
      <c r="E25" s="451"/>
      <c r="F25" s="451"/>
      <c r="G25" s="451"/>
    </row>
    <row r="26" spans="1:7" x14ac:dyDescent="0.25">
      <c r="A26" s="49">
        <v>1</v>
      </c>
      <c r="B26" s="67" t="s">
        <v>96</v>
      </c>
      <c r="C26" s="406">
        <f>IF($A26&gt;=C$1,0,B33*Bases!F$9)</f>
        <v>0</v>
      </c>
      <c r="D26" s="406">
        <f>IF($A26&gt;=D$1,0,C33*Bases!G$9)</f>
        <v>0</v>
      </c>
      <c r="E26" s="406">
        <f>IF($A26&gt;=E$1,0,D33*Bases!H$9)</f>
        <v>0</v>
      </c>
      <c r="F26" s="406">
        <f>IF($A26&gt;=F$1,0,E33*Bases!I$9)</f>
        <v>0</v>
      </c>
      <c r="G26" s="406">
        <f>IF($A26&gt;=G$1,0,F33*Bases!J$9)</f>
        <v>0</v>
      </c>
    </row>
    <row r="27" spans="1:7" x14ac:dyDescent="0.25">
      <c r="A27" s="49">
        <v>2</v>
      </c>
      <c r="B27" s="67" t="s">
        <v>97</v>
      </c>
      <c r="C27" s="406">
        <f>IF($A27&gt;=C$1,0,B34*Bases!F$9)</f>
        <v>0</v>
      </c>
      <c r="D27" s="406">
        <f>IF($A27&gt;=D$1,0,C34*Bases!G$9)</f>
        <v>0</v>
      </c>
      <c r="E27" s="406">
        <f>IF($A27&gt;=E$1,0,D34*Bases!H$9)</f>
        <v>0</v>
      </c>
      <c r="F27" s="406">
        <f>IF($A27&gt;=F$1,0,E34*Bases!I$9)</f>
        <v>0</v>
      </c>
      <c r="G27" s="406">
        <f>IF($A27&gt;=G$1,0,F34*Bases!J$9)</f>
        <v>0</v>
      </c>
    </row>
    <row r="28" spans="1:7" x14ac:dyDescent="0.25">
      <c r="A28" s="49">
        <v>3</v>
      </c>
      <c r="B28" s="67" t="s">
        <v>98</v>
      </c>
      <c r="C28" s="406">
        <f>IF($A28&gt;=C$1,0,B35*Bases!F$9)</f>
        <v>0</v>
      </c>
      <c r="D28" s="406">
        <f>IF($A28&gt;=D$1,0,C35*Bases!G$9)</f>
        <v>0</v>
      </c>
      <c r="E28" s="406">
        <f>IF($A28&gt;=E$1,0,D35*Bases!H$9)</f>
        <v>0</v>
      </c>
      <c r="F28" s="406">
        <f>IF($A28&gt;=F$1,0,E35*Bases!I$9)</f>
        <v>0</v>
      </c>
      <c r="G28" s="406">
        <f>IF($A28&gt;=G$1,0,F35*Bases!J$9)</f>
        <v>0</v>
      </c>
    </row>
    <row r="29" spans="1:7" x14ac:dyDescent="0.25">
      <c r="A29" s="49">
        <v>4</v>
      </c>
      <c r="B29" s="67" t="s">
        <v>99</v>
      </c>
      <c r="C29" s="406">
        <f>IF($A29&gt;=C$1,0,B36*Bases!F$9)</f>
        <v>0</v>
      </c>
      <c r="D29" s="406">
        <f>IF($A29&gt;=D$1,0,C36*Bases!G$9)</f>
        <v>0</v>
      </c>
      <c r="E29" s="406">
        <f>IF($A29&gt;=E$1,0,D36*Bases!H$9)</f>
        <v>0</v>
      </c>
      <c r="F29" s="406">
        <f>IF($A29&gt;=F$1,0,E36*Bases!I$9)</f>
        <v>0</v>
      </c>
      <c r="G29" s="406">
        <f>IF($A29&gt;=G$1,0,F36*Bases!J$9)</f>
        <v>0</v>
      </c>
    </row>
    <row r="30" spans="1:7" x14ac:dyDescent="0.25">
      <c r="A30" s="49">
        <v>5</v>
      </c>
      <c r="B30" s="67" t="s">
        <v>100</v>
      </c>
      <c r="C30" s="406">
        <f>IF($A30&gt;=C$1,0,B37*Bases!F$9)</f>
        <v>0</v>
      </c>
      <c r="D30" s="406">
        <f>IF($A30&gt;=D$1,0,C37*Bases!G$9)</f>
        <v>0</v>
      </c>
      <c r="E30" s="406">
        <f>IF($A30&gt;=E$1,0,D37*Bases!H$9)</f>
        <v>0</v>
      </c>
      <c r="F30" s="406">
        <f>IF($A30&gt;=F$1,0,E37*Bases!I$9)</f>
        <v>0</v>
      </c>
      <c r="G30" s="406">
        <f>IF($A30&gt;=G$1,0,F37*Bases!J$9)</f>
        <v>0</v>
      </c>
    </row>
    <row r="31" spans="1:7" x14ac:dyDescent="0.25">
      <c r="B31" s="153" t="s">
        <v>106</v>
      </c>
      <c r="C31" s="406">
        <f>SUM(C26:C30)</f>
        <v>0</v>
      </c>
      <c r="D31" s="406">
        <f>SUM(D26:D30)</f>
        <v>0</v>
      </c>
      <c r="E31" s="406">
        <f>SUM(E26:E30)</f>
        <v>0</v>
      </c>
      <c r="F31" s="406">
        <f>SUM(F26:F30)</f>
        <v>0</v>
      </c>
      <c r="G31" s="406">
        <f>SUM(G26:G30)</f>
        <v>0</v>
      </c>
    </row>
    <row r="32" spans="1:7" s="30" customFormat="1" ht="13.5" customHeight="1" x14ac:dyDescent="0.25">
      <c r="B32" s="159" t="s">
        <v>107</v>
      </c>
      <c r="C32" s="451"/>
      <c r="D32" s="451"/>
      <c r="E32" s="451"/>
      <c r="F32" s="451"/>
      <c r="G32" s="451"/>
    </row>
    <row r="33" spans="1:8" x14ac:dyDescent="0.25">
      <c r="A33" s="49">
        <v>1</v>
      </c>
      <c r="B33" s="76" t="s">
        <v>96</v>
      </c>
      <c r="C33" s="447">
        <f t="shared" ref="C33:G37" si="1">IF($A33&gt;C$1,0,IF($A33=C$1,C19,B33+C19+C26))</f>
        <v>0</v>
      </c>
      <c r="D33" s="447">
        <f t="shared" si="1"/>
        <v>0</v>
      </c>
      <c r="E33" s="447">
        <f t="shared" si="1"/>
        <v>0</v>
      </c>
      <c r="F33" s="447">
        <f t="shared" si="1"/>
        <v>0</v>
      </c>
      <c r="G33" s="447">
        <f t="shared" si="1"/>
        <v>0</v>
      </c>
      <c r="H33" s="32"/>
    </row>
    <row r="34" spans="1:8" x14ac:dyDescent="0.25">
      <c r="A34" s="49">
        <v>2</v>
      </c>
      <c r="B34" s="76" t="s">
        <v>97</v>
      </c>
      <c r="C34" s="447">
        <f t="shared" si="1"/>
        <v>0</v>
      </c>
      <c r="D34" s="447">
        <f t="shared" si="1"/>
        <v>0</v>
      </c>
      <c r="E34" s="447">
        <f t="shared" si="1"/>
        <v>0</v>
      </c>
      <c r="F34" s="447">
        <f t="shared" si="1"/>
        <v>0</v>
      </c>
      <c r="G34" s="447">
        <f t="shared" si="1"/>
        <v>0</v>
      </c>
    </row>
    <row r="35" spans="1:8" x14ac:dyDescent="0.25">
      <c r="A35" s="49">
        <v>3</v>
      </c>
      <c r="B35" s="76" t="s">
        <v>98</v>
      </c>
      <c r="C35" s="447">
        <f t="shared" si="1"/>
        <v>0</v>
      </c>
      <c r="D35" s="447">
        <f t="shared" si="1"/>
        <v>0</v>
      </c>
      <c r="E35" s="447">
        <f t="shared" si="1"/>
        <v>0</v>
      </c>
      <c r="F35" s="447">
        <f t="shared" si="1"/>
        <v>0</v>
      </c>
      <c r="G35" s="447">
        <f t="shared" si="1"/>
        <v>0</v>
      </c>
    </row>
    <row r="36" spans="1:8" x14ac:dyDescent="0.25">
      <c r="A36" s="49">
        <v>4</v>
      </c>
      <c r="B36" s="76" t="s">
        <v>99</v>
      </c>
      <c r="C36" s="447">
        <f t="shared" si="1"/>
        <v>0</v>
      </c>
      <c r="D36" s="447">
        <f t="shared" si="1"/>
        <v>0</v>
      </c>
      <c r="E36" s="447">
        <f t="shared" si="1"/>
        <v>0</v>
      </c>
      <c r="F36" s="447">
        <f t="shared" si="1"/>
        <v>0</v>
      </c>
      <c r="G36" s="447">
        <f t="shared" si="1"/>
        <v>0</v>
      </c>
    </row>
    <row r="37" spans="1:8" x14ac:dyDescent="0.25">
      <c r="A37" s="49">
        <v>5</v>
      </c>
      <c r="B37" s="76" t="s">
        <v>100</v>
      </c>
      <c r="C37" s="447">
        <f t="shared" si="1"/>
        <v>0</v>
      </c>
      <c r="D37" s="447">
        <f t="shared" si="1"/>
        <v>0</v>
      </c>
      <c r="E37" s="447">
        <f t="shared" si="1"/>
        <v>0</v>
      </c>
      <c r="F37" s="447">
        <f t="shared" si="1"/>
        <v>0</v>
      </c>
      <c r="G37" s="447">
        <f t="shared" si="1"/>
        <v>0</v>
      </c>
    </row>
    <row r="38" spans="1:8" x14ac:dyDescent="0.25">
      <c r="B38" s="49" t="s">
        <v>108</v>
      </c>
      <c r="C38" s="447">
        <f>SUM(C33:C37)</f>
        <v>0</v>
      </c>
      <c r="D38" s="447">
        <f>SUM(D33:D37)</f>
        <v>0</v>
      </c>
      <c r="E38" s="447">
        <f>SUM(E33:E37)</f>
        <v>0</v>
      </c>
      <c r="F38" s="447">
        <f>SUM(F33:F37)</f>
        <v>0</v>
      </c>
      <c r="G38" s="447">
        <f>SUM(G33:G37)</f>
        <v>0</v>
      </c>
    </row>
    <row r="39" spans="1:8" x14ac:dyDescent="0.25"/>
  </sheetData>
  <sheetProtection password="CA1B" sheet="1"/>
  <phoneticPr fontId="0" type="noConversion"/>
  <hyperlinks>
    <hyperlink ref="B1" location="Inicio!A1" display="Inicio" xr:uid="{00000000-0004-0000-1800-000000000000}"/>
  </hyperlinks>
  <printOptions horizontalCentered="1" verticalCentered="1" gridLines="1"/>
  <pageMargins left="0.19685039370078741" right="0.19685039370078741" top="0.98425196850393704" bottom="0.39370078740157483" header="0.59055118110236227" footer="0.51181102362204722"/>
  <pageSetup scale="85" orientation="landscape" horizontalDpi="300" verticalDpi="0"/>
  <headerFooter alignWithMargins="0">
    <oddHeader>&amp;C&amp;"Arial,Negrita"&amp;14&amp;A</oddHeader>
    <oddFooter>&amp;L&amp;"Arial,Negrita"&amp;8&amp;F&amp;C&amp;"Arial,Negrita"&amp;8Página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15">
    <tabColor indexed="30"/>
  </sheetPr>
  <dimension ref="A1:H38"/>
  <sheetViews>
    <sheetView showGridLines="0" workbookViewId="0">
      <pane xSplit="2" ySplit="4" topLeftCell="D5" activePane="bottomRight" state="frozen"/>
      <selection activeCell="F35" sqref="F35"/>
      <selection pane="topRight" activeCell="F35" sqref="F35"/>
      <selection pane="bottomLeft" activeCell="F35" sqref="F35"/>
      <selection pane="bottomRight" activeCell="H21" sqref="H21"/>
    </sheetView>
  </sheetViews>
  <sheetFormatPr baseColWidth="10" defaultColWidth="9.44140625" defaultRowHeight="13.2" x14ac:dyDescent="0.25"/>
  <cols>
    <col min="1" max="1" width="2.21875" style="1" customWidth="1"/>
    <col min="2" max="2" width="29.44140625" style="1" customWidth="1"/>
    <col min="3" max="4" width="16.21875" style="1" customWidth="1"/>
    <col min="5" max="7" width="15.33203125" style="1" customWidth="1"/>
    <col min="8" max="8" width="12.77734375" style="1" customWidth="1"/>
    <col min="9" max="16384" width="9.44140625" style="1"/>
  </cols>
  <sheetData>
    <row r="1" spans="1:7" x14ac:dyDescent="0.25">
      <c r="C1" s="161">
        <v>1</v>
      </c>
      <c r="D1" s="161">
        <v>2</v>
      </c>
      <c r="E1" s="161">
        <v>3</v>
      </c>
      <c r="F1" s="161">
        <v>4</v>
      </c>
      <c r="G1" s="161">
        <v>5</v>
      </c>
    </row>
    <row r="2" spans="1:7" x14ac:dyDescent="0.25">
      <c r="B2" s="157" t="s">
        <v>95</v>
      </c>
    </row>
    <row r="3" spans="1:7" x14ac:dyDescent="0.25">
      <c r="B3" s="160" t="s">
        <v>158</v>
      </c>
      <c r="C3" s="155">
        <f>' Inversiones Fijas y Diferidas'!H128</f>
        <v>0</v>
      </c>
      <c r="D3" s="155">
        <f>' Inversiones Fijas y Diferidas'!I128</f>
        <v>0</v>
      </c>
      <c r="E3" s="155">
        <f>' Inversiones Fijas y Diferidas'!J128</f>
        <v>0</v>
      </c>
      <c r="F3" s="155">
        <f>' Inversiones Fijas y Diferidas'!K128</f>
        <v>0</v>
      </c>
      <c r="G3" s="155">
        <f>' Inversiones Fijas y Diferidas'!L128</f>
        <v>0</v>
      </c>
    </row>
    <row r="4" spans="1:7" s="18" customFormat="1" x14ac:dyDescent="0.25">
      <c r="B4" s="75" t="s">
        <v>12</v>
      </c>
      <c r="C4" s="29"/>
      <c r="D4" s="29"/>
      <c r="E4" s="29"/>
      <c r="F4" s="29"/>
      <c r="G4" s="29"/>
    </row>
    <row r="5" spans="1:7" x14ac:dyDescent="0.25">
      <c r="A5" s="154">
        <v>1</v>
      </c>
      <c r="B5" s="76" t="s">
        <v>96</v>
      </c>
      <c r="C5" s="64">
        <f>IF($A5&gt;C$1,0,IF($A5=C$1,C$3*Bases!F$9,B12*Bases!F$9))</f>
        <v>0</v>
      </c>
      <c r="D5" s="42">
        <f>IF($A5&gt;D$1,0,IF($A5=D$1,D$3*Bases!G$9,C12*Bases!G$9))</f>
        <v>0</v>
      </c>
      <c r="E5" s="42">
        <f>IF($A5&gt;E$1,0,IF($A5=E$1,E$3*Bases!H$9,D12*Bases!H$9))</f>
        <v>0</v>
      </c>
      <c r="F5" s="42">
        <f>IF($A5&gt;F$1,0,IF($A5=F$1,F$3*Bases!I$9,E12*Bases!I$9))</f>
        <v>0</v>
      </c>
      <c r="G5" s="42">
        <f>IF($A5&gt;G$1,0,IF($A5=G$1,G$3*Bases!J$9,F12*Bases!J$9))</f>
        <v>0</v>
      </c>
    </row>
    <row r="6" spans="1:7" x14ac:dyDescent="0.25">
      <c r="A6" s="154">
        <v>2</v>
      </c>
      <c r="B6" s="76" t="s">
        <v>97</v>
      </c>
      <c r="C6" s="64">
        <f>IF($A6&gt;C$1,0,IF($A6=C$1,C$3*Bases!F$9,B13*Bases!F$9))</f>
        <v>0</v>
      </c>
      <c r="D6" s="42">
        <f>IF($A6&gt;D$1,0,IF($A6=D$1,D$3*Bases!G$9,C13*Bases!G$9))</f>
        <v>0</v>
      </c>
      <c r="E6" s="42">
        <f>IF($A6&gt;E$1,0,IF($A6=E$1,E$3*Bases!H$9,D13*Bases!H$9))</f>
        <v>0</v>
      </c>
      <c r="F6" s="42">
        <f>IF($A6&gt;F$1,0,IF($A6=F$1,F$3*Bases!I$9,E13*Bases!I$9))</f>
        <v>0</v>
      </c>
      <c r="G6" s="42">
        <f>IF($A6&gt;G$1,0,IF($A6=G$1,G$3*Bases!J$9,F13*Bases!J$9))</f>
        <v>0</v>
      </c>
    </row>
    <row r="7" spans="1:7" x14ac:dyDescent="0.25">
      <c r="A7" s="154">
        <v>3</v>
      </c>
      <c r="B7" s="76" t="s">
        <v>98</v>
      </c>
      <c r="C7" s="64">
        <f>IF($A7&gt;C$1,0,IF($A7=C$1,C$3*Bases!F$9,B14*Bases!F$9))</f>
        <v>0</v>
      </c>
      <c r="D7" s="42">
        <f>IF($A7&gt;D$1,0,IF($A7=D$1,D$3*Bases!G$9,C14*Bases!G$9))</f>
        <v>0</v>
      </c>
      <c r="E7" s="42">
        <f>IF($A7&gt;E$1,0,IF($A7=E$1,E$3*Bases!H$9,D14*Bases!H$9))</f>
        <v>0</v>
      </c>
      <c r="F7" s="42">
        <f>IF($A7&gt;F$1,0,IF($A7=F$1,F$3*Bases!I$9,E14*Bases!I$9))</f>
        <v>0</v>
      </c>
      <c r="G7" s="42">
        <f>IF($A7&gt;G$1,0,IF($A7=G$1,G$3*Bases!J$9,F14*Bases!J$9))</f>
        <v>0</v>
      </c>
    </row>
    <row r="8" spans="1:7" x14ac:dyDescent="0.25">
      <c r="A8" s="154">
        <v>4</v>
      </c>
      <c r="B8" s="76" t="s">
        <v>99</v>
      </c>
      <c r="C8" s="64">
        <f>IF($A8&gt;C$1,0,IF($A8=C$1,C$3*Bases!F$9,B15*Bases!F$9))</f>
        <v>0</v>
      </c>
      <c r="D8" s="42">
        <f>IF($A8&gt;D$1,0,IF($A8=D$1,D$3*Bases!G$9,C15*Bases!G$9))</f>
        <v>0</v>
      </c>
      <c r="E8" s="42">
        <f>IF($A8&gt;E$1,0,IF($A8=E$1,E$3*Bases!H$9,D15*Bases!H$9))</f>
        <v>0</v>
      </c>
      <c r="F8" s="42">
        <f>IF($A8&gt;F$1,0,IF($A8=F$1,F$3*Bases!I$9,E15*Bases!I$9))</f>
        <v>0</v>
      </c>
      <c r="G8" s="42">
        <f>IF($A8&gt;G$1,0,IF($A8=G$1,G$3*Bases!J$9,F15*Bases!J$9))</f>
        <v>0</v>
      </c>
    </row>
    <row r="9" spans="1:7" x14ac:dyDescent="0.25">
      <c r="A9" s="154">
        <v>5</v>
      </c>
      <c r="B9" s="76" t="s">
        <v>100</v>
      </c>
      <c r="C9" s="64">
        <f>IF($A9&gt;C$1,0,IF($A9=C$1,C$3*Bases!F$9,B16*Bases!F$9))</f>
        <v>0</v>
      </c>
      <c r="D9" s="42">
        <f>IF($A9&gt;D$1,0,IF($A9=D$1,D$3*Bases!G$9,C16*Bases!G$9))</f>
        <v>0</v>
      </c>
      <c r="E9" s="42">
        <f>IF($A9&gt;E$1,0,IF($A9=E$1,E$3*Bases!H$9,D16*Bases!H$9))</f>
        <v>0</v>
      </c>
      <c r="F9" s="42">
        <f>IF($A9&gt;F$1,0,IF($A9=F$1,F$3*Bases!I$9,E16*Bases!I$9))</f>
        <v>0</v>
      </c>
      <c r="G9" s="42">
        <f>IF($A9&gt;G$1,0,IF($A9=G$1,G$3*Bases!J$9,F16*Bases!J$9))</f>
        <v>0</v>
      </c>
    </row>
    <row r="10" spans="1:7" x14ac:dyDescent="0.25">
      <c r="B10" s="49" t="s">
        <v>101</v>
      </c>
      <c r="C10" s="64">
        <f>SUM(C5:C9)</f>
        <v>0</v>
      </c>
      <c r="D10" s="42">
        <f>SUM(D5:D9)</f>
        <v>0</v>
      </c>
      <c r="E10" s="42">
        <f>SUM(E5:E9)</f>
        <v>0</v>
      </c>
      <c r="F10" s="42">
        <f>SUM(F5:F9)</f>
        <v>0</v>
      </c>
      <c r="G10" s="42">
        <f>SUM(G5:G9)</f>
        <v>0</v>
      </c>
    </row>
    <row r="11" spans="1:7" s="30" customFormat="1" x14ac:dyDescent="0.25">
      <c r="B11" s="75" t="s">
        <v>102</v>
      </c>
      <c r="C11" s="31"/>
      <c r="D11" s="31"/>
      <c r="E11" s="31"/>
      <c r="F11" s="31"/>
      <c r="G11" s="31"/>
    </row>
    <row r="12" spans="1:7" x14ac:dyDescent="0.25">
      <c r="A12" s="154">
        <v>1</v>
      </c>
      <c r="B12" s="76" t="s">
        <v>96</v>
      </c>
      <c r="C12" s="64">
        <f t="shared" ref="C12:G16" si="0">IF($A12&gt;C$1,0,IF($A12=C$1,C$3+C5,B12+C5))</f>
        <v>0</v>
      </c>
      <c r="D12" s="42">
        <f t="shared" si="0"/>
        <v>0</v>
      </c>
      <c r="E12" s="42">
        <f t="shared" si="0"/>
        <v>0</v>
      </c>
      <c r="F12" s="42">
        <f t="shared" si="0"/>
        <v>0</v>
      </c>
      <c r="G12" s="42">
        <f t="shared" si="0"/>
        <v>0</v>
      </c>
    </row>
    <row r="13" spans="1:7" x14ac:dyDescent="0.25">
      <c r="A13" s="154">
        <v>2</v>
      </c>
      <c r="B13" s="76" t="s">
        <v>97</v>
      </c>
      <c r="C13" s="64">
        <f t="shared" si="0"/>
        <v>0</v>
      </c>
      <c r="D13" s="42">
        <f t="shared" si="0"/>
        <v>0</v>
      </c>
      <c r="E13" s="42">
        <f t="shared" si="0"/>
        <v>0</v>
      </c>
      <c r="F13" s="42">
        <f t="shared" si="0"/>
        <v>0</v>
      </c>
      <c r="G13" s="42">
        <f t="shared" si="0"/>
        <v>0</v>
      </c>
    </row>
    <row r="14" spans="1:7" x14ac:dyDescent="0.25">
      <c r="A14" s="154">
        <v>3</v>
      </c>
      <c r="B14" s="76" t="s">
        <v>98</v>
      </c>
      <c r="C14" s="64">
        <f t="shared" si="0"/>
        <v>0</v>
      </c>
      <c r="D14" s="42">
        <f t="shared" si="0"/>
        <v>0</v>
      </c>
      <c r="E14" s="42">
        <f t="shared" si="0"/>
        <v>0</v>
      </c>
      <c r="F14" s="42">
        <f t="shared" si="0"/>
        <v>0</v>
      </c>
      <c r="G14" s="42">
        <f t="shared" si="0"/>
        <v>0</v>
      </c>
    </row>
    <row r="15" spans="1:7" x14ac:dyDescent="0.25">
      <c r="A15" s="154">
        <v>4</v>
      </c>
      <c r="B15" s="76" t="s">
        <v>99</v>
      </c>
      <c r="C15" s="64">
        <f t="shared" si="0"/>
        <v>0</v>
      </c>
      <c r="D15" s="42">
        <f t="shared" si="0"/>
        <v>0</v>
      </c>
      <c r="E15" s="42">
        <f t="shared" si="0"/>
        <v>0</v>
      </c>
      <c r="F15" s="42">
        <f t="shared" si="0"/>
        <v>0</v>
      </c>
      <c r="G15" s="42">
        <f t="shared" si="0"/>
        <v>0</v>
      </c>
    </row>
    <row r="16" spans="1:7" x14ac:dyDescent="0.25">
      <c r="A16" s="154">
        <v>5</v>
      </c>
      <c r="B16" s="76" t="s">
        <v>100</v>
      </c>
      <c r="C16" s="64">
        <f t="shared" si="0"/>
        <v>0</v>
      </c>
      <c r="D16" s="42">
        <f t="shared" si="0"/>
        <v>0</v>
      </c>
      <c r="E16" s="42">
        <f t="shared" si="0"/>
        <v>0</v>
      </c>
      <c r="F16" s="42">
        <f t="shared" si="0"/>
        <v>0</v>
      </c>
      <c r="G16" s="42">
        <f t="shared" si="0"/>
        <v>0</v>
      </c>
    </row>
    <row r="17" spans="1:7" x14ac:dyDescent="0.25">
      <c r="B17" s="49" t="s">
        <v>103</v>
      </c>
      <c r="C17" s="156">
        <f>SUM(C12:C16)</f>
        <v>0</v>
      </c>
      <c r="D17" s="44">
        <f>SUM(D12:D16)</f>
        <v>0</v>
      </c>
      <c r="E17" s="44">
        <f>SUM(E12:E16)</f>
        <v>0</v>
      </c>
      <c r="F17" s="44">
        <f>SUM(F12:F16)</f>
        <v>0</v>
      </c>
      <c r="G17" s="44">
        <f>SUM(G12:G16)</f>
        <v>0</v>
      </c>
    </row>
    <row r="18" spans="1:7" s="30" customFormat="1" ht="13.5" customHeight="1" x14ac:dyDescent="0.25">
      <c r="B18" s="75" t="s">
        <v>163</v>
      </c>
      <c r="C18" s="31"/>
      <c r="D18" s="31"/>
      <c r="E18" s="31"/>
      <c r="F18" s="31"/>
      <c r="G18" s="31"/>
    </row>
    <row r="19" spans="1:7" x14ac:dyDescent="0.25">
      <c r="A19" s="154">
        <v>1</v>
      </c>
      <c r="B19" s="76" t="s">
        <v>96</v>
      </c>
      <c r="C19" s="64">
        <f>IF(OR($A19&gt;C$1,Bases!$D$41+$A19-1&lt;C$1),0,C12/Bases!$D$41)</f>
        <v>0</v>
      </c>
      <c r="D19" s="42">
        <f>IF(OR($A19&gt;D$1,Bases!$D$41+$A19-1&lt;D$1),0,D12/Bases!$D$41)</f>
        <v>0</v>
      </c>
      <c r="E19" s="42">
        <f>IF(OR($A19&gt;E$1,Bases!$D$41+$A19-1&lt;E$1),0,E12/Bases!$D$41)</f>
        <v>0</v>
      </c>
      <c r="F19" s="42">
        <f>IF(OR($A19&gt;F$1,Bases!$D$41+$A19-1&lt;F$1),0,F12/Bases!$D$41)</f>
        <v>0</v>
      </c>
      <c r="G19" s="42">
        <f>IF(OR($A19&gt;G$1,Bases!$D$41+$A19-1&lt;G$1),0,G12/Bases!$D$41)</f>
        <v>0</v>
      </c>
    </row>
    <row r="20" spans="1:7" x14ac:dyDescent="0.25">
      <c r="A20" s="154">
        <v>2</v>
      </c>
      <c r="B20" s="76" t="s">
        <v>97</v>
      </c>
      <c r="C20" s="64">
        <f>IF(OR($A20&gt;C$1,Bases!$D$41+$A20-1&lt;C$1),0,C13/Bases!$D$41)</f>
        <v>0</v>
      </c>
      <c r="D20" s="42">
        <f>IF(OR($A20&gt;D$1,Bases!$D$41+$A20-1&lt;D$1),0,D13/Bases!$D$41)</f>
        <v>0</v>
      </c>
      <c r="E20" s="42">
        <f>IF(OR($A20&gt;E$1,Bases!$D$41+$A20-1&lt;E$1),0,E13/Bases!$D$41)</f>
        <v>0</v>
      </c>
      <c r="F20" s="42">
        <f>IF(OR($A20&gt;F$1,Bases!$D$41+$A20-1&lt;F$1),0,F13/Bases!$D$41)</f>
        <v>0</v>
      </c>
      <c r="G20" s="42">
        <f>IF(OR($A20&gt;G$1,Bases!$D$41+$A20-1&lt;G$1),0,G13/Bases!$D$41)</f>
        <v>0</v>
      </c>
    </row>
    <row r="21" spans="1:7" x14ac:dyDescent="0.25">
      <c r="A21" s="154">
        <v>3</v>
      </c>
      <c r="B21" s="76" t="s">
        <v>98</v>
      </c>
      <c r="C21" s="64">
        <f>IF(OR($A21&gt;C$1,Bases!$D$41+$A21-1&lt;C$1),0,C14/Bases!$D$41)</f>
        <v>0</v>
      </c>
      <c r="D21" s="42">
        <f>IF(OR($A21&gt;D$1,Bases!$D$41+$A21-1&lt;D$1),0,D14/Bases!$D$41)</f>
        <v>0</v>
      </c>
      <c r="E21" s="42">
        <f>IF(OR($A21&gt;E$1,Bases!$D$41+$A21-1&lt;E$1),0,E14/Bases!$D$41)</f>
        <v>0</v>
      </c>
      <c r="F21" s="42">
        <f>IF(OR($A21&gt;F$1,Bases!$D$41+$A21-1&lt;F$1),0,F14/Bases!$D$41)</f>
        <v>0</v>
      </c>
      <c r="G21" s="42">
        <f>IF(OR($A21&gt;G$1,Bases!$D$41+$A21-1&lt;G$1),0,G14/Bases!$D$41)</f>
        <v>0</v>
      </c>
    </row>
    <row r="22" spans="1:7" x14ac:dyDescent="0.25">
      <c r="A22" s="154">
        <v>4</v>
      </c>
      <c r="B22" s="76" t="s">
        <v>99</v>
      </c>
      <c r="C22" s="64">
        <f>IF(OR($A22&gt;C$1,Bases!$D$41+$A22-1&lt;C$1),0,C15/Bases!$D$41)</f>
        <v>0</v>
      </c>
      <c r="D22" s="42">
        <f>IF(OR($A22&gt;D$1,Bases!$D$41+$A22-1&lt;D$1),0,D15/Bases!$D$41)</f>
        <v>0</v>
      </c>
      <c r="E22" s="42">
        <f>IF(OR($A22&gt;E$1,Bases!$D$41+$A22-1&lt;E$1),0,E15/Bases!$D$41)</f>
        <v>0</v>
      </c>
      <c r="F22" s="42">
        <f>IF(OR($A22&gt;F$1,Bases!$D$41+$A22-1&lt;F$1),0,F15/Bases!$D$41)</f>
        <v>0</v>
      </c>
      <c r="G22" s="42">
        <f>IF(OR($A22&gt;G$1,Bases!$D$41+$A22-1&lt;G$1),0,G15/Bases!$D$41)</f>
        <v>0</v>
      </c>
    </row>
    <row r="23" spans="1:7" x14ac:dyDescent="0.25">
      <c r="A23" s="154">
        <v>5</v>
      </c>
      <c r="B23" s="76" t="s">
        <v>100</v>
      </c>
      <c r="C23" s="64">
        <f>IF(OR($A23&gt;C$1,Bases!$D$41+$A23-1&lt;C$1),0,C16/Bases!$D$41)</f>
        <v>0</v>
      </c>
      <c r="D23" s="42">
        <f>IF(OR($A23&gt;D$1,Bases!$D$41+$A23-1&lt;D$1),0,D16/Bases!$D$41)</f>
        <v>0</v>
      </c>
      <c r="E23" s="42">
        <f>IF(OR($A23&gt;E$1,Bases!$D$41+$A23-1&lt;E$1),0,E16/Bases!$D$41)</f>
        <v>0</v>
      </c>
      <c r="F23" s="42">
        <f>IF(OR($A23&gt;F$1,Bases!$D$41+$A23-1&lt;F$1),0,F16/Bases!$D$41)</f>
        <v>0</v>
      </c>
      <c r="G23" s="42">
        <f>IF(OR($A23&gt;G$1,Bases!$D$41+$A23-1&lt;G$1),0,G16/Bases!$D$41)</f>
        <v>0</v>
      </c>
    </row>
    <row r="24" spans="1:7" x14ac:dyDescent="0.25">
      <c r="B24" s="49" t="s">
        <v>169</v>
      </c>
      <c r="C24" s="44">
        <f>SUM(C19:C23)</f>
        <v>0</v>
      </c>
      <c r="D24" s="44">
        <f>SUM(D19:D23)</f>
        <v>0</v>
      </c>
      <c r="E24" s="44">
        <f>SUM(E19:E23)</f>
        <v>0</v>
      </c>
      <c r="F24" s="44">
        <f>SUM(F19:F23)</f>
        <v>0</v>
      </c>
      <c r="G24" s="44">
        <f>SUM(G19:G23)</f>
        <v>0</v>
      </c>
    </row>
    <row r="25" spans="1:7" s="30" customFormat="1" ht="13.5" customHeight="1" x14ac:dyDescent="0.25">
      <c r="B25" s="159" t="s">
        <v>165</v>
      </c>
      <c r="C25" s="31"/>
      <c r="D25" s="31"/>
      <c r="E25" s="31"/>
      <c r="F25" s="31"/>
      <c r="G25" s="31"/>
    </row>
    <row r="26" spans="1:7" x14ac:dyDescent="0.25">
      <c r="A26" s="49">
        <v>1</v>
      </c>
      <c r="B26" s="67" t="s">
        <v>96</v>
      </c>
      <c r="C26" s="42">
        <f>IF($A26&gt;=C$1,0,B33*Bases!F$9)</f>
        <v>0</v>
      </c>
      <c r="D26" s="42">
        <f>IF($A26&gt;=D$1,0,C33*Bases!G$9)</f>
        <v>0</v>
      </c>
      <c r="E26" s="42">
        <f>IF($A26&gt;=E$1,0,D33*Bases!H$9)</f>
        <v>0</v>
      </c>
      <c r="F26" s="42">
        <f>IF($A26&gt;=F$1,0,E33*Bases!I$9)</f>
        <v>0</v>
      </c>
      <c r="G26" s="42">
        <f>IF($A26&gt;=G$1,0,F33*Bases!J$9)</f>
        <v>0</v>
      </c>
    </row>
    <row r="27" spans="1:7" x14ac:dyDescent="0.25">
      <c r="A27" s="49">
        <v>2</v>
      </c>
      <c r="B27" s="67" t="s">
        <v>97</v>
      </c>
      <c r="C27" s="42">
        <f>IF($A27&gt;=C$1,0,B34*Bases!F$9)</f>
        <v>0</v>
      </c>
      <c r="D27" s="42">
        <f>IF($A27&gt;=D$1,0,C34*Bases!G$9)</f>
        <v>0</v>
      </c>
      <c r="E27" s="42">
        <f>IF($A27&gt;=E$1,0,D34*Bases!H$9)</f>
        <v>0</v>
      </c>
      <c r="F27" s="42">
        <f>IF($A27&gt;=F$1,0,E34*Bases!I$9)</f>
        <v>0</v>
      </c>
      <c r="G27" s="42">
        <f>IF($A27&gt;=G$1,0,F34*Bases!J$9)</f>
        <v>0</v>
      </c>
    </row>
    <row r="28" spans="1:7" x14ac:dyDescent="0.25">
      <c r="A28" s="49">
        <v>3</v>
      </c>
      <c r="B28" s="67" t="s">
        <v>98</v>
      </c>
      <c r="C28" s="42">
        <f>IF($A28&gt;=C$1,0,B35*Bases!F$9)</f>
        <v>0</v>
      </c>
      <c r="D28" s="42">
        <f>IF($A28&gt;=D$1,0,C35*Bases!G$9)</f>
        <v>0</v>
      </c>
      <c r="E28" s="42">
        <f>IF($A28&gt;=E$1,0,D35*Bases!H$9)</f>
        <v>0</v>
      </c>
      <c r="F28" s="42">
        <f>IF($A28&gt;=F$1,0,E35*Bases!I$9)</f>
        <v>0</v>
      </c>
      <c r="G28" s="42">
        <f>IF($A28&gt;=G$1,0,F35*Bases!J$9)</f>
        <v>0</v>
      </c>
    </row>
    <row r="29" spans="1:7" x14ac:dyDescent="0.25">
      <c r="A29" s="49">
        <v>4</v>
      </c>
      <c r="B29" s="67" t="s">
        <v>99</v>
      </c>
      <c r="C29" s="42">
        <f>IF($A29&gt;=C$1,0,B36*Bases!F$9)</f>
        <v>0</v>
      </c>
      <c r="D29" s="42">
        <f>IF($A29&gt;=D$1,0,C36*Bases!G$9)</f>
        <v>0</v>
      </c>
      <c r="E29" s="42">
        <f>IF($A29&gt;=E$1,0,D36*Bases!H$9)</f>
        <v>0</v>
      </c>
      <c r="F29" s="42">
        <f>IF($A29&gt;=F$1,0,E36*Bases!I$9)</f>
        <v>0</v>
      </c>
      <c r="G29" s="42">
        <f>IF($A29&gt;=G$1,0,F36*Bases!J$9)</f>
        <v>0</v>
      </c>
    </row>
    <row r="30" spans="1:7" x14ac:dyDescent="0.25">
      <c r="A30" s="49">
        <v>5</v>
      </c>
      <c r="B30" s="67" t="s">
        <v>100</v>
      </c>
      <c r="C30" s="42">
        <f>IF($A30&gt;=C$1,0,B37*Bases!F$9)</f>
        <v>0</v>
      </c>
      <c r="D30" s="42">
        <f>IF($A30&gt;=D$1,0,C37*Bases!G$9)</f>
        <v>0</v>
      </c>
      <c r="E30" s="42">
        <f>IF($A30&gt;=E$1,0,D37*Bases!H$9)</f>
        <v>0</v>
      </c>
      <c r="F30" s="42">
        <f>IF($A30&gt;=F$1,0,E37*Bases!I$9)</f>
        <v>0</v>
      </c>
      <c r="G30" s="42">
        <f>IF($A30&gt;=G$1,0,F37*Bases!J$9)</f>
        <v>0</v>
      </c>
    </row>
    <row r="31" spans="1:7" x14ac:dyDescent="0.25">
      <c r="B31" s="153" t="s">
        <v>168</v>
      </c>
      <c r="C31" s="42">
        <f>SUM(C26:C30)</f>
        <v>0</v>
      </c>
      <c r="D31" s="42">
        <f>SUM(D26:D30)</f>
        <v>0</v>
      </c>
      <c r="E31" s="42">
        <f>SUM(E26:E30)</f>
        <v>0</v>
      </c>
      <c r="F31" s="42">
        <f>SUM(F26:F30)</f>
        <v>0</v>
      </c>
      <c r="G31" s="42">
        <f>SUM(G26:G30)</f>
        <v>0</v>
      </c>
    </row>
    <row r="32" spans="1:7" s="30" customFormat="1" ht="13.5" customHeight="1" x14ac:dyDescent="0.25">
      <c r="B32" s="159" t="s">
        <v>166</v>
      </c>
      <c r="C32" s="31"/>
      <c r="D32" s="31"/>
      <c r="E32" s="31"/>
      <c r="F32" s="31"/>
      <c r="G32" s="31"/>
    </row>
    <row r="33" spans="1:8" x14ac:dyDescent="0.25">
      <c r="A33" s="49">
        <v>1</v>
      </c>
      <c r="B33" s="76" t="s">
        <v>96</v>
      </c>
      <c r="C33" s="44">
        <f t="shared" ref="C33:G37" si="1">IF($A33&gt;C$1,0,IF($A33=C$1,C19,B33+C19+C26))</f>
        <v>0</v>
      </c>
      <c r="D33" s="44">
        <f t="shared" si="1"/>
        <v>0</v>
      </c>
      <c r="E33" s="44">
        <f t="shared" si="1"/>
        <v>0</v>
      </c>
      <c r="F33" s="44">
        <f t="shared" si="1"/>
        <v>0</v>
      </c>
      <c r="G33" s="44">
        <f t="shared" si="1"/>
        <v>0</v>
      </c>
      <c r="H33" s="32"/>
    </row>
    <row r="34" spans="1:8" x14ac:dyDescent="0.25">
      <c r="A34" s="49">
        <v>2</v>
      </c>
      <c r="B34" s="76" t="s">
        <v>97</v>
      </c>
      <c r="C34" s="44">
        <f t="shared" si="1"/>
        <v>0</v>
      </c>
      <c r="D34" s="44">
        <f t="shared" si="1"/>
        <v>0</v>
      </c>
      <c r="E34" s="44">
        <f t="shared" si="1"/>
        <v>0</v>
      </c>
      <c r="F34" s="44">
        <f t="shared" si="1"/>
        <v>0</v>
      </c>
      <c r="G34" s="44">
        <f t="shared" si="1"/>
        <v>0</v>
      </c>
    </row>
    <row r="35" spans="1:8" x14ac:dyDescent="0.25">
      <c r="A35" s="49">
        <v>3</v>
      </c>
      <c r="B35" s="76" t="s">
        <v>98</v>
      </c>
      <c r="C35" s="44">
        <f t="shared" si="1"/>
        <v>0</v>
      </c>
      <c r="D35" s="44">
        <f t="shared" si="1"/>
        <v>0</v>
      </c>
      <c r="E35" s="44">
        <f t="shared" si="1"/>
        <v>0</v>
      </c>
      <c r="F35" s="44">
        <f t="shared" si="1"/>
        <v>0</v>
      </c>
      <c r="G35" s="44">
        <f t="shared" si="1"/>
        <v>0</v>
      </c>
    </row>
    <row r="36" spans="1:8" x14ac:dyDescent="0.25">
      <c r="A36" s="49">
        <v>4</v>
      </c>
      <c r="B36" s="76" t="s">
        <v>99</v>
      </c>
      <c r="C36" s="44">
        <f t="shared" si="1"/>
        <v>0</v>
      </c>
      <c r="D36" s="44">
        <f t="shared" si="1"/>
        <v>0</v>
      </c>
      <c r="E36" s="44">
        <f t="shared" si="1"/>
        <v>0</v>
      </c>
      <c r="F36" s="44">
        <f t="shared" si="1"/>
        <v>0</v>
      </c>
      <c r="G36" s="44">
        <f t="shared" si="1"/>
        <v>0</v>
      </c>
    </row>
    <row r="37" spans="1:8" x14ac:dyDescent="0.25">
      <c r="A37" s="49">
        <v>5</v>
      </c>
      <c r="B37" s="76" t="s">
        <v>100</v>
      </c>
      <c r="C37" s="44">
        <f t="shared" si="1"/>
        <v>0</v>
      </c>
      <c r="D37" s="44">
        <f t="shared" si="1"/>
        <v>0</v>
      </c>
      <c r="E37" s="44">
        <f t="shared" si="1"/>
        <v>0</v>
      </c>
      <c r="F37" s="44">
        <f t="shared" si="1"/>
        <v>0</v>
      </c>
      <c r="G37" s="44">
        <f t="shared" si="1"/>
        <v>0</v>
      </c>
    </row>
    <row r="38" spans="1:8" x14ac:dyDescent="0.25">
      <c r="B38" s="49" t="s">
        <v>167</v>
      </c>
      <c r="C38" s="44">
        <f>SUM(C33:C37)</f>
        <v>0</v>
      </c>
      <c r="D38" s="44">
        <f>SUM(D33:D37)</f>
        <v>0</v>
      </c>
      <c r="E38" s="44">
        <f>SUM(E33:E37)</f>
        <v>0</v>
      </c>
      <c r="F38" s="44">
        <f>SUM(F33:F37)</f>
        <v>0</v>
      </c>
      <c r="G38" s="44">
        <f>SUM(G33:G37)</f>
        <v>0</v>
      </c>
    </row>
  </sheetData>
  <sheetProtection password="CA1B" sheet="1"/>
  <phoneticPr fontId="0" type="noConversion"/>
  <printOptions horizontalCentered="1" verticalCentered="1" gridLines="1"/>
  <pageMargins left="0.19685039370078741" right="0.19685039370078741" top="0.98425196850393704" bottom="0.39370078740157483" header="0.59055118110236227" footer="0.51181102362204722"/>
  <pageSetup scale="85" orientation="landscape" horizontalDpi="300" verticalDpi="0" copies="0"/>
  <headerFooter alignWithMargins="0">
    <oddHeader xml:space="preserve">&amp;C&amp;"Arial,Negrita"&amp;14MODELAJE FINANCIERO
&amp;12MODELO ANAUAL INVERSIONES&amp;"Arial,Normal"&amp;10
</oddHeader>
    <oddFooter>&amp;L&amp;"Arial,Negrita"&amp;8&amp;F&amp;C&amp;"Arial,Negrita"&amp;8Página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16">
    <tabColor indexed="30"/>
  </sheetPr>
  <dimension ref="A1:H38"/>
  <sheetViews>
    <sheetView showGridLines="0" workbookViewId="0">
      <pane xSplit="2" ySplit="4" topLeftCell="C5" activePane="bottomRight" state="frozen"/>
      <selection activeCell="F35" sqref="F35"/>
      <selection pane="topRight" activeCell="F35" sqref="F35"/>
      <selection pane="bottomLeft" activeCell="F35" sqref="F35"/>
      <selection pane="bottomRight" activeCell="C3" sqref="C3"/>
    </sheetView>
  </sheetViews>
  <sheetFormatPr baseColWidth="10" defaultColWidth="9.44140625" defaultRowHeight="13.2" x14ac:dyDescent="0.25"/>
  <cols>
    <col min="1" max="1" width="2.21875" style="1" customWidth="1"/>
    <col min="2" max="2" width="29.44140625" style="1" customWidth="1"/>
    <col min="3" max="4" width="16.21875" style="1" customWidth="1"/>
    <col min="5" max="7" width="15.33203125" style="1" customWidth="1"/>
    <col min="8" max="8" width="12.77734375" style="1" customWidth="1"/>
    <col min="9" max="16384" width="9.44140625" style="1"/>
  </cols>
  <sheetData>
    <row r="1" spans="1:7" x14ac:dyDescent="0.25">
      <c r="C1" s="161">
        <v>1</v>
      </c>
      <c r="D1" s="161">
        <v>2</v>
      </c>
      <c r="E1" s="161">
        <v>3</v>
      </c>
      <c r="F1" s="161">
        <v>4</v>
      </c>
      <c r="G1" s="161">
        <v>5</v>
      </c>
    </row>
    <row r="2" spans="1:7" x14ac:dyDescent="0.25">
      <c r="B2" s="157" t="s">
        <v>95</v>
      </c>
    </row>
    <row r="3" spans="1:7" x14ac:dyDescent="0.25">
      <c r="B3" s="160" t="s">
        <v>170</v>
      </c>
      <c r="C3" s="155">
        <f>' Inversiones Fijas y Diferidas'!H131</f>
        <v>0</v>
      </c>
      <c r="D3" s="155">
        <f>' Inversiones Fijas y Diferidas'!I131</f>
        <v>0</v>
      </c>
      <c r="E3" s="155">
        <f>' Inversiones Fijas y Diferidas'!J131</f>
        <v>0</v>
      </c>
      <c r="F3" s="155">
        <f>' Inversiones Fijas y Diferidas'!K131</f>
        <v>0</v>
      </c>
      <c r="G3" s="155">
        <f>' Inversiones Fijas y Diferidas'!L131</f>
        <v>0</v>
      </c>
    </row>
    <row r="4" spans="1:7" s="18" customFormat="1" x14ac:dyDescent="0.25">
      <c r="B4" s="75" t="s">
        <v>12</v>
      </c>
      <c r="C4" s="29"/>
      <c r="D4" s="29"/>
      <c r="E4" s="29"/>
      <c r="F4" s="29"/>
      <c r="G4" s="29"/>
    </row>
    <row r="5" spans="1:7" x14ac:dyDescent="0.25">
      <c r="A5" s="154">
        <v>1</v>
      </c>
      <c r="B5" s="76" t="s">
        <v>96</v>
      </c>
      <c r="C5" s="64">
        <f>IF($A5&gt;C$1,0,IF($A5=C$1,C$3*Bases!F$9,B12*Bases!F$9))</f>
        <v>0</v>
      </c>
      <c r="D5" s="42">
        <f>IF($A5&gt;D$1,0,IF($A5=D$1,D$3*Bases!G$9,C12*Bases!G$9))</f>
        <v>0</v>
      </c>
      <c r="E5" s="42">
        <f>IF($A5&gt;E$1,0,IF($A5=E$1,E$3*Bases!H$9,D12*Bases!H$9))</f>
        <v>0</v>
      </c>
      <c r="F5" s="42">
        <f>IF($A5&gt;F$1,0,IF($A5=F$1,F$3*Bases!I$9,E12*Bases!I$9))</f>
        <v>0</v>
      </c>
      <c r="G5" s="42">
        <f>IF($A5&gt;G$1,0,IF($A5=G$1,G$3*Bases!J$9,F12*Bases!J$9))</f>
        <v>0</v>
      </c>
    </row>
    <row r="6" spans="1:7" x14ac:dyDescent="0.25">
      <c r="A6" s="154">
        <v>2</v>
      </c>
      <c r="B6" s="76" t="s">
        <v>97</v>
      </c>
      <c r="C6" s="64">
        <f>IF($A6&gt;C$1,0,IF($A6=C$1,C$3*Bases!F$9,B13*Bases!F$9))</f>
        <v>0</v>
      </c>
      <c r="D6" s="42">
        <f>IF($A6&gt;D$1,0,IF($A6=D$1,D$3*Bases!G$9,C13*Bases!G$9))</f>
        <v>0</v>
      </c>
      <c r="E6" s="42">
        <f>IF($A6&gt;E$1,0,IF($A6=E$1,E$3*Bases!H$9,D13*Bases!H$9))</f>
        <v>0</v>
      </c>
      <c r="F6" s="42">
        <f>IF($A6&gt;F$1,0,IF($A6=F$1,F$3*Bases!I$9,E13*Bases!I$9))</f>
        <v>0</v>
      </c>
      <c r="G6" s="42">
        <f>IF($A6&gt;G$1,0,IF($A6=G$1,G$3*Bases!J$9,F13*Bases!J$9))</f>
        <v>0</v>
      </c>
    </row>
    <row r="7" spans="1:7" x14ac:dyDescent="0.25">
      <c r="A7" s="154">
        <v>3</v>
      </c>
      <c r="B7" s="76" t="s">
        <v>98</v>
      </c>
      <c r="C7" s="64">
        <f>IF($A7&gt;C$1,0,IF($A7=C$1,C$3*Bases!F$9,B14*Bases!F$9))</f>
        <v>0</v>
      </c>
      <c r="D7" s="42">
        <f>IF($A7&gt;D$1,0,IF($A7=D$1,D$3*Bases!G$9,C14*Bases!G$9))</f>
        <v>0</v>
      </c>
      <c r="E7" s="42">
        <f>IF($A7&gt;E$1,0,IF($A7=E$1,E$3*Bases!H$9,D14*Bases!H$9))</f>
        <v>0</v>
      </c>
      <c r="F7" s="42">
        <f>IF($A7&gt;F$1,0,IF($A7=F$1,F$3*Bases!I$9,E14*Bases!I$9))</f>
        <v>0</v>
      </c>
      <c r="G7" s="42">
        <f>IF($A7&gt;G$1,0,IF($A7=G$1,G$3*Bases!J$9,F14*Bases!J$9))</f>
        <v>0</v>
      </c>
    </row>
    <row r="8" spans="1:7" x14ac:dyDescent="0.25">
      <c r="A8" s="154">
        <v>4</v>
      </c>
      <c r="B8" s="76" t="s">
        <v>99</v>
      </c>
      <c r="C8" s="64">
        <f>IF($A8&gt;C$1,0,IF($A8=C$1,C$3*Bases!F$9,B15*Bases!F$9))</f>
        <v>0</v>
      </c>
      <c r="D8" s="42">
        <f>IF($A8&gt;D$1,0,IF($A8=D$1,D$3*Bases!G$9,C15*Bases!G$9))</f>
        <v>0</v>
      </c>
      <c r="E8" s="42">
        <f>IF($A8&gt;E$1,0,IF($A8=E$1,E$3*Bases!H$9,D15*Bases!H$9))</f>
        <v>0</v>
      </c>
      <c r="F8" s="42">
        <f>IF($A8&gt;F$1,0,IF($A8=F$1,F$3*Bases!I$9,E15*Bases!I$9))</f>
        <v>0</v>
      </c>
      <c r="G8" s="42">
        <f>IF($A8&gt;G$1,0,IF($A8=G$1,G$3*Bases!J$9,F15*Bases!J$9))</f>
        <v>0</v>
      </c>
    </row>
    <row r="9" spans="1:7" x14ac:dyDescent="0.25">
      <c r="A9" s="154">
        <v>5</v>
      </c>
      <c r="B9" s="76" t="s">
        <v>100</v>
      </c>
      <c r="C9" s="64">
        <f>IF($A9&gt;C$1,0,IF($A9=C$1,C$3*Bases!F$9,B16*Bases!F$9))</f>
        <v>0</v>
      </c>
      <c r="D9" s="42">
        <f>IF($A9&gt;D$1,0,IF($A9=D$1,D$3*Bases!G$9,C16*Bases!G$9))</f>
        <v>0</v>
      </c>
      <c r="E9" s="42">
        <f>IF($A9&gt;E$1,0,IF($A9=E$1,E$3*Bases!H$9,D16*Bases!H$9))</f>
        <v>0</v>
      </c>
      <c r="F9" s="42">
        <f>IF($A9&gt;F$1,0,IF($A9=F$1,F$3*Bases!I$9,E16*Bases!I$9))</f>
        <v>0</v>
      </c>
      <c r="G9" s="42">
        <f>IF($A9&gt;G$1,0,IF($A9=G$1,G$3*Bases!J$9,F16*Bases!J$9))</f>
        <v>0</v>
      </c>
    </row>
    <row r="10" spans="1:7" x14ac:dyDescent="0.25">
      <c r="B10" s="49" t="s">
        <v>101</v>
      </c>
      <c r="C10" s="64">
        <f>SUM(C5:C9)</f>
        <v>0</v>
      </c>
      <c r="D10" s="42">
        <f>SUM(D5:D9)</f>
        <v>0</v>
      </c>
      <c r="E10" s="42">
        <f>SUM(E5:E9)</f>
        <v>0</v>
      </c>
      <c r="F10" s="42">
        <f>SUM(F5:F9)</f>
        <v>0</v>
      </c>
      <c r="G10" s="42">
        <f>SUM(G5:G9)</f>
        <v>0</v>
      </c>
    </row>
    <row r="11" spans="1:7" s="30" customFormat="1" x14ac:dyDescent="0.25">
      <c r="B11" s="158" t="s">
        <v>102</v>
      </c>
      <c r="C11" s="31"/>
      <c r="D11" s="31"/>
      <c r="E11" s="31"/>
      <c r="F11" s="31"/>
      <c r="G11" s="31"/>
    </row>
    <row r="12" spans="1:7" x14ac:dyDescent="0.25">
      <c r="A12" s="49">
        <v>1</v>
      </c>
      <c r="B12" s="76" t="s">
        <v>96</v>
      </c>
      <c r="C12" s="42">
        <f t="shared" ref="C12:G16" si="0">IF($A12&gt;C$1,0,IF($A12=C$1,C$3+C5,B12+C5))</f>
        <v>0</v>
      </c>
      <c r="D12" s="42">
        <f t="shared" si="0"/>
        <v>0</v>
      </c>
      <c r="E12" s="42">
        <f t="shared" si="0"/>
        <v>0</v>
      </c>
      <c r="F12" s="42">
        <f t="shared" si="0"/>
        <v>0</v>
      </c>
      <c r="G12" s="42">
        <f t="shared" si="0"/>
        <v>0</v>
      </c>
    </row>
    <row r="13" spans="1:7" x14ac:dyDescent="0.25">
      <c r="A13" s="49">
        <v>2</v>
      </c>
      <c r="B13" s="76" t="s">
        <v>97</v>
      </c>
      <c r="C13" s="42">
        <f t="shared" si="0"/>
        <v>0</v>
      </c>
      <c r="D13" s="42">
        <f t="shared" si="0"/>
        <v>0</v>
      </c>
      <c r="E13" s="42">
        <f t="shared" si="0"/>
        <v>0</v>
      </c>
      <c r="F13" s="42">
        <f t="shared" si="0"/>
        <v>0</v>
      </c>
      <c r="G13" s="42">
        <f t="shared" si="0"/>
        <v>0</v>
      </c>
    </row>
    <row r="14" spans="1:7" x14ac:dyDescent="0.25">
      <c r="A14" s="49">
        <v>3</v>
      </c>
      <c r="B14" s="76" t="s">
        <v>98</v>
      </c>
      <c r="C14" s="42">
        <f t="shared" si="0"/>
        <v>0</v>
      </c>
      <c r="D14" s="42">
        <f t="shared" si="0"/>
        <v>0</v>
      </c>
      <c r="E14" s="42">
        <f t="shared" si="0"/>
        <v>0</v>
      </c>
      <c r="F14" s="42">
        <f t="shared" si="0"/>
        <v>0</v>
      </c>
      <c r="G14" s="42">
        <f t="shared" si="0"/>
        <v>0</v>
      </c>
    </row>
    <row r="15" spans="1:7" x14ac:dyDescent="0.25">
      <c r="A15" s="49">
        <v>4</v>
      </c>
      <c r="B15" s="76" t="s">
        <v>99</v>
      </c>
      <c r="C15" s="42">
        <f t="shared" si="0"/>
        <v>0</v>
      </c>
      <c r="D15" s="42">
        <f t="shared" si="0"/>
        <v>0</v>
      </c>
      <c r="E15" s="42">
        <f t="shared" si="0"/>
        <v>0</v>
      </c>
      <c r="F15" s="42">
        <f t="shared" si="0"/>
        <v>0</v>
      </c>
      <c r="G15" s="42">
        <f t="shared" si="0"/>
        <v>0</v>
      </c>
    </row>
    <row r="16" spans="1:7" x14ac:dyDescent="0.25">
      <c r="A16" s="49">
        <v>5</v>
      </c>
      <c r="B16" s="76" t="s">
        <v>100</v>
      </c>
      <c r="C16" s="42">
        <f t="shared" si="0"/>
        <v>0</v>
      </c>
      <c r="D16" s="42">
        <f t="shared" si="0"/>
        <v>0</v>
      </c>
      <c r="E16" s="42">
        <f t="shared" si="0"/>
        <v>0</v>
      </c>
      <c r="F16" s="42">
        <f t="shared" si="0"/>
        <v>0</v>
      </c>
      <c r="G16" s="42">
        <f t="shared" si="0"/>
        <v>0</v>
      </c>
    </row>
    <row r="17" spans="1:7" x14ac:dyDescent="0.25">
      <c r="B17" s="49" t="s">
        <v>103</v>
      </c>
      <c r="C17" s="44">
        <f>SUM(C12:C16)</f>
        <v>0</v>
      </c>
      <c r="D17" s="44">
        <f>SUM(D12:D16)</f>
        <v>0</v>
      </c>
      <c r="E17" s="44">
        <f>SUM(E12:E16)</f>
        <v>0</v>
      </c>
      <c r="F17" s="44">
        <f>SUM(F12:F16)</f>
        <v>0</v>
      </c>
      <c r="G17" s="44">
        <f>SUM(G12:G16)</f>
        <v>0</v>
      </c>
    </row>
    <row r="18" spans="1:7" s="30" customFormat="1" ht="13.5" customHeight="1" x14ac:dyDescent="0.25">
      <c r="B18" s="159" t="s">
        <v>163</v>
      </c>
      <c r="C18" s="31"/>
      <c r="D18" s="31"/>
      <c r="E18" s="31"/>
      <c r="F18" s="31"/>
      <c r="G18" s="31"/>
    </row>
    <row r="19" spans="1:7" x14ac:dyDescent="0.25">
      <c r="A19" s="49">
        <v>1</v>
      </c>
      <c r="B19" s="76" t="s">
        <v>96</v>
      </c>
      <c r="C19" s="42">
        <f>IF(OR($A19&gt;C$1,Bases!$D$42+$A19-1&lt;C$1),0,C12/Bases!$D$42)</f>
        <v>0</v>
      </c>
      <c r="D19" s="42">
        <f>IF(OR($A19&gt;D$1,Bases!$D$42+$A19-1&lt;D$1),0,D12/Bases!$D$42)</f>
        <v>0</v>
      </c>
      <c r="E19" s="42">
        <f>IF(OR($A19&gt;E$1,Bases!$D$42+$A19-1&lt;E$1),0,E12/Bases!$D$42)</f>
        <v>0</v>
      </c>
      <c r="F19" s="42">
        <f>IF(OR($A19&gt;F$1,Bases!$D$42+$A19-1&lt;F$1),0,F12/Bases!$D$42)</f>
        <v>0</v>
      </c>
      <c r="G19" s="42">
        <f>IF(OR($A19&gt;G$1,Bases!$D$42+$A19-1&lt;G$1),0,G12/Bases!$D$42)</f>
        <v>0</v>
      </c>
    </row>
    <row r="20" spans="1:7" x14ac:dyDescent="0.25">
      <c r="A20" s="49">
        <v>2</v>
      </c>
      <c r="B20" s="76" t="s">
        <v>97</v>
      </c>
      <c r="C20" s="42">
        <f>IF(OR($A20&gt;C$1,Bases!$D$42+$A20-1&lt;C$1),0,C13/Bases!$D$42)</f>
        <v>0</v>
      </c>
      <c r="D20" s="42">
        <f>IF(OR($A20&gt;D$1,Bases!$D$42+$A20-1&lt;D$1),0,D13/Bases!$D$42)</f>
        <v>0</v>
      </c>
      <c r="E20" s="42">
        <f>IF(OR($A20&gt;E$1,Bases!$D$42+$A20-1&lt;E$1),0,E13/Bases!$D$42)</f>
        <v>0</v>
      </c>
      <c r="F20" s="42">
        <f>IF(OR($A20&gt;F$1,Bases!$D$42+$A20-1&lt;F$1),0,F13/Bases!$D$42)</f>
        <v>0</v>
      </c>
      <c r="G20" s="42">
        <f>IF(OR($A20&gt;G$1,Bases!$D$42+$A20-1&lt;G$1),0,G13/Bases!$D$42)</f>
        <v>0</v>
      </c>
    </row>
    <row r="21" spans="1:7" x14ac:dyDescent="0.25">
      <c r="A21" s="49">
        <v>3</v>
      </c>
      <c r="B21" s="76" t="s">
        <v>98</v>
      </c>
      <c r="C21" s="42">
        <f>IF(OR($A21&gt;C$1,Bases!$D$42+$A21-1&lt;C$1),0,C14/Bases!$D$42)</f>
        <v>0</v>
      </c>
      <c r="D21" s="42">
        <f>IF(OR($A21&gt;D$1,Bases!$D$42+$A21-1&lt;D$1),0,D14/Bases!$D$42)</f>
        <v>0</v>
      </c>
      <c r="E21" s="42">
        <f>IF(OR($A21&gt;E$1,Bases!$D$42+$A21-1&lt;E$1),0,E14/Bases!$D$42)</f>
        <v>0</v>
      </c>
      <c r="F21" s="42">
        <f>IF(OR($A21&gt;F$1,Bases!$D$42+$A21-1&lt;F$1),0,F14/Bases!$D$42)</f>
        <v>0</v>
      </c>
      <c r="G21" s="42">
        <f>IF(OR($A21&gt;G$1,Bases!$D$42+$A21-1&lt;G$1),0,G14/Bases!$D$42)</f>
        <v>0</v>
      </c>
    </row>
    <row r="22" spans="1:7" x14ac:dyDescent="0.25">
      <c r="A22" s="49">
        <v>4</v>
      </c>
      <c r="B22" s="76" t="s">
        <v>99</v>
      </c>
      <c r="C22" s="42">
        <f>IF(OR($A22&gt;C$1,Bases!$D$42+$A22-1&lt;C$1),0,C15/Bases!$D$42)</f>
        <v>0</v>
      </c>
      <c r="D22" s="42">
        <f>IF(OR($A22&gt;D$1,Bases!$D$42+$A22-1&lt;D$1),0,D15/Bases!$D$42)</f>
        <v>0</v>
      </c>
      <c r="E22" s="42">
        <f>IF(OR($A22&gt;E$1,Bases!$D$42+$A22-1&lt;E$1),0,E15/Bases!$D$42)</f>
        <v>0</v>
      </c>
      <c r="F22" s="42">
        <f>IF(OR($A22&gt;F$1,Bases!$D$42+$A22-1&lt;F$1),0,F15/Bases!$D$42)</f>
        <v>0</v>
      </c>
      <c r="G22" s="42">
        <f>IF(OR($A22&gt;G$1,Bases!$D$42+$A22-1&lt;G$1),0,G15/Bases!$D$42)</f>
        <v>0</v>
      </c>
    </row>
    <row r="23" spans="1:7" x14ac:dyDescent="0.25">
      <c r="A23" s="49">
        <v>5</v>
      </c>
      <c r="B23" s="76" t="s">
        <v>100</v>
      </c>
      <c r="C23" s="42">
        <f>IF(OR($A23&gt;C$1,Bases!$D$42+$A23-1&lt;C$1),0,C16/Bases!$D$42)</f>
        <v>0</v>
      </c>
      <c r="D23" s="42">
        <f>IF(OR($A23&gt;D$1,Bases!$D$42+$A23-1&lt;D$1),0,D16/Bases!$D$42)</f>
        <v>0</v>
      </c>
      <c r="E23" s="42">
        <f>IF(OR($A23&gt;E$1,Bases!$D$42+$A23-1&lt;E$1),0,E16/Bases!$D$42)</f>
        <v>0</v>
      </c>
      <c r="F23" s="42">
        <f>IF(OR($A23&gt;F$1,Bases!$D$42+$A23-1&lt;F$1),0,F16/Bases!$D$42)</f>
        <v>0</v>
      </c>
      <c r="G23" s="42">
        <f>IF(OR($A23&gt;G$1,Bases!$D$42+$A23-1&lt;G$1),0,G16/Bases!$D$42)</f>
        <v>0</v>
      </c>
    </row>
    <row r="24" spans="1:7" x14ac:dyDescent="0.25">
      <c r="B24" s="49" t="s">
        <v>169</v>
      </c>
      <c r="C24" s="44">
        <f>SUM(C19:C23)</f>
        <v>0</v>
      </c>
      <c r="D24" s="44">
        <f>SUM(D19:D23)</f>
        <v>0</v>
      </c>
      <c r="E24" s="44">
        <f>SUM(E19:E23)</f>
        <v>0</v>
      </c>
      <c r="F24" s="44">
        <f>SUM(F19:F23)</f>
        <v>0</v>
      </c>
      <c r="G24" s="44">
        <f>SUM(G19:G23)</f>
        <v>0</v>
      </c>
    </row>
    <row r="25" spans="1:7" s="30" customFormat="1" ht="13.5" customHeight="1" x14ac:dyDescent="0.25">
      <c r="B25" s="159" t="s">
        <v>165</v>
      </c>
      <c r="C25" s="31"/>
      <c r="D25" s="31"/>
      <c r="E25" s="31"/>
      <c r="F25" s="31"/>
      <c r="G25" s="31"/>
    </row>
    <row r="26" spans="1:7" x14ac:dyDescent="0.25">
      <c r="A26" s="49">
        <v>1</v>
      </c>
      <c r="B26" s="67" t="s">
        <v>96</v>
      </c>
      <c r="C26" s="42">
        <f>IF($A26&gt;=C$1,0,B33*Bases!F$9)</f>
        <v>0</v>
      </c>
      <c r="D26" s="42">
        <f>IF($A26&gt;=D$1,0,C33*Bases!G$9)</f>
        <v>0</v>
      </c>
      <c r="E26" s="42">
        <f>IF($A26&gt;=E$1,0,D33*Bases!H$9)</f>
        <v>0</v>
      </c>
      <c r="F26" s="42">
        <f>IF($A26&gt;=F$1,0,E33*Bases!I$9)</f>
        <v>0</v>
      </c>
      <c r="G26" s="42">
        <f>IF($A26&gt;=G$1,0,F33*Bases!J$9)</f>
        <v>0</v>
      </c>
    </row>
    <row r="27" spans="1:7" x14ac:dyDescent="0.25">
      <c r="A27" s="49">
        <v>2</v>
      </c>
      <c r="B27" s="67" t="s">
        <v>97</v>
      </c>
      <c r="C27" s="42">
        <f>IF($A27&gt;=C$1,0,B34*Bases!F$9)</f>
        <v>0</v>
      </c>
      <c r="D27" s="42">
        <f>IF($A27&gt;=D$1,0,C34*Bases!G$9)</f>
        <v>0</v>
      </c>
      <c r="E27" s="42">
        <f>IF($A27&gt;=E$1,0,D34*Bases!H$9)</f>
        <v>0</v>
      </c>
      <c r="F27" s="42">
        <f>IF($A27&gt;=F$1,0,E34*Bases!I$9)</f>
        <v>0</v>
      </c>
      <c r="G27" s="42">
        <f>IF($A27&gt;=G$1,0,F34*Bases!J$9)</f>
        <v>0</v>
      </c>
    </row>
    <row r="28" spans="1:7" x14ac:dyDescent="0.25">
      <c r="A28" s="49">
        <v>3</v>
      </c>
      <c r="B28" s="67" t="s">
        <v>98</v>
      </c>
      <c r="C28" s="42">
        <f>IF($A28&gt;=C$1,0,B35*Bases!F$9)</f>
        <v>0</v>
      </c>
      <c r="D28" s="42">
        <f>IF($A28&gt;=D$1,0,C35*Bases!G$9)</f>
        <v>0</v>
      </c>
      <c r="E28" s="42">
        <f>IF($A28&gt;=E$1,0,D35*Bases!H$9)</f>
        <v>0</v>
      </c>
      <c r="F28" s="42">
        <f>IF($A28&gt;=F$1,0,E35*Bases!I$9)</f>
        <v>0</v>
      </c>
      <c r="G28" s="42">
        <f>IF($A28&gt;=G$1,0,F35*Bases!J$9)</f>
        <v>0</v>
      </c>
    </row>
    <row r="29" spans="1:7" x14ac:dyDescent="0.25">
      <c r="A29" s="49">
        <v>4</v>
      </c>
      <c r="B29" s="67" t="s">
        <v>99</v>
      </c>
      <c r="C29" s="42">
        <f>IF($A29&gt;=C$1,0,B36*Bases!F$9)</f>
        <v>0</v>
      </c>
      <c r="D29" s="42">
        <f>IF($A29&gt;=D$1,0,C36*Bases!G$9)</f>
        <v>0</v>
      </c>
      <c r="E29" s="42">
        <f>IF($A29&gt;=E$1,0,D36*Bases!H$9)</f>
        <v>0</v>
      </c>
      <c r="F29" s="42">
        <f>IF($A29&gt;=F$1,0,E36*Bases!I$9)</f>
        <v>0</v>
      </c>
      <c r="G29" s="42">
        <f>IF($A29&gt;=G$1,0,F36*Bases!J$9)</f>
        <v>0</v>
      </c>
    </row>
    <row r="30" spans="1:7" x14ac:dyDescent="0.25">
      <c r="A30" s="49">
        <v>5</v>
      </c>
      <c r="B30" s="67" t="s">
        <v>100</v>
      </c>
      <c r="C30" s="42">
        <f>IF($A30&gt;=C$1,0,B37*Bases!F$9)</f>
        <v>0</v>
      </c>
      <c r="D30" s="42">
        <f>IF($A30&gt;=D$1,0,C37*Bases!G$9)</f>
        <v>0</v>
      </c>
      <c r="E30" s="42">
        <f>IF($A30&gt;=E$1,0,D37*Bases!H$9)</f>
        <v>0</v>
      </c>
      <c r="F30" s="42">
        <f>IF($A30&gt;=F$1,0,E37*Bases!I$9)</f>
        <v>0</v>
      </c>
      <c r="G30" s="42">
        <f>IF($A30&gt;=G$1,0,F37*Bases!J$9)</f>
        <v>0</v>
      </c>
    </row>
    <row r="31" spans="1:7" x14ac:dyDescent="0.25">
      <c r="B31" s="153" t="s">
        <v>168</v>
      </c>
      <c r="C31" s="42">
        <f>SUM(C26:C30)</f>
        <v>0</v>
      </c>
      <c r="D31" s="42">
        <f>SUM(D26:D30)</f>
        <v>0</v>
      </c>
      <c r="E31" s="42">
        <f>SUM(E26:E30)</f>
        <v>0</v>
      </c>
      <c r="F31" s="42">
        <f>SUM(F26:F30)</f>
        <v>0</v>
      </c>
      <c r="G31" s="42">
        <f>SUM(G26:G30)</f>
        <v>0</v>
      </c>
    </row>
    <row r="32" spans="1:7" s="30" customFormat="1" ht="13.5" customHeight="1" x14ac:dyDescent="0.25">
      <c r="B32" s="159" t="s">
        <v>166</v>
      </c>
      <c r="C32" s="31"/>
      <c r="D32" s="31"/>
      <c r="E32" s="31"/>
      <c r="F32" s="31"/>
      <c r="G32" s="31"/>
    </row>
    <row r="33" spans="1:8" x14ac:dyDescent="0.25">
      <c r="A33" s="49">
        <v>1</v>
      </c>
      <c r="B33" s="76" t="s">
        <v>96</v>
      </c>
      <c r="C33" s="44">
        <f t="shared" ref="C33:G37" si="1">IF($A33&gt;C$1,0,IF($A33=C$1,C19,B33+C19+C26))</f>
        <v>0</v>
      </c>
      <c r="D33" s="44">
        <f t="shared" si="1"/>
        <v>0</v>
      </c>
      <c r="E33" s="44">
        <f t="shared" si="1"/>
        <v>0</v>
      </c>
      <c r="F33" s="44">
        <f t="shared" si="1"/>
        <v>0</v>
      </c>
      <c r="G33" s="44">
        <f t="shared" si="1"/>
        <v>0</v>
      </c>
      <c r="H33" s="32"/>
    </row>
    <row r="34" spans="1:8" x14ac:dyDescent="0.25">
      <c r="A34" s="49">
        <v>2</v>
      </c>
      <c r="B34" s="76" t="s">
        <v>97</v>
      </c>
      <c r="C34" s="44">
        <f t="shared" si="1"/>
        <v>0</v>
      </c>
      <c r="D34" s="44">
        <f t="shared" si="1"/>
        <v>0</v>
      </c>
      <c r="E34" s="44">
        <f t="shared" si="1"/>
        <v>0</v>
      </c>
      <c r="F34" s="44">
        <f t="shared" si="1"/>
        <v>0</v>
      </c>
      <c r="G34" s="44">
        <f t="shared" si="1"/>
        <v>0</v>
      </c>
    </row>
    <row r="35" spans="1:8" x14ac:dyDescent="0.25">
      <c r="A35" s="49">
        <v>3</v>
      </c>
      <c r="B35" s="76" t="s">
        <v>98</v>
      </c>
      <c r="C35" s="44">
        <f t="shared" si="1"/>
        <v>0</v>
      </c>
      <c r="D35" s="44">
        <f t="shared" si="1"/>
        <v>0</v>
      </c>
      <c r="E35" s="44">
        <f t="shared" si="1"/>
        <v>0</v>
      </c>
      <c r="F35" s="44">
        <f t="shared" si="1"/>
        <v>0</v>
      </c>
      <c r="G35" s="44">
        <f t="shared" si="1"/>
        <v>0</v>
      </c>
    </row>
    <row r="36" spans="1:8" x14ac:dyDescent="0.25">
      <c r="A36" s="49">
        <v>4</v>
      </c>
      <c r="B36" s="76" t="s">
        <v>99</v>
      </c>
      <c r="C36" s="44">
        <f t="shared" si="1"/>
        <v>0</v>
      </c>
      <c r="D36" s="44">
        <f t="shared" si="1"/>
        <v>0</v>
      </c>
      <c r="E36" s="44">
        <f t="shared" si="1"/>
        <v>0</v>
      </c>
      <c r="F36" s="44">
        <f t="shared" si="1"/>
        <v>0</v>
      </c>
      <c r="G36" s="44">
        <f t="shared" si="1"/>
        <v>0</v>
      </c>
    </row>
    <row r="37" spans="1:8" x14ac:dyDescent="0.25">
      <c r="A37" s="49">
        <v>5</v>
      </c>
      <c r="B37" s="76" t="s">
        <v>100</v>
      </c>
      <c r="C37" s="44">
        <f t="shared" si="1"/>
        <v>0</v>
      </c>
      <c r="D37" s="44">
        <f t="shared" si="1"/>
        <v>0</v>
      </c>
      <c r="E37" s="44">
        <f t="shared" si="1"/>
        <v>0</v>
      </c>
      <c r="F37" s="44">
        <f t="shared" si="1"/>
        <v>0</v>
      </c>
      <c r="G37" s="44">
        <f t="shared" si="1"/>
        <v>0</v>
      </c>
    </row>
    <row r="38" spans="1:8" x14ac:dyDescent="0.25">
      <c r="B38" s="49" t="s">
        <v>167</v>
      </c>
      <c r="C38" s="44">
        <f>SUM(C33:C37)</f>
        <v>0</v>
      </c>
      <c r="D38" s="44">
        <f>SUM(D33:D37)</f>
        <v>0</v>
      </c>
      <c r="E38" s="44">
        <f>SUM(E33:E37)</f>
        <v>0</v>
      </c>
      <c r="F38" s="44">
        <f>SUM(F33:F37)</f>
        <v>0</v>
      </c>
      <c r="G38" s="44">
        <f>SUM(G33:G37)</f>
        <v>0</v>
      </c>
    </row>
  </sheetData>
  <sheetProtection password="CA1B" sheet="1"/>
  <phoneticPr fontId="0" type="noConversion"/>
  <printOptions horizontalCentered="1" verticalCentered="1" gridLines="1"/>
  <pageMargins left="0.19685039370078741" right="0.19685039370078741" top="0.98425196850393704" bottom="0.39370078740157483" header="0.59055118110236227" footer="0.51181102362204722"/>
  <pageSetup scale="85" orientation="landscape" horizontalDpi="300" verticalDpi="0" copies="0"/>
  <headerFooter alignWithMargins="0">
    <oddHeader xml:space="preserve">&amp;C&amp;"Arial,Negrita"&amp;14MODELAJE FINANCIERO
&amp;12MODELO ANAUAL INVERSIONES&amp;"Arial,Normal"&amp;10
</oddHeader>
    <oddFooter>&amp;L&amp;"Arial,Negrita"&amp;8&amp;F&amp;C&amp;"Arial,Negrita"&amp;8Página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18">
    <tabColor indexed="30"/>
  </sheetPr>
  <dimension ref="A1:I44"/>
  <sheetViews>
    <sheetView showGridLines="0" topLeftCell="A30" zoomScale="136" zoomScaleNormal="136" workbookViewId="0">
      <selection activeCell="B16" sqref="B16"/>
    </sheetView>
  </sheetViews>
  <sheetFormatPr baseColWidth="10" defaultColWidth="0" defaultRowHeight="13.2" zeroHeight="1" x14ac:dyDescent="0.25"/>
  <cols>
    <col min="1" max="1" width="2.21875" style="1" customWidth="1"/>
    <col min="2" max="2" width="29.44140625" style="1" customWidth="1"/>
    <col min="3" max="5" width="16.21875" style="1" customWidth="1"/>
    <col min="6" max="8" width="15.33203125" style="1" customWidth="1"/>
    <col min="9" max="9" width="12.77734375" style="1" customWidth="1"/>
    <col min="10" max="16384" width="0" style="1" hidden="1"/>
  </cols>
  <sheetData>
    <row r="1" spans="1:9" x14ac:dyDescent="0.25">
      <c r="C1" s="161">
        <v>0</v>
      </c>
      <c r="D1" s="161">
        <v>1</v>
      </c>
      <c r="E1" s="161">
        <v>2</v>
      </c>
      <c r="F1" s="161">
        <v>3</v>
      </c>
      <c r="G1" s="161">
        <v>4</v>
      </c>
      <c r="H1" s="161">
        <v>5</v>
      </c>
    </row>
    <row r="2" spans="1:9" ht="17.399999999999999" x14ac:dyDescent="0.25">
      <c r="B2" s="25" t="s">
        <v>194</v>
      </c>
      <c r="C2" s="448"/>
      <c r="D2" s="448"/>
      <c r="E2" s="448"/>
      <c r="F2" s="448"/>
      <c r="G2" s="448"/>
      <c r="H2" s="448"/>
      <c r="I2" s="329" t="s">
        <v>350</v>
      </c>
    </row>
    <row r="3" spans="1:9" x14ac:dyDescent="0.25">
      <c r="B3" s="160" t="s">
        <v>170</v>
      </c>
      <c r="C3" s="410">
        <f>+' Inversiones Fijas y Diferidas'!G167</f>
        <v>38792564</v>
      </c>
      <c r="D3" s="410">
        <f>+' Inversiones Fijas y Diferidas'!H167</f>
        <v>0</v>
      </c>
      <c r="E3" s="410">
        <f>+' Inversiones Fijas y Diferidas'!I167</f>
        <v>0</v>
      </c>
      <c r="F3" s="410">
        <f>+' Inversiones Fijas y Diferidas'!J167</f>
        <v>0</v>
      </c>
      <c r="G3" s="410">
        <f>+' Inversiones Fijas y Diferidas'!K167</f>
        <v>0</v>
      </c>
      <c r="H3" s="410">
        <f>+' Inversiones Fijas y Diferidas'!L167</f>
        <v>0</v>
      </c>
    </row>
    <row r="4" spans="1:9" s="18" customFormat="1" x14ac:dyDescent="0.25">
      <c r="B4" s="28" t="s">
        <v>12</v>
      </c>
      <c r="C4" s="450"/>
      <c r="D4" s="450"/>
      <c r="E4" s="450"/>
      <c r="F4" s="450"/>
      <c r="G4" s="450"/>
      <c r="H4" s="450"/>
    </row>
    <row r="5" spans="1:9" s="18" customFormat="1" x14ac:dyDescent="0.25">
      <c r="A5" s="49">
        <v>0</v>
      </c>
      <c r="B5" s="76" t="s">
        <v>189</v>
      </c>
      <c r="C5" s="406">
        <f>IF($A5&gt;C$1,0,IF($A5=C$1,C$3*Bases!E$9,B13*Bases!E$9))</f>
        <v>0</v>
      </c>
      <c r="D5" s="406">
        <f>IF($A5&gt;D$1,0,IF($A5=D$1,D$3*Bases!F$9,C13*Bases!F$9))</f>
        <v>0</v>
      </c>
      <c r="E5" s="406">
        <f>IF($A5&gt;E$1,0,IF($A5=E$1,E$3*Bases!G$9,D13*Bases!G$9))</f>
        <v>0</v>
      </c>
      <c r="F5" s="406">
        <f>IF($A5&gt;F$1,0,IF($A5=F$1,F$3*Bases!H$9,E13*Bases!H$9))</f>
        <v>0</v>
      </c>
      <c r="G5" s="406">
        <f>IF($A5&gt;G$1,0,IF($A5=G$1,G$3*Bases!I$9,F13*Bases!I$9))</f>
        <v>0</v>
      </c>
      <c r="H5" s="406">
        <f>IF($A5&gt;H$1,0,IF($A5=H$1,H$3*Bases!J$9,G13*Bases!J$9))</f>
        <v>0</v>
      </c>
    </row>
    <row r="6" spans="1:9" x14ac:dyDescent="0.25">
      <c r="A6" s="49">
        <v>1</v>
      </c>
      <c r="B6" s="76" t="s">
        <v>96</v>
      </c>
      <c r="C6" s="406">
        <f>IF($A6&gt;C$1,0,IF($A6=C$1,C$3*Bases!E$9,B14*Bases!E$9))</f>
        <v>0</v>
      </c>
      <c r="D6" s="406">
        <f>IF($A6&gt;D$1,0,IF($A6=D$1,D$3*Bases!F$9,C14*Bases!F$9))</f>
        <v>0</v>
      </c>
      <c r="E6" s="406">
        <f>IF($A6&gt;E$1,0,IF($A6=E$1,E$3*Bases!G$9,D14*Bases!G$9))</f>
        <v>0</v>
      </c>
      <c r="F6" s="406">
        <f>IF($A6&gt;F$1,0,IF($A6=F$1,F$3*Bases!H$9,E14*Bases!H$9))</f>
        <v>0</v>
      </c>
      <c r="G6" s="406">
        <f>IF($A6&gt;G$1,0,IF($A6=G$1,G$3*Bases!I$9,F14*Bases!I$9))</f>
        <v>0</v>
      </c>
      <c r="H6" s="406">
        <f>IF($A6&gt;H$1,0,IF($A6=H$1,H$3*Bases!J$9,G14*Bases!J$9))</f>
        <v>0</v>
      </c>
    </row>
    <row r="7" spans="1:9" x14ac:dyDescent="0.25">
      <c r="A7" s="49">
        <v>2</v>
      </c>
      <c r="B7" s="76" t="s">
        <v>97</v>
      </c>
      <c r="C7" s="406">
        <f>IF($A7&gt;C$1,0,IF($A7=C$1,C$3*Bases!E$9,B15*Bases!E$9))</f>
        <v>0</v>
      </c>
      <c r="D7" s="406">
        <f>IF($A7&gt;D$1,0,IF($A7=D$1,D$3*Bases!F$9,C15*Bases!F$9))</f>
        <v>0</v>
      </c>
      <c r="E7" s="406">
        <f>IF($A7&gt;E$1,0,IF($A7=E$1,E$3*Bases!G$9,D15*Bases!G$9))</f>
        <v>0</v>
      </c>
      <c r="F7" s="406">
        <f>IF($A7&gt;F$1,0,IF($A7=F$1,F$3*Bases!H$9,E15*Bases!H$9))</f>
        <v>0</v>
      </c>
      <c r="G7" s="406">
        <f>IF($A7&gt;G$1,0,IF($A7=G$1,G$3*Bases!I$9,F15*Bases!I$9))</f>
        <v>0</v>
      </c>
      <c r="H7" s="406">
        <f>IF($A7&gt;H$1,0,IF($A7=H$1,H$3*Bases!J$9,G15*Bases!J$9))</f>
        <v>0</v>
      </c>
    </row>
    <row r="8" spans="1:9" x14ac:dyDescent="0.25">
      <c r="A8" s="49">
        <v>3</v>
      </c>
      <c r="B8" s="76" t="s">
        <v>98</v>
      </c>
      <c r="C8" s="406">
        <f>IF($A8&gt;C$1,0,IF($A8=C$1,C$3*Bases!E$9,B16*Bases!E$9))</f>
        <v>0</v>
      </c>
      <c r="D8" s="406">
        <f>IF($A8&gt;D$1,0,IF($A8=D$1,D$3*Bases!F$9,C16*Bases!F$9))</f>
        <v>0</v>
      </c>
      <c r="E8" s="406">
        <f>IF($A8&gt;E$1,0,IF($A8=E$1,E$3*Bases!G$9,D16*Bases!G$9))</f>
        <v>0</v>
      </c>
      <c r="F8" s="406">
        <f>IF($A8&gt;F$1,0,IF($A8=F$1,F$3*Bases!H$9,E16*Bases!H$9))</f>
        <v>0</v>
      </c>
      <c r="G8" s="406">
        <f>IF($A8&gt;G$1,0,IF($A8=G$1,G$3*Bases!I$9,F16*Bases!I$9))</f>
        <v>0</v>
      </c>
      <c r="H8" s="406">
        <f>IF($A8&gt;H$1,0,IF($A8=H$1,H$3*Bases!J$9,G16*Bases!J$9))</f>
        <v>0</v>
      </c>
    </row>
    <row r="9" spans="1:9" x14ac:dyDescent="0.25">
      <c r="A9" s="49">
        <v>4</v>
      </c>
      <c r="B9" s="76" t="s">
        <v>99</v>
      </c>
      <c r="C9" s="406">
        <f>IF($A9&gt;C$1,0,IF($A9=C$1,C$3*Bases!E$9,B17*Bases!E$9))</f>
        <v>0</v>
      </c>
      <c r="D9" s="406">
        <f>IF($A9&gt;D$1,0,IF($A9=D$1,D$3*Bases!F$9,C17*Bases!F$9))</f>
        <v>0</v>
      </c>
      <c r="E9" s="406">
        <f>IF($A9&gt;E$1,0,IF($A9=E$1,E$3*Bases!G$9,D17*Bases!G$9))</f>
        <v>0</v>
      </c>
      <c r="F9" s="406">
        <f>IF($A9&gt;F$1,0,IF($A9=F$1,F$3*Bases!H$9,E17*Bases!H$9))</f>
        <v>0</v>
      </c>
      <c r="G9" s="406">
        <f>IF($A9&gt;G$1,0,IF($A9=G$1,G$3*Bases!I$9,F17*Bases!I$9))</f>
        <v>0</v>
      </c>
      <c r="H9" s="406">
        <f>IF($A9&gt;H$1,0,IF($A9=H$1,H$3*Bases!J$9,G17*Bases!J$9))</f>
        <v>0</v>
      </c>
    </row>
    <row r="10" spans="1:9" x14ac:dyDescent="0.25">
      <c r="A10" s="49">
        <v>5</v>
      </c>
      <c r="B10" s="76" t="s">
        <v>100</v>
      </c>
      <c r="C10" s="406">
        <f>IF($A10&gt;C$1,0,IF($A10=C$1,C$3*Bases!E$9,B18*Bases!E$9))</f>
        <v>0</v>
      </c>
      <c r="D10" s="406">
        <f>IF($A10&gt;D$1,0,IF($A10=D$1,D$3*Bases!F$9,C18*Bases!F$9))</f>
        <v>0</v>
      </c>
      <c r="E10" s="406">
        <f>IF($A10&gt;E$1,0,IF($A10=E$1,E$3*Bases!G$9,D18*Bases!G$9))</f>
        <v>0</v>
      </c>
      <c r="F10" s="406">
        <f>IF($A10&gt;F$1,0,IF($A10=F$1,F$3*Bases!H$9,E18*Bases!H$9))</f>
        <v>0</v>
      </c>
      <c r="G10" s="406">
        <f>IF($A10&gt;G$1,0,IF($A10=G$1,G$3*Bases!I$9,F18*Bases!I$9))</f>
        <v>0</v>
      </c>
      <c r="H10" s="406">
        <f>IF($A10&gt;H$1,0,IF($A10=H$1,H$3*Bases!J$9,G18*Bases!J$9))</f>
        <v>0</v>
      </c>
    </row>
    <row r="11" spans="1:9" x14ac:dyDescent="0.25">
      <c r="B11" s="49" t="s">
        <v>101</v>
      </c>
      <c r="C11" s="406">
        <f t="shared" ref="C11:H11" si="0">SUM(C5:C10)</f>
        <v>0</v>
      </c>
      <c r="D11" s="406">
        <f t="shared" si="0"/>
        <v>0</v>
      </c>
      <c r="E11" s="406">
        <f t="shared" si="0"/>
        <v>0</v>
      </c>
      <c r="F11" s="406">
        <f t="shared" si="0"/>
        <v>0</v>
      </c>
      <c r="G11" s="406">
        <f t="shared" si="0"/>
        <v>0</v>
      </c>
      <c r="H11" s="406">
        <f t="shared" si="0"/>
        <v>0</v>
      </c>
    </row>
    <row r="12" spans="1:9" s="30" customFormat="1" x14ac:dyDescent="0.25">
      <c r="B12" s="28" t="s">
        <v>102</v>
      </c>
      <c r="C12" s="451"/>
      <c r="D12" s="451"/>
      <c r="E12" s="451"/>
      <c r="F12" s="451"/>
      <c r="G12" s="451"/>
      <c r="H12" s="451"/>
    </row>
    <row r="13" spans="1:9" s="30" customFormat="1" x14ac:dyDescent="0.25">
      <c r="A13" s="49">
        <v>0</v>
      </c>
      <c r="B13" s="76" t="s">
        <v>189</v>
      </c>
      <c r="C13" s="406">
        <f t="shared" ref="C13:H16" si="1">IF($A13&gt;C$1,0,IF($A13=C$1,C$3+C5,B13+C5))</f>
        <v>38792564</v>
      </c>
      <c r="D13" s="406">
        <f t="shared" si="1"/>
        <v>38792564</v>
      </c>
      <c r="E13" s="406">
        <f t="shared" si="1"/>
        <v>38792564</v>
      </c>
      <c r="F13" s="406">
        <f t="shared" si="1"/>
        <v>38792564</v>
      </c>
      <c r="G13" s="406">
        <f t="shared" si="1"/>
        <v>38792564</v>
      </c>
      <c r="H13" s="406">
        <f t="shared" si="1"/>
        <v>38792564</v>
      </c>
    </row>
    <row r="14" spans="1:9" x14ac:dyDescent="0.25">
      <c r="A14" s="49">
        <v>1</v>
      </c>
      <c r="B14" s="76" t="s">
        <v>96</v>
      </c>
      <c r="C14" s="406">
        <f t="shared" si="1"/>
        <v>0</v>
      </c>
      <c r="D14" s="406">
        <f t="shared" si="1"/>
        <v>0</v>
      </c>
      <c r="E14" s="406">
        <f t="shared" si="1"/>
        <v>0</v>
      </c>
      <c r="F14" s="406">
        <f t="shared" si="1"/>
        <v>0</v>
      </c>
      <c r="G14" s="406">
        <f t="shared" si="1"/>
        <v>0</v>
      </c>
      <c r="H14" s="406">
        <f t="shared" si="1"/>
        <v>0</v>
      </c>
    </row>
    <row r="15" spans="1:9" x14ac:dyDescent="0.25">
      <c r="A15" s="49">
        <v>2</v>
      </c>
      <c r="B15" s="76" t="s">
        <v>97</v>
      </c>
      <c r="C15" s="406">
        <f t="shared" si="1"/>
        <v>0</v>
      </c>
      <c r="D15" s="406">
        <f t="shared" si="1"/>
        <v>0</v>
      </c>
      <c r="E15" s="406">
        <f t="shared" si="1"/>
        <v>0</v>
      </c>
      <c r="F15" s="406">
        <f t="shared" si="1"/>
        <v>0</v>
      </c>
      <c r="G15" s="406">
        <f t="shared" si="1"/>
        <v>0</v>
      </c>
      <c r="H15" s="406">
        <f t="shared" si="1"/>
        <v>0</v>
      </c>
    </row>
    <row r="16" spans="1:9" x14ac:dyDescent="0.25">
      <c r="A16" s="49">
        <v>3</v>
      </c>
      <c r="B16" s="76" t="s">
        <v>98</v>
      </c>
      <c r="C16" s="406">
        <f t="shared" si="1"/>
        <v>0</v>
      </c>
      <c r="D16" s="406">
        <f t="shared" si="1"/>
        <v>0</v>
      </c>
      <c r="E16" s="406">
        <f t="shared" si="1"/>
        <v>0</v>
      </c>
      <c r="F16" s="406">
        <f t="shared" si="1"/>
        <v>0</v>
      </c>
      <c r="G16" s="406">
        <f t="shared" si="1"/>
        <v>0</v>
      </c>
      <c r="H16" s="406">
        <f t="shared" si="1"/>
        <v>0</v>
      </c>
    </row>
    <row r="17" spans="1:8" x14ac:dyDescent="0.25">
      <c r="A17" s="49">
        <v>4</v>
      </c>
      <c r="B17" s="76" t="s">
        <v>99</v>
      </c>
      <c r="C17" s="406">
        <f t="shared" ref="C17:H17" si="2">IF($A17&gt;C$1,0,IF($A17=C$1,C$3+C9,B17+C9))</f>
        <v>0</v>
      </c>
      <c r="D17" s="406">
        <f t="shared" si="2"/>
        <v>0</v>
      </c>
      <c r="E17" s="406">
        <f t="shared" si="2"/>
        <v>0</v>
      </c>
      <c r="F17" s="406">
        <f t="shared" si="2"/>
        <v>0</v>
      </c>
      <c r="G17" s="406">
        <f t="shared" si="2"/>
        <v>0</v>
      </c>
      <c r="H17" s="406">
        <f t="shared" si="2"/>
        <v>0</v>
      </c>
    </row>
    <row r="18" spans="1:8" x14ac:dyDescent="0.25">
      <c r="A18" s="49">
        <v>5</v>
      </c>
      <c r="B18" s="76" t="s">
        <v>100</v>
      </c>
      <c r="C18" s="406">
        <f t="shared" ref="C18:H18" si="3">IF($A18&gt;C$1,0,IF($A18=C$1,C$3+C10,B18+C10))</f>
        <v>0</v>
      </c>
      <c r="D18" s="406">
        <f t="shared" si="3"/>
        <v>0</v>
      </c>
      <c r="E18" s="406">
        <f t="shared" si="3"/>
        <v>0</v>
      </c>
      <c r="F18" s="406">
        <f t="shared" si="3"/>
        <v>0</v>
      </c>
      <c r="G18" s="406">
        <f t="shared" si="3"/>
        <v>0</v>
      </c>
      <c r="H18" s="406">
        <f t="shared" si="3"/>
        <v>0</v>
      </c>
    </row>
    <row r="19" spans="1:8" x14ac:dyDescent="0.25">
      <c r="B19" s="49" t="s">
        <v>103</v>
      </c>
      <c r="C19" s="406">
        <f t="shared" ref="C19:H19" si="4">SUM(C13:C18)</f>
        <v>38792564</v>
      </c>
      <c r="D19" s="406">
        <f t="shared" si="4"/>
        <v>38792564</v>
      </c>
      <c r="E19" s="406">
        <f t="shared" si="4"/>
        <v>38792564</v>
      </c>
      <c r="F19" s="406">
        <f t="shared" si="4"/>
        <v>38792564</v>
      </c>
      <c r="G19" s="406">
        <f t="shared" si="4"/>
        <v>38792564</v>
      </c>
      <c r="H19" s="406">
        <f t="shared" si="4"/>
        <v>38792564</v>
      </c>
    </row>
    <row r="20" spans="1:8" s="30" customFormat="1" ht="13.5" customHeight="1" x14ac:dyDescent="0.25">
      <c r="B20" s="28" t="s">
        <v>163</v>
      </c>
      <c r="C20" s="451"/>
      <c r="D20" s="451"/>
      <c r="E20" s="451"/>
      <c r="F20" s="451"/>
      <c r="G20" s="451"/>
      <c r="H20" s="451"/>
    </row>
    <row r="21" spans="1:8" x14ac:dyDescent="0.25">
      <c r="A21" s="49">
        <v>0</v>
      </c>
      <c r="B21" s="76" t="s">
        <v>189</v>
      </c>
      <c r="C21" s="448"/>
      <c r="D21" s="406">
        <f>IF(OR($A21&gt;C$1,Bases!$D$44+$A21-1&lt;C$1),0,C13/Bases!$D$44)</f>
        <v>38792564</v>
      </c>
      <c r="E21" s="406">
        <f>IF(OR($A21&gt;D$1,Bases!$D$44+$A21-1&lt;D$1),0,D13/Bases!$D$44)</f>
        <v>0</v>
      </c>
      <c r="F21" s="406">
        <f>IF(OR($A21&gt;E$1,Bases!$D$44+$A21-1&lt;E$1),0,E13/Bases!$D$44)</f>
        <v>0</v>
      </c>
      <c r="G21" s="406">
        <f>IF(OR($A21&gt;F$1,Bases!$D$44+$A21-1&lt;F$1),0,F13/Bases!$D$44)</f>
        <v>0</v>
      </c>
      <c r="H21" s="406">
        <f>IF(OR($A21&gt;G$1,Bases!$D$44+$A21-1&lt;G$1),0,G13/Bases!$D$44)</f>
        <v>0</v>
      </c>
    </row>
    <row r="22" spans="1:8" x14ac:dyDescent="0.25">
      <c r="A22" s="49">
        <v>1</v>
      </c>
      <c r="B22" s="76" t="s">
        <v>96</v>
      </c>
      <c r="C22" s="406">
        <f>IF(OR($A22&gt;C$1,Bases!$D$44+$A22-1&lt;C$1),0,C14/Bases!$D$44)</f>
        <v>0</v>
      </c>
      <c r="D22" s="406">
        <f>IF(OR($A22&gt;D$1,Bases!$D$44+$A22-1&lt;D$1),0,D14/Bases!$D$44)</f>
        <v>0</v>
      </c>
      <c r="E22" s="406">
        <f>IF(OR($A22&gt;E$1,Bases!$D$44+$A22-1&lt;E$1),0,E14/Bases!$D$44)</f>
        <v>0</v>
      </c>
      <c r="F22" s="406">
        <f>IF(OR($A22&gt;F$1,Bases!$D$44+$A22-1&lt;F$1),0,F14/Bases!$D$44)</f>
        <v>0</v>
      </c>
      <c r="G22" s="406">
        <f>IF(OR($A22&gt;G$1,Bases!$D$44+$A22-1&lt;G$1),0,G14/Bases!$D$44)</f>
        <v>0</v>
      </c>
      <c r="H22" s="406">
        <f>IF(OR($A22&gt;H$1,Bases!$D$44+$A22-1&lt;H$1),0,H14/Bases!$D$44)</f>
        <v>0</v>
      </c>
    </row>
    <row r="23" spans="1:8" x14ac:dyDescent="0.25">
      <c r="A23" s="49">
        <v>2</v>
      </c>
      <c r="B23" s="76" t="s">
        <v>97</v>
      </c>
      <c r="C23" s="406">
        <f>IF(OR($A23&gt;C$1,Bases!$D$44+$A23-1&lt;C$1),0,C15/Bases!$D$44)</f>
        <v>0</v>
      </c>
      <c r="D23" s="406">
        <f>IF(OR($A23&gt;D$1,Bases!$D$44+$A23-1&lt;D$1),0,D15/Bases!$D$44)</f>
        <v>0</v>
      </c>
      <c r="E23" s="406">
        <f>IF(OR($A23&gt;E$1,Bases!$D$44+$A23-1&lt;E$1),0,E15/Bases!$D$44)</f>
        <v>0</v>
      </c>
      <c r="F23" s="406">
        <f>IF(OR($A23&gt;F$1,Bases!$D$44+$A23-1&lt;F$1),0,F15/Bases!$D$44)</f>
        <v>0</v>
      </c>
      <c r="G23" s="406">
        <f>IF(OR($A23&gt;G$1,Bases!$D$44+$A23-1&lt;G$1),0,G15/Bases!$D$44)</f>
        <v>0</v>
      </c>
      <c r="H23" s="406">
        <f>IF(OR($A23&gt;H$1,Bases!$D$44+$A23-1&lt;H$1),0,H15/Bases!$D$44)</f>
        <v>0</v>
      </c>
    </row>
    <row r="24" spans="1:8" x14ac:dyDescent="0.25">
      <c r="A24" s="49">
        <v>3</v>
      </c>
      <c r="B24" s="76" t="s">
        <v>98</v>
      </c>
      <c r="C24" s="406">
        <f>IF(OR($A24&gt;C$1,Bases!$D$44+$A24-1&lt;C$1),0,C16/Bases!$D$44)</f>
        <v>0</v>
      </c>
      <c r="D24" s="406">
        <f>IF(OR($A24&gt;D$1,Bases!$D$44+$A24-1&lt;D$1),0,D16/Bases!$D$44)</f>
        <v>0</v>
      </c>
      <c r="E24" s="406">
        <f>IF(OR($A24&gt;E$1,Bases!$D$44+$A24-1&lt;E$1),0,E16/Bases!$D$44)</f>
        <v>0</v>
      </c>
      <c r="F24" s="406">
        <f>IF(OR($A24&gt;F$1,Bases!$D$44+$A24-1&lt;F$1),0,F16/Bases!$D$44)</f>
        <v>0</v>
      </c>
      <c r="G24" s="406">
        <f>IF(OR($A24&gt;G$1,Bases!$D$44+$A24-1&lt;G$1),0,G16/Bases!$D$44)</f>
        <v>0</v>
      </c>
      <c r="H24" s="406">
        <f>IF(OR($A24&gt;H$1,Bases!$D$44+$A24-1&lt;H$1),0,H16/Bases!$D$44)</f>
        <v>0</v>
      </c>
    </row>
    <row r="25" spans="1:8" x14ac:dyDescent="0.25">
      <c r="A25" s="49">
        <v>4</v>
      </c>
      <c r="B25" s="76" t="s">
        <v>99</v>
      </c>
      <c r="C25" s="406">
        <f>IF(OR($A25&gt;C$1,Bases!$D$44+$A25-1&lt;C$1),0,C17/Bases!$D$44)</f>
        <v>0</v>
      </c>
      <c r="D25" s="406">
        <f>IF(OR($A25&gt;D$1,Bases!$D$44+$A25-1&lt;D$1),0,D17/Bases!$D$44)</f>
        <v>0</v>
      </c>
      <c r="E25" s="406">
        <f>IF(OR($A25&gt;E$1,Bases!$D$44+$A25-1&lt;E$1),0,E17/Bases!$D$44)</f>
        <v>0</v>
      </c>
      <c r="F25" s="406">
        <f>IF(OR($A25&gt;F$1,Bases!$D$44+$A25-1&lt;F$1),0,F17/Bases!$D$44)</f>
        <v>0</v>
      </c>
      <c r="G25" s="406">
        <f>IF(OR($A25&gt;G$1,Bases!$D$44+$A25-1&lt;G$1),0,G17/Bases!$D$44)</f>
        <v>0</v>
      </c>
      <c r="H25" s="406">
        <f>IF(OR($A25&gt;H$1,Bases!$D$44+$A25-1&lt;H$1),0,H17/Bases!$D$44)</f>
        <v>0</v>
      </c>
    </row>
    <row r="26" spans="1:8" x14ac:dyDescent="0.25">
      <c r="A26" s="49">
        <v>5</v>
      </c>
      <c r="B26" s="76" t="s">
        <v>100</v>
      </c>
      <c r="C26" s="406">
        <f>IF(OR($A26&gt;C$1,Bases!$D$44+$A26-1&lt;C$1),0,C18/Bases!$D$44)</f>
        <v>0</v>
      </c>
      <c r="D26" s="406">
        <f>IF(OR($A26&gt;D$1,Bases!$D$44+$A26-1&lt;D$1),0,D18/Bases!$D$44)</f>
        <v>0</v>
      </c>
      <c r="E26" s="406">
        <f>IF(OR($A26&gt;E$1,Bases!$D$44+$A26-1&lt;E$1),0,E18/Bases!$D$44)</f>
        <v>0</v>
      </c>
      <c r="F26" s="406">
        <f>IF(OR($A26&gt;F$1,Bases!$D$44+$A26-1&lt;F$1),0,F18/Bases!$D$44)</f>
        <v>0</v>
      </c>
      <c r="G26" s="406">
        <f>IF(OR($A26&gt;G$1,Bases!$D$44+$A26-1&lt;G$1),0,G18/Bases!$D$44)</f>
        <v>0</v>
      </c>
      <c r="H26" s="406">
        <f>IF(OR($A26&gt;H$1,Bases!$D$44+$A26-1&lt;H$1),0,H18/Bases!$D$44)</f>
        <v>0</v>
      </c>
    </row>
    <row r="27" spans="1:8" x14ac:dyDescent="0.25">
      <c r="B27" s="49" t="s">
        <v>169</v>
      </c>
      <c r="C27" s="406">
        <f t="shared" ref="C27:H27" si="5">SUM(C21:C26)</f>
        <v>0</v>
      </c>
      <c r="D27" s="406">
        <f t="shared" si="5"/>
        <v>38792564</v>
      </c>
      <c r="E27" s="406">
        <f t="shared" si="5"/>
        <v>0</v>
      </c>
      <c r="F27" s="406">
        <f t="shared" si="5"/>
        <v>0</v>
      </c>
      <c r="G27" s="406">
        <f t="shared" si="5"/>
        <v>0</v>
      </c>
      <c r="H27" s="406">
        <f t="shared" si="5"/>
        <v>0</v>
      </c>
    </row>
    <row r="28" spans="1:8" s="30" customFormat="1" ht="13.5" customHeight="1" x14ac:dyDescent="0.25">
      <c r="B28" s="28" t="s">
        <v>165</v>
      </c>
      <c r="C28" s="451"/>
      <c r="D28" s="451"/>
      <c r="E28" s="451"/>
      <c r="F28" s="451"/>
      <c r="G28" s="451"/>
      <c r="H28" s="451"/>
    </row>
    <row r="29" spans="1:8" x14ac:dyDescent="0.25">
      <c r="A29" s="49">
        <v>0</v>
      </c>
      <c r="B29" s="76" t="s">
        <v>189</v>
      </c>
      <c r="C29" s="406">
        <f>IF($A29&gt;=C$1,0,B37*Bases!E$9)</f>
        <v>0</v>
      </c>
      <c r="D29" s="406">
        <f>IF($A29&gt;=D$1,0,C37*Bases!F$9)</f>
        <v>0</v>
      </c>
      <c r="E29" s="406">
        <f>IF($A29&gt;=E$1,0,D37*Bases!G$9)</f>
        <v>0</v>
      </c>
      <c r="F29" s="406">
        <f>IF($A29&gt;=F$1,0,E37*Bases!H$9)</f>
        <v>0</v>
      </c>
      <c r="G29" s="406">
        <f>IF($A29&gt;=G$1,0,F37*Bases!I$9)</f>
        <v>0</v>
      </c>
      <c r="H29" s="406">
        <f>IF($A29&gt;=H$1,0,G37*Bases!J$9)</f>
        <v>0</v>
      </c>
    </row>
    <row r="30" spans="1:8" x14ac:dyDescent="0.25">
      <c r="A30" s="49">
        <v>1</v>
      </c>
      <c r="B30" s="67" t="s">
        <v>96</v>
      </c>
      <c r="C30" s="406">
        <f>IF($A30&gt;=C$1,0,B38*Bases!E$9)</f>
        <v>0</v>
      </c>
      <c r="D30" s="406">
        <f>IF($A30&gt;=D$1,0,C38*Bases!F$9)</f>
        <v>0</v>
      </c>
      <c r="E30" s="406">
        <f>IF($A30&gt;=E$1,0,D38*Bases!G$9)</f>
        <v>0</v>
      </c>
      <c r="F30" s="406">
        <f>IF($A30&gt;=F$1,0,E38*Bases!H$9)</f>
        <v>0</v>
      </c>
      <c r="G30" s="406">
        <f>IF($A30&gt;=G$1,0,F38*Bases!I$9)</f>
        <v>0</v>
      </c>
      <c r="H30" s="406">
        <f>IF($A30&gt;=H$1,0,G38*Bases!J$9)</f>
        <v>0</v>
      </c>
    </row>
    <row r="31" spans="1:8" x14ac:dyDescent="0.25">
      <c r="A31" s="49">
        <v>2</v>
      </c>
      <c r="B31" s="67" t="s">
        <v>97</v>
      </c>
      <c r="C31" s="406">
        <f>IF($A31&gt;=C$1,0,B39*Bases!E$9)</f>
        <v>0</v>
      </c>
      <c r="D31" s="406">
        <f>IF($A31&gt;=D$1,0,C39*Bases!F$9)</f>
        <v>0</v>
      </c>
      <c r="E31" s="406">
        <f>IF($A31&gt;=E$1,0,D39*Bases!G$9)</f>
        <v>0</v>
      </c>
      <c r="F31" s="406">
        <f>IF($A31&gt;=F$1,0,E39*Bases!H$9)</f>
        <v>0</v>
      </c>
      <c r="G31" s="406">
        <f>IF($A31&gt;=G$1,0,F39*Bases!I$9)</f>
        <v>0</v>
      </c>
      <c r="H31" s="406">
        <f>IF($A31&gt;=H$1,0,G39*Bases!J$9)</f>
        <v>0</v>
      </c>
    </row>
    <row r="32" spans="1:8" x14ac:dyDescent="0.25">
      <c r="A32" s="49">
        <v>3</v>
      </c>
      <c r="B32" s="67" t="s">
        <v>98</v>
      </c>
      <c r="C32" s="406">
        <f>IF($A32&gt;=C$1,0,B40*Bases!E$9)</f>
        <v>0</v>
      </c>
      <c r="D32" s="406">
        <f>IF($A32&gt;=D$1,0,C40*Bases!F$9)</f>
        <v>0</v>
      </c>
      <c r="E32" s="406">
        <f>IF($A32&gt;=E$1,0,D40*Bases!G$9)</f>
        <v>0</v>
      </c>
      <c r="F32" s="406">
        <f>IF($A32&gt;=F$1,0,E40*Bases!H$9)</f>
        <v>0</v>
      </c>
      <c r="G32" s="406">
        <f>IF($A32&gt;=G$1,0,F40*Bases!I$9)</f>
        <v>0</v>
      </c>
      <c r="H32" s="406">
        <f>IF($A32&gt;=H$1,0,G40*Bases!J$9)</f>
        <v>0</v>
      </c>
    </row>
    <row r="33" spans="1:9" x14ac:dyDescent="0.25">
      <c r="A33" s="49">
        <v>4</v>
      </c>
      <c r="B33" s="67" t="s">
        <v>99</v>
      </c>
      <c r="C33" s="406">
        <f>IF($A33&gt;=C$1,0,B41*Bases!E$9)</f>
        <v>0</v>
      </c>
      <c r="D33" s="406">
        <f>IF($A33&gt;=D$1,0,C41*Bases!F$9)</f>
        <v>0</v>
      </c>
      <c r="E33" s="406">
        <f>IF($A33&gt;=E$1,0,D41*Bases!G$9)</f>
        <v>0</v>
      </c>
      <c r="F33" s="406">
        <f>IF($A33&gt;=F$1,0,E41*Bases!H$9)</f>
        <v>0</v>
      </c>
      <c r="G33" s="406">
        <f>IF($A33&gt;=G$1,0,F41*Bases!I$9)</f>
        <v>0</v>
      </c>
      <c r="H33" s="406">
        <f>IF($A33&gt;=H$1,0,G41*Bases!J$9)</f>
        <v>0</v>
      </c>
    </row>
    <row r="34" spans="1:9" x14ac:dyDescent="0.25">
      <c r="A34" s="49">
        <v>5</v>
      </c>
      <c r="B34" s="67" t="s">
        <v>100</v>
      </c>
      <c r="C34" s="406">
        <f>IF($A34&gt;=C$1,0,B42*Bases!E$9)</f>
        <v>0</v>
      </c>
      <c r="D34" s="406">
        <f>IF($A34&gt;=D$1,0,C42*Bases!F$9)</f>
        <v>0</v>
      </c>
      <c r="E34" s="406">
        <f>IF($A34&gt;=E$1,0,D42*Bases!G$9)</f>
        <v>0</v>
      </c>
      <c r="F34" s="406">
        <f>IF($A34&gt;=F$1,0,E42*Bases!H$9)</f>
        <v>0</v>
      </c>
      <c r="G34" s="406">
        <f>IF($A34&gt;=G$1,0,F42*Bases!I$9)</f>
        <v>0</v>
      </c>
      <c r="H34" s="406">
        <f>IF($A34&gt;=H$1,0,G42*Bases!J$9)</f>
        <v>0</v>
      </c>
    </row>
    <row r="35" spans="1:9" x14ac:dyDescent="0.25">
      <c r="B35" s="153" t="s">
        <v>168</v>
      </c>
      <c r="C35" s="406">
        <f t="shared" ref="C35:H35" si="6">SUM(C29:C34)</f>
        <v>0</v>
      </c>
      <c r="D35" s="406">
        <f t="shared" si="6"/>
        <v>0</v>
      </c>
      <c r="E35" s="406">
        <f t="shared" si="6"/>
        <v>0</v>
      </c>
      <c r="F35" s="406">
        <f t="shared" si="6"/>
        <v>0</v>
      </c>
      <c r="G35" s="406">
        <f t="shared" si="6"/>
        <v>0</v>
      </c>
      <c r="H35" s="406">
        <f t="shared" si="6"/>
        <v>0</v>
      </c>
    </row>
    <row r="36" spans="1:9" s="30" customFormat="1" ht="13.5" customHeight="1" x14ac:dyDescent="0.25">
      <c r="B36" s="28" t="s">
        <v>166</v>
      </c>
      <c r="C36" s="451"/>
      <c r="D36" s="451"/>
      <c r="E36" s="451"/>
      <c r="F36" s="451"/>
      <c r="G36" s="451"/>
      <c r="H36" s="451"/>
    </row>
    <row r="37" spans="1:9" x14ac:dyDescent="0.25">
      <c r="A37" s="49">
        <v>0</v>
      </c>
      <c r="B37" s="76" t="s">
        <v>189</v>
      </c>
      <c r="C37" s="447">
        <f t="shared" ref="C37:H37" si="7">IF($A37&gt;C$1,0,IF($A37=C$1,D21,B37+D21+C29))</f>
        <v>38792564</v>
      </c>
      <c r="D37" s="447">
        <f t="shared" si="7"/>
        <v>38792564</v>
      </c>
      <c r="E37" s="447">
        <f t="shared" si="7"/>
        <v>38792564</v>
      </c>
      <c r="F37" s="447">
        <f t="shared" si="7"/>
        <v>38792564</v>
      </c>
      <c r="G37" s="447">
        <f t="shared" si="7"/>
        <v>38792564</v>
      </c>
      <c r="H37" s="447">
        <f t="shared" si="7"/>
        <v>38792564</v>
      </c>
      <c r="I37" s="32"/>
    </row>
    <row r="38" spans="1:9" x14ac:dyDescent="0.25">
      <c r="A38" s="49">
        <v>1</v>
      </c>
      <c r="B38" s="76" t="s">
        <v>96</v>
      </c>
      <c r="C38" s="447">
        <f t="shared" ref="C38:H40" si="8">IF($A38&gt;C$1,0,IF($A38=C$1,C22,B38+C22+C30))</f>
        <v>0</v>
      </c>
      <c r="D38" s="447">
        <f t="shared" si="8"/>
        <v>0</v>
      </c>
      <c r="E38" s="447">
        <f t="shared" si="8"/>
        <v>0</v>
      </c>
      <c r="F38" s="447">
        <f t="shared" si="8"/>
        <v>0</v>
      </c>
      <c r="G38" s="447">
        <f t="shared" si="8"/>
        <v>0</v>
      </c>
      <c r="H38" s="447">
        <f t="shared" si="8"/>
        <v>0</v>
      </c>
      <c r="I38" s="32"/>
    </row>
    <row r="39" spans="1:9" x14ac:dyDescent="0.25">
      <c r="A39" s="49">
        <v>2</v>
      </c>
      <c r="B39" s="76" t="s">
        <v>97</v>
      </c>
      <c r="C39" s="447">
        <f t="shared" si="8"/>
        <v>0</v>
      </c>
      <c r="D39" s="447">
        <f t="shared" si="8"/>
        <v>0</v>
      </c>
      <c r="E39" s="447">
        <f t="shared" si="8"/>
        <v>0</v>
      </c>
      <c r="F39" s="447">
        <f t="shared" si="8"/>
        <v>0</v>
      </c>
      <c r="G39" s="447">
        <f t="shared" si="8"/>
        <v>0</v>
      </c>
      <c r="H39" s="447">
        <f t="shared" si="8"/>
        <v>0</v>
      </c>
    </row>
    <row r="40" spans="1:9" x14ac:dyDescent="0.25">
      <c r="A40" s="49">
        <v>3</v>
      </c>
      <c r="B40" s="76" t="s">
        <v>98</v>
      </c>
      <c r="C40" s="447">
        <f t="shared" si="8"/>
        <v>0</v>
      </c>
      <c r="D40" s="447">
        <f t="shared" si="8"/>
        <v>0</v>
      </c>
      <c r="E40" s="447">
        <f t="shared" si="8"/>
        <v>0</v>
      </c>
      <c r="F40" s="447">
        <f t="shared" si="8"/>
        <v>0</v>
      </c>
      <c r="G40" s="447">
        <f t="shared" si="8"/>
        <v>0</v>
      </c>
      <c r="H40" s="447">
        <f t="shared" si="8"/>
        <v>0</v>
      </c>
    </row>
    <row r="41" spans="1:9" x14ac:dyDescent="0.25">
      <c r="A41" s="49">
        <v>4</v>
      </c>
      <c r="B41" s="76" t="s">
        <v>99</v>
      </c>
      <c r="C41" s="447">
        <f t="shared" ref="C41:H41" si="9">IF($A41&gt;C$1,0,IF($A41=C$1,C25,B41+C25+C33))</f>
        <v>0</v>
      </c>
      <c r="D41" s="447">
        <f t="shared" si="9"/>
        <v>0</v>
      </c>
      <c r="E41" s="447">
        <f t="shared" si="9"/>
        <v>0</v>
      </c>
      <c r="F41" s="447">
        <f t="shared" si="9"/>
        <v>0</v>
      </c>
      <c r="G41" s="447">
        <f t="shared" si="9"/>
        <v>0</v>
      </c>
      <c r="H41" s="447">
        <f t="shared" si="9"/>
        <v>0</v>
      </c>
    </row>
    <row r="42" spans="1:9" x14ac:dyDescent="0.25">
      <c r="A42" s="49">
        <v>5</v>
      </c>
      <c r="B42" s="76" t="s">
        <v>100</v>
      </c>
      <c r="C42" s="447">
        <f t="shared" ref="C42:H42" si="10">IF($A42&gt;C$1,0,IF($A42=C$1,C26,B42+C26+C34))</f>
        <v>0</v>
      </c>
      <c r="D42" s="447">
        <f t="shared" si="10"/>
        <v>0</v>
      </c>
      <c r="E42" s="447">
        <f t="shared" si="10"/>
        <v>0</v>
      </c>
      <c r="F42" s="447">
        <f t="shared" si="10"/>
        <v>0</v>
      </c>
      <c r="G42" s="447">
        <f t="shared" si="10"/>
        <v>0</v>
      </c>
      <c r="H42" s="447">
        <f t="shared" si="10"/>
        <v>0</v>
      </c>
    </row>
    <row r="43" spans="1:9" x14ac:dyDescent="0.25">
      <c r="B43" s="49" t="s">
        <v>167</v>
      </c>
      <c r="C43" s="406">
        <f t="shared" ref="C43:H43" si="11">SUM(C37:C42)</f>
        <v>38792564</v>
      </c>
      <c r="D43" s="406">
        <f t="shared" si="11"/>
        <v>38792564</v>
      </c>
      <c r="E43" s="406">
        <f t="shared" si="11"/>
        <v>38792564</v>
      </c>
      <c r="F43" s="406">
        <f t="shared" si="11"/>
        <v>38792564</v>
      </c>
      <c r="G43" s="406">
        <f t="shared" si="11"/>
        <v>38792564</v>
      </c>
      <c r="H43" s="406">
        <f t="shared" si="11"/>
        <v>38792564</v>
      </c>
    </row>
    <row r="44" spans="1:9" x14ac:dyDescent="0.25"/>
  </sheetData>
  <sheetProtection password="CA1B" sheet="1"/>
  <phoneticPr fontId="0" type="noConversion"/>
  <hyperlinks>
    <hyperlink ref="I2" location="Inicio!A1" display="Inicio" xr:uid="{00000000-0004-0000-1B00-000000000000}"/>
  </hyperlinks>
  <printOptions horizontalCentered="1" verticalCentered="1" gridLines="1"/>
  <pageMargins left="0.19685039370078741" right="0.19685039370078741" top="0.98425196850393704" bottom="0.39370078740157483" header="0.59055118110236227" footer="0.51181102362204722"/>
  <pageSetup scale="85" orientation="landscape" horizontalDpi="300" verticalDpi="0"/>
  <headerFooter alignWithMargins="0">
    <oddHeader>&amp;C&amp;"Arial,Negrita"&amp;14&amp;A</oddHeader>
    <oddFooter>&amp;L&amp;"Arial,Negrita"&amp;8&amp;F&amp;C&amp;"Arial,Negrita"&amp;8Página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29</vt:i4>
      </vt:variant>
      <vt:variant>
        <vt:lpstr>Rangos con nombre</vt:lpstr>
      </vt:variant>
      <vt:variant>
        <vt:i4>24</vt:i4>
      </vt:variant>
    </vt:vector>
  </HeadingPairs>
  <TitlesOfParts>
    <vt:vector size="53" baseType="lpstr">
      <vt:lpstr>Inicio</vt:lpstr>
      <vt:lpstr>Manual de Instrucciones</vt:lpstr>
      <vt:lpstr>Bases</vt:lpstr>
      <vt:lpstr>Precios Ventas</vt:lpstr>
      <vt:lpstr>Costo de Mercancías</vt:lpstr>
      <vt:lpstr>Proceso Comercial</vt:lpstr>
      <vt:lpstr>Gastos Generales Admon y Ventas</vt:lpstr>
      <vt:lpstr> Inversiones Fijas y Diferidas</vt:lpstr>
      <vt:lpstr>Capital de Trabajo</vt:lpstr>
      <vt:lpstr>Estructura de Capital</vt:lpstr>
      <vt:lpstr>Plan Inversión y Financiación</vt:lpstr>
      <vt:lpstr>Márgenes por Productos</vt:lpstr>
      <vt:lpstr>P&amp;G</vt:lpstr>
      <vt:lpstr>Balance</vt:lpstr>
      <vt:lpstr>Flujo de Caja</vt:lpstr>
      <vt:lpstr>Producción</vt:lpstr>
      <vt:lpstr>Salidas</vt:lpstr>
      <vt:lpstr>Punto de equilibrio</vt:lpstr>
      <vt:lpstr>Deuda $</vt:lpstr>
      <vt:lpstr>Terrenos</vt:lpstr>
      <vt:lpstr>Construcciones</vt:lpstr>
      <vt:lpstr>Adecuaciones y Mejoras</vt:lpstr>
      <vt:lpstr>Maquinaria</vt:lpstr>
      <vt:lpstr>Muebles</vt:lpstr>
      <vt:lpstr>Transporte</vt:lpstr>
      <vt:lpstr>Oficina</vt:lpstr>
      <vt:lpstr>Semovientes</vt:lpstr>
      <vt:lpstr>Permanentes</vt:lpstr>
      <vt:lpstr>Diferidos</vt:lpstr>
      <vt:lpstr>' Inversiones Fijas y Diferidas'!Área_de_impresión</vt:lpstr>
      <vt:lpstr>'Adecuaciones y Mejoras'!Área_de_impresión</vt:lpstr>
      <vt:lpstr>Balance!Área_de_impresión</vt:lpstr>
      <vt:lpstr>Bases!Área_de_impresión</vt:lpstr>
      <vt:lpstr>'Capital de Trabajo'!Área_de_impresión</vt:lpstr>
      <vt:lpstr>'Costo de Mercancías'!Área_de_impresión</vt:lpstr>
      <vt:lpstr>'Estructura de Capital'!Área_de_impresión</vt:lpstr>
      <vt:lpstr>'Flujo de Caja'!Área_de_impresión</vt:lpstr>
      <vt:lpstr>'Gastos Generales Admon y Ventas'!Área_de_impresión</vt:lpstr>
      <vt:lpstr>'Manual de Instrucciones'!Área_de_impresión</vt:lpstr>
      <vt:lpstr>'Márgenes por Productos'!Área_de_impresión</vt:lpstr>
      <vt:lpstr>'P&amp;G'!Área_de_impresión</vt:lpstr>
      <vt:lpstr>'Plan Inversión y Financiación'!Área_de_impresión</vt:lpstr>
      <vt:lpstr>'Precios Ventas'!Área_de_impresión</vt:lpstr>
      <vt:lpstr>'Proceso Comercial'!Área_de_impresión</vt:lpstr>
      <vt:lpstr>Producción!Área_de_impresión</vt:lpstr>
      <vt:lpstr>Salidas!Área_de_impresión</vt:lpstr>
      <vt:lpstr>Inflacion1</vt:lpstr>
      <vt:lpstr>Inflacion2</vt:lpstr>
      <vt:lpstr>Inflacion3</vt:lpstr>
      <vt:lpstr>Inflacion4</vt:lpstr>
      <vt:lpstr>' Inversiones Fijas y Diferidas'!Títulos_a_imprimir</vt:lpstr>
      <vt:lpstr>'Estructura de Capital'!Títulos_a_imprimir</vt:lpstr>
      <vt:lpstr>'Márgenes por Productos'!Títulos_a_imprimir</vt:lpstr>
    </vt:vector>
  </TitlesOfParts>
  <Company>Desarrollo Gerencial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Modelo Financiero ACME Final</dc:title>
  <dc:subject>Modelaje Financiero</dc:subject>
  <dc:creator>William Martínez</dc:creator>
  <dc:description>Mayo 2004_x000d_
wmartinez@valora-ce.com</dc:description>
  <cp:lastModifiedBy>David Alejandro Cedeño Cardenas</cp:lastModifiedBy>
  <cp:lastPrinted>2017-04-19T16:49:40Z</cp:lastPrinted>
  <dcterms:created xsi:type="dcterms:W3CDTF">1996-01-01T07:13:34Z</dcterms:created>
  <dcterms:modified xsi:type="dcterms:W3CDTF">2025-04-22T17:11:21Z</dcterms:modified>
</cp:coreProperties>
</file>