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0490" windowHeight="7155" tabRatio="703" activeTab="4"/>
  </bookViews>
  <sheets>
    <sheet name="Menú" sheetId="7" r:id="rId1"/>
    <sheet name="1" sheetId="1" r:id="rId2"/>
    <sheet name="2" sheetId="4" r:id="rId3"/>
    <sheet name="3" sheetId="3" r:id="rId4"/>
    <sheet name="4" sheetId="5" r:id="rId5"/>
    <sheet name="5" sheetId="6" r:id="rId6"/>
    <sheet name="Hoja1" sheetId="8" r:id="rId7"/>
  </sheets>
  <definedNames>
    <definedName name="_xlnm.Print_Area" localSheetId="0">Menú!$B$2:$J$24</definedName>
  </definedNames>
  <calcPr calcId="152511"/>
</workbook>
</file>

<file path=xl/calcChain.xml><?xml version="1.0" encoding="utf-8"?>
<calcChain xmlns="http://schemas.openxmlformats.org/spreadsheetml/2006/main">
  <c r="F26" i="4" l="1"/>
  <c r="C11" i="4" l="1"/>
  <c r="J15" i="6" l="1"/>
  <c r="J16" i="6"/>
  <c r="J17" i="6"/>
  <c r="J18" i="6"/>
  <c r="J19" i="6"/>
  <c r="J20" i="6"/>
  <c r="J21" i="6"/>
  <c r="J22" i="6"/>
  <c r="J23" i="6"/>
  <c r="J14" i="6"/>
  <c r="H15" i="6"/>
  <c r="H16" i="6"/>
  <c r="H17" i="6"/>
  <c r="H18" i="6"/>
  <c r="H19" i="6"/>
  <c r="H20" i="6"/>
  <c r="H21" i="6"/>
  <c r="H22" i="6"/>
  <c r="H23" i="6"/>
  <c r="H14" i="6"/>
  <c r="D32" i="6"/>
  <c r="G15" i="6"/>
  <c r="G16" i="6" s="1"/>
  <c r="G17" i="6" s="1"/>
  <c r="G18" i="6" s="1"/>
  <c r="G19" i="6" s="1"/>
  <c r="G20" i="6" s="1"/>
  <c r="G21" i="6" s="1"/>
  <c r="G22" i="6" s="1"/>
  <c r="G23" i="6" s="1"/>
  <c r="G24" i="6" s="1"/>
  <c r="C15" i="6"/>
  <c r="C16" i="6"/>
  <c r="C17" i="6"/>
  <c r="C18" i="6"/>
  <c r="C19" i="6"/>
  <c r="C20" i="6"/>
  <c r="C21" i="6"/>
  <c r="C22" i="6"/>
  <c r="C23" i="6"/>
  <c r="C14" i="6"/>
  <c r="B15" i="6"/>
  <c r="B16" i="6"/>
  <c r="B17" i="6"/>
  <c r="B18" i="6"/>
  <c r="B19" i="6"/>
  <c r="B20" i="6"/>
  <c r="B21" i="6"/>
  <c r="B22" i="6"/>
  <c r="B23" i="6"/>
  <c r="B14" i="6"/>
  <c r="B13" i="6"/>
  <c r="C23" i="4" l="1"/>
  <c r="B49" i="5"/>
  <c r="B45" i="5"/>
  <c r="B23" i="5"/>
  <c r="C23" i="5" s="1"/>
  <c r="G6" i="4"/>
  <c r="G7" i="4"/>
  <c r="G8" i="4"/>
  <c r="G9" i="4"/>
  <c r="G10" i="4"/>
  <c r="G11" i="4"/>
  <c r="G5" i="4"/>
  <c r="B34" i="5"/>
  <c r="C34" i="5" s="1"/>
  <c r="B30" i="5"/>
  <c r="G12" i="4" l="1"/>
  <c r="C12" i="5" s="1"/>
  <c r="D23" i="5"/>
  <c r="B36" i="5"/>
  <c r="D34" i="5"/>
  <c r="E23" i="5" l="1"/>
  <c r="E34" i="5"/>
  <c r="F23" i="5" l="1"/>
  <c r="F34" i="5"/>
  <c r="G23" i="5" l="1"/>
  <c r="G34" i="5"/>
  <c r="C11" i="5" l="1"/>
  <c r="D11" i="5" s="1"/>
  <c r="E11" i="5" s="1"/>
  <c r="F11" i="5" s="1"/>
  <c r="G11" i="5" s="1"/>
  <c r="D10" i="3"/>
  <c r="D9" i="3"/>
  <c r="F17" i="4"/>
  <c r="F31" i="4"/>
  <c r="C12" i="4"/>
  <c r="C10" i="5" l="1"/>
  <c r="D10" i="5" s="1"/>
  <c r="E10" i="5" s="1"/>
  <c r="F10" i="5" s="1"/>
  <c r="G10" i="5" s="1"/>
  <c r="D11" i="3"/>
  <c r="C32" i="6"/>
  <c r="C4" i="3"/>
  <c r="B24" i="5"/>
  <c r="C25" i="5"/>
  <c r="C49" i="5" s="1"/>
  <c r="D12" i="5"/>
  <c r="C9" i="5"/>
  <c r="D9" i="5" s="1"/>
  <c r="E9" i="5" s="1"/>
  <c r="F9" i="5" s="1"/>
  <c r="G9" i="5" s="1"/>
  <c r="R16" i="1"/>
  <c r="S16" i="1"/>
  <c r="V16" i="1"/>
  <c r="W16" i="1"/>
  <c r="G2" i="1"/>
  <c r="H2" i="1" s="1"/>
  <c r="M2" i="1" s="1"/>
  <c r="M16" i="1" s="1"/>
  <c r="B31" i="1"/>
  <c r="C5" i="5" s="1"/>
  <c r="C20" i="5" s="1"/>
  <c r="D6" i="6" s="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33" i="6" l="1"/>
  <c r="C34" i="6" s="1"/>
  <c r="F32" i="6"/>
  <c r="C43" i="5"/>
  <c r="W12" i="1"/>
  <c r="W11" i="1"/>
  <c r="W10" i="1"/>
  <c r="W7" i="1"/>
  <c r="W6" i="1"/>
  <c r="W5" i="1"/>
  <c r="W3" i="1"/>
  <c r="B26" i="5"/>
  <c r="B48" i="5" s="1"/>
  <c r="B50" i="5" s="1"/>
  <c r="C24" i="5"/>
  <c r="E12" i="5"/>
  <c r="D25" i="5"/>
  <c r="D49" i="5" s="1"/>
  <c r="C31" i="1"/>
  <c r="D5" i="5" s="1"/>
  <c r="D20" i="5" s="1"/>
  <c r="E6" i="6" s="1"/>
  <c r="F9" i="3"/>
  <c r="L2" i="1"/>
  <c r="L16" i="1" s="1"/>
  <c r="S25" i="1"/>
  <c r="S21" i="1"/>
  <c r="W21" i="1" s="1"/>
  <c r="V21" i="1"/>
  <c r="S19" i="1"/>
  <c r="N2" i="1"/>
  <c r="V12" i="1"/>
  <c r="V10" i="1"/>
  <c r="V6" i="1"/>
  <c r="V3" i="1"/>
  <c r="V11" i="1"/>
  <c r="V7" i="1"/>
  <c r="V5" i="1"/>
  <c r="I2" i="1"/>
  <c r="J2" i="1" s="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A21" i="1" l="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D43" i="5"/>
  <c r="B32" i="1"/>
  <c r="W23" i="1"/>
  <c r="W22" i="1"/>
  <c r="U26" i="1"/>
  <c r="N26" i="1"/>
  <c r="U25" i="1"/>
  <c r="N25" i="1"/>
  <c r="U9" i="1"/>
  <c r="N9" i="1"/>
  <c r="U8" i="1"/>
  <c r="N8" i="1"/>
  <c r="U20" i="1"/>
  <c r="N20" i="1"/>
  <c r="U19" i="1"/>
  <c r="N19" i="1"/>
  <c r="U4" i="1"/>
  <c r="N4" i="1"/>
  <c r="W17" i="1"/>
  <c r="D24" i="5"/>
  <c r="C26" i="5"/>
  <c r="C48" i="5" s="1"/>
  <c r="C50" i="5" s="1"/>
  <c r="F12" i="5"/>
  <c r="E25" i="5"/>
  <c r="E49" i="5" s="1"/>
  <c r="O2" i="1"/>
  <c r="O16" i="1" s="1"/>
  <c r="N16" i="1"/>
  <c r="D31" i="1"/>
  <c r="E5" i="5" s="1"/>
  <c r="E20" i="5" s="1"/>
  <c r="F6" i="6" s="1"/>
  <c r="F10" i="3"/>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8" i="3" l="1"/>
  <c r="D12" i="3" s="1"/>
  <c r="D14" i="3" s="1"/>
  <c r="C7" i="6" s="1"/>
  <c r="C6" i="5"/>
  <c r="D6" i="5"/>
  <c r="E26" i="6"/>
  <c r="E27" i="6" s="1"/>
  <c r="C7" i="5"/>
  <c r="C8" i="5" s="1"/>
  <c r="U13" i="1"/>
  <c r="D32" i="1" s="1"/>
  <c r="F27" i="1"/>
  <c r="E43" i="5"/>
  <c r="F13" i="1"/>
  <c r="B34" i="1"/>
  <c r="O26" i="1"/>
  <c r="W26" i="1" s="1"/>
  <c r="V26" i="1"/>
  <c r="O25" i="1"/>
  <c r="W25" i="1" s="1"/>
  <c r="V25" i="1"/>
  <c r="O9" i="1"/>
  <c r="W9" i="1" s="1"/>
  <c r="V9" i="1"/>
  <c r="O8" i="1"/>
  <c r="W8" i="1" s="1"/>
  <c r="V8" i="1"/>
  <c r="O20" i="1"/>
  <c r="W20" i="1" s="1"/>
  <c r="V20" i="1"/>
  <c r="O19" i="1"/>
  <c r="W19" i="1" s="1"/>
  <c r="V19" i="1"/>
  <c r="O4" i="1"/>
  <c r="W4" i="1" s="1"/>
  <c r="V4" i="1"/>
  <c r="E24" i="5"/>
  <c r="D26" i="5"/>
  <c r="D48" i="5" s="1"/>
  <c r="D50" i="5" s="1"/>
  <c r="G12" i="5"/>
  <c r="F25" i="5"/>
  <c r="F49" i="5" s="1"/>
  <c r="F11" i="3"/>
  <c r="E31" i="1"/>
  <c r="F5" i="5" s="1"/>
  <c r="F20" i="5" s="1"/>
  <c r="G6" i="6" s="1"/>
  <c r="U27" i="1"/>
  <c r="D33" i="1" s="1"/>
  <c r="T27" i="1"/>
  <c r="C33" i="1" s="1"/>
  <c r="D16" i="3" l="1"/>
  <c r="J8" i="3" s="1"/>
  <c r="E6" i="5"/>
  <c r="C13" i="5"/>
  <c r="C55" i="5" s="1"/>
  <c r="C56" i="5" s="1"/>
  <c r="C57" i="5" s="1"/>
  <c r="F22" i="6"/>
  <c r="F23" i="6"/>
  <c r="F18" i="6"/>
  <c r="F19" i="6"/>
  <c r="F15" i="6"/>
  <c r="F17" i="6"/>
  <c r="F14" i="6"/>
  <c r="F16" i="6"/>
  <c r="F20" i="6"/>
  <c r="F21" i="6"/>
  <c r="V13" i="1"/>
  <c r="E32" i="1" s="1"/>
  <c r="I9" i="3"/>
  <c r="F43" i="5"/>
  <c r="G9" i="3"/>
  <c r="G10" i="3" s="1"/>
  <c r="G11" i="3" s="1"/>
  <c r="G12" i="3" s="1"/>
  <c r="G13" i="3" s="1"/>
  <c r="V27" i="1"/>
  <c r="E33" i="1" s="1"/>
  <c r="W27" i="1"/>
  <c r="F33" i="1" s="1"/>
  <c r="W13" i="1"/>
  <c r="F32" i="1" s="1"/>
  <c r="F24" i="5"/>
  <c r="E26" i="5"/>
  <c r="E48" i="5" s="1"/>
  <c r="E50" i="5" s="1"/>
  <c r="G25" i="5"/>
  <c r="G49" i="5" s="1"/>
  <c r="C34" i="1"/>
  <c r="D7" i="5"/>
  <c r="D8" i="5" s="1"/>
  <c r="D34" i="1"/>
  <c r="E7" i="5"/>
  <c r="E8" i="5" s="1"/>
  <c r="F31" i="1"/>
  <c r="F12" i="3"/>
  <c r="B31" i="5" l="1"/>
  <c r="B32" i="5" s="1"/>
  <c r="B38" i="5" s="1"/>
  <c r="B22" i="5" s="1"/>
  <c r="B44" i="5" s="1"/>
  <c r="B46" i="5" s="1"/>
  <c r="B52" i="5" s="1"/>
  <c r="F6" i="5"/>
  <c r="G6" i="5"/>
  <c r="G7" i="5"/>
  <c r="C14" i="5"/>
  <c r="C15" i="5" s="1"/>
  <c r="C16" i="5" s="1"/>
  <c r="D13" i="5"/>
  <c r="D55" i="5" s="1"/>
  <c r="D56" i="5" s="1"/>
  <c r="D57" i="5" s="1"/>
  <c r="E13" i="5"/>
  <c r="E55" i="5" s="1"/>
  <c r="E56" i="5" s="1"/>
  <c r="E57" i="5" s="1"/>
  <c r="E33" i="6"/>
  <c r="F33" i="6" s="1"/>
  <c r="D33" i="6"/>
  <c r="F24" i="6"/>
  <c r="B33" i="6" s="1"/>
  <c r="B34" i="6" s="1"/>
  <c r="E34" i="1"/>
  <c r="F7" i="5"/>
  <c r="F8" i="5" s="1"/>
  <c r="H9" i="3"/>
  <c r="J9" i="3" s="1"/>
  <c r="G8" i="5"/>
  <c r="F34" i="1"/>
  <c r="G24" i="5"/>
  <c r="G26" i="5" s="1"/>
  <c r="G48" i="5" s="1"/>
  <c r="G50" i="5" s="1"/>
  <c r="F26" i="5"/>
  <c r="F48" i="5" s="1"/>
  <c r="F50" i="5" s="1"/>
  <c r="F13" i="3"/>
  <c r="G5" i="5"/>
  <c r="G20" i="5" s="1"/>
  <c r="H6" i="6" s="1"/>
  <c r="B27" i="5" l="1"/>
  <c r="B39" i="5" s="1"/>
  <c r="I10" i="3"/>
  <c r="G13" i="5"/>
  <c r="G55" i="5" s="1"/>
  <c r="G56" i="5" s="1"/>
  <c r="G57" i="5" s="1"/>
  <c r="F13" i="5"/>
  <c r="F55" i="5" s="1"/>
  <c r="F56" i="5" s="1"/>
  <c r="F57" i="5" s="1"/>
  <c r="I15" i="6"/>
  <c r="I16" i="6"/>
  <c r="I21" i="6"/>
  <c r="I19" i="6"/>
  <c r="I20" i="6"/>
  <c r="I22" i="6"/>
  <c r="I23" i="6"/>
  <c r="I14" i="6"/>
  <c r="I18" i="6"/>
  <c r="I17" i="6"/>
  <c r="G43" i="5"/>
  <c r="C31" i="5"/>
  <c r="C17" i="5"/>
  <c r="C35" i="5" s="1"/>
  <c r="C36" i="5" s="1"/>
  <c r="C29" i="5"/>
  <c r="D14" i="5" l="1"/>
  <c r="D15" i="5" s="1"/>
  <c r="D16" i="5" s="1"/>
  <c r="D29" i="5" s="1"/>
  <c r="H10" i="3"/>
  <c r="J10" i="3" s="1"/>
  <c r="E34" i="6"/>
  <c r="F34" i="6" s="1"/>
  <c r="D34" i="6"/>
  <c r="C30" i="5"/>
  <c r="C32" i="5" s="1"/>
  <c r="C38" i="5" s="1"/>
  <c r="C45" i="5"/>
  <c r="I11" i="3" l="1"/>
  <c r="D17" i="5"/>
  <c r="D35" i="5" s="1"/>
  <c r="D36" i="5" s="1"/>
  <c r="D31" i="5"/>
  <c r="D30" i="5"/>
  <c r="D45" i="5"/>
  <c r="C22" i="5"/>
  <c r="E14" i="5"/>
  <c r="E15" i="5" s="1"/>
  <c r="E16" i="5" s="1"/>
  <c r="E29" i="5" s="1"/>
  <c r="H11" i="3"/>
  <c r="J11" i="3" s="1"/>
  <c r="D32" i="5" l="1"/>
  <c r="D38" i="5" s="1"/>
  <c r="D22" i="5" s="1"/>
  <c r="C27" i="5"/>
  <c r="C39" i="5" s="1"/>
  <c r="C44" i="5"/>
  <c r="C46" i="5" s="1"/>
  <c r="C52" i="5" s="1"/>
  <c r="C58" i="5" s="1"/>
  <c r="E30" i="5"/>
  <c r="E45" i="5"/>
  <c r="E17" i="5"/>
  <c r="E35" i="5" s="1"/>
  <c r="E36" i="5" s="1"/>
  <c r="I12" i="3"/>
  <c r="E31" i="5"/>
  <c r="C59" i="5" l="1"/>
  <c r="D7" i="6" s="1"/>
  <c r="E32" i="5"/>
  <c r="E38" i="5" s="1"/>
  <c r="D27" i="5"/>
  <c r="D39" i="5" s="1"/>
  <c r="D44" i="5"/>
  <c r="D46" i="5" s="1"/>
  <c r="D52" i="5" s="1"/>
  <c r="D58" i="5" s="1"/>
  <c r="D59" i="5" s="1"/>
  <c r="E7" i="6" s="1"/>
  <c r="F14" i="5"/>
  <c r="F15" i="5" s="1"/>
  <c r="H12" i="3"/>
  <c r="J12" i="3" s="1"/>
  <c r="E22" i="5" l="1"/>
  <c r="I13" i="3"/>
  <c r="F31" i="5"/>
  <c r="F16" i="5"/>
  <c r="F29" i="5" s="1"/>
  <c r="E27" i="5" l="1"/>
  <c r="E39" i="5" s="1"/>
  <c r="E44" i="5"/>
  <c r="E46" i="5" s="1"/>
  <c r="E52" i="5" s="1"/>
  <c r="E58" i="5" s="1"/>
  <c r="F30" i="5"/>
  <c r="F32" i="5" s="1"/>
  <c r="F45" i="5"/>
  <c r="F17" i="5"/>
  <c r="F35" i="5" s="1"/>
  <c r="F36" i="5" s="1"/>
  <c r="H13" i="3"/>
  <c r="J13" i="3" s="1"/>
  <c r="G14" i="5"/>
  <c r="G15" i="5" s="1"/>
  <c r="G31" i="5" l="1"/>
  <c r="E59" i="5"/>
  <c r="F7" i="6" s="1"/>
  <c r="F38" i="5"/>
  <c r="F22" i="5" s="1"/>
  <c r="G16" i="5"/>
  <c r="G29" i="5" s="1"/>
  <c r="F27" i="5" l="1"/>
  <c r="F39" i="5" s="1"/>
  <c r="F44" i="5"/>
  <c r="F46" i="5" s="1"/>
  <c r="F52" i="5" s="1"/>
  <c r="F58" i="5" s="1"/>
  <c r="G30" i="5"/>
  <c r="G32" i="5" s="1"/>
  <c r="G45" i="5"/>
  <c r="G17" i="5"/>
  <c r="G35" i="5" s="1"/>
  <c r="G36" i="5" s="1"/>
  <c r="F59" i="5" l="1"/>
  <c r="G7" i="6" s="1"/>
  <c r="G38" i="5"/>
  <c r="G22" i="5" s="1"/>
  <c r="G27" i="5" l="1"/>
  <c r="G39" i="5" s="1"/>
  <c r="G44" i="5"/>
  <c r="G46" i="5" s="1"/>
  <c r="G52" i="5" s="1"/>
  <c r="G58" i="5" s="1"/>
  <c r="G59" i="5" l="1"/>
  <c r="H7" i="6" s="1"/>
  <c r="D10" i="6" s="1"/>
  <c r="D9" i="6" l="1"/>
</calcChain>
</file>

<file path=xl/comments1.xml><?xml version="1.0" encoding="utf-8"?>
<comments xmlns="http://schemas.openxmlformats.org/spreadsheetml/2006/main">
  <authors>
    <author>DARIO MAURICIO REYES GIRALDO</author>
  </authors>
  <commentList>
    <comment ref="Z1" author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C4" author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4" authorId="0">
      <text>
        <r>
          <rPr>
            <b/>
            <sz val="9"/>
            <color indexed="81"/>
            <rFont val="Tahoma"/>
            <family val="2"/>
          </rPr>
          <t>DARIO MAURICIO REYES GIRALDO:</t>
        </r>
        <r>
          <rPr>
            <sz val="9"/>
            <color indexed="81"/>
            <rFont val="Tahoma"/>
            <family val="2"/>
          </rPr>
          <t xml:space="preserve">
Digita el precio UNITARIO, sin IVA, de cada pdto/servicio.</t>
        </r>
      </text>
    </comment>
    <comment ref="G4" author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C5" author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5" authorId="0">
      <text>
        <r>
          <rPr>
            <b/>
            <sz val="9"/>
            <color indexed="81"/>
            <rFont val="Tahoma"/>
            <family val="2"/>
          </rPr>
          <t>DARIO MAURICIO REYES GIRALDO:</t>
        </r>
        <r>
          <rPr>
            <sz val="9"/>
            <color indexed="81"/>
            <rFont val="Tahoma"/>
            <family val="2"/>
          </rPr>
          <t xml:space="preserve">
Digita el precio UNITARIO, sin IVA, de cada pdto/servicio.</t>
        </r>
      </text>
    </comment>
    <comment ref="G5" author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text>
        <r>
          <rPr>
            <b/>
            <sz val="9"/>
            <color indexed="81"/>
            <rFont val="Tahoma"/>
            <family val="2"/>
          </rPr>
          <t>DARIO MAURICIO REYES GIRALDO:</t>
        </r>
        <r>
          <rPr>
            <sz val="9"/>
            <color indexed="81"/>
            <rFont val="Tahoma"/>
            <family val="2"/>
          </rPr>
          <t xml:space="preserve">
incluya la tasa de impuesto de Renta vigente.</t>
        </r>
      </text>
    </comment>
    <comment ref="D17" author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text>
        <r>
          <rPr>
            <b/>
            <sz val="9"/>
            <color indexed="81"/>
            <rFont val="Tahoma"/>
            <family val="2"/>
          </rPr>
          <t>DARIO MAURICIO REYES GIRALDO:</t>
        </r>
        <r>
          <rPr>
            <sz val="9"/>
            <color indexed="81"/>
            <rFont val="Tahoma"/>
            <family val="2"/>
          </rPr>
          <t xml:space="preserve">
Todos los valores deben se anuales.</t>
        </r>
      </text>
    </comment>
    <comment ref="C18" author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text>
        <r>
          <rPr>
            <b/>
            <sz val="9"/>
            <color indexed="81"/>
            <rFont val="Tahoma"/>
            <family val="2"/>
          </rPr>
          <t>DARIO MAURICIO REYES GIRALDO:</t>
        </r>
        <r>
          <rPr>
            <sz val="9"/>
            <color indexed="81"/>
            <rFont val="Tahoma"/>
            <family val="2"/>
          </rPr>
          <t xml:space="preserve">
Todos los valores deben se anuales.</t>
        </r>
      </text>
    </comment>
    <comment ref="C20" author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text>
        <r>
          <rPr>
            <b/>
            <sz val="9"/>
            <color indexed="81"/>
            <rFont val="Tahoma"/>
            <family val="2"/>
          </rPr>
          <t>DARIO MAURICIO REYES GIRALDO:</t>
        </r>
        <r>
          <rPr>
            <sz val="9"/>
            <color indexed="81"/>
            <rFont val="Tahoma"/>
            <family val="2"/>
          </rPr>
          <t xml:space="preserve">
Digite el nombre de los rubros adicionales.</t>
        </r>
      </text>
    </comment>
    <comment ref="E26" authorId="0">
      <text>
        <r>
          <rPr>
            <b/>
            <sz val="9"/>
            <color indexed="81"/>
            <rFont val="Tahoma"/>
            <family val="2"/>
          </rPr>
          <t>DARIO MAURICIO REYES GIRALDO:</t>
        </r>
        <r>
          <rPr>
            <sz val="9"/>
            <color indexed="81"/>
            <rFont val="Tahoma"/>
            <family val="2"/>
          </rPr>
          <t xml:space="preserve">
Digite el nombre de los rubros adicionales.</t>
        </r>
      </text>
    </comment>
    <comment ref="E27" authorId="0">
      <text>
        <r>
          <rPr>
            <b/>
            <sz val="9"/>
            <color indexed="81"/>
            <rFont val="Tahoma"/>
            <family val="2"/>
          </rPr>
          <t>DARIO MAURICIO REYES GIRALDO:</t>
        </r>
        <r>
          <rPr>
            <sz val="9"/>
            <color indexed="81"/>
            <rFont val="Tahoma"/>
            <family val="2"/>
          </rPr>
          <t xml:space="preserve">
Digite el nombre de los rubros adicionales.</t>
        </r>
      </text>
    </comment>
    <comment ref="E28" authorId="0">
      <text>
        <r>
          <rPr>
            <b/>
            <sz val="9"/>
            <color indexed="81"/>
            <rFont val="Tahoma"/>
            <family val="2"/>
          </rPr>
          <t>DARIO MAURICIO REYES GIRALDO:</t>
        </r>
        <r>
          <rPr>
            <sz val="9"/>
            <color indexed="81"/>
            <rFont val="Tahoma"/>
            <family val="2"/>
          </rPr>
          <t xml:space="preserve">
Digite el nombre de los rubros adicionales.</t>
        </r>
      </text>
    </comment>
    <comment ref="E29" authorId="0">
      <text>
        <r>
          <rPr>
            <b/>
            <sz val="9"/>
            <color indexed="81"/>
            <rFont val="Tahoma"/>
            <family val="2"/>
          </rPr>
          <t>DARIO MAURICIO REYES GIRALDO:</t>
        </r>
        <r>
          <rPr>
            <sz val="9"/>
            <color indexed="81"/>
            <rFont val="Tahoma"/>
            <family val="2"/>
          </rPr>
          <t xml:space="preserve">
Digite el nombre de los rubros adicionales.</t>
        </r>
      </text>
    </comment>
    <comment ref="E30" author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C7" author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authors>
    <author>DARIO MAURICIO REYES GIRALDO</author>
  </authors>
  <commentList>
    <comment ref="E3" author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List>
</comments>
</file>

<file path=xl/sharedStrings.xml><?xml version="1.0" encoding="utf-8"?>
<sst xmlns="http://schemas.openxmlformats.org/spreadsheetml/2006/main" count="157" uniqueCount="150">
  <si>
    <t>CANTIDADES</t>
  </si>
  <si>
    <t>INGRESOS TOTALES</t>
  </si>
  <si>
    <t>COSTOS TOTALES</t>
  </si>
  <si>
    <t>NOMBRE DEL PRODUCTO SERVICIO</t>
  </si>
  <si>
    <t>NOMBRE DEL PRODUCTO O SERVICIO</t>
  </si>
  <si>
    <t>INGRESOS/VENTAS DEL PRIMER AÑO</t>
  </si>
  <si>
    <t>COSTOS DE CADA PRODUCTO O SERVICIO</t>
  </si>
  <si>
    <t>PRECIO DE VENTA UNITARIO SIN IVA</t>
  </si>
  <si>
    <t>COSTO UNITARIO DEL PDTO O SERVICIO</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</si>
  <si>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</si>
  <si>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</si>
  <si>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</si>
  <si>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</si>
  <si>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</si>
  <si>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</si>
  <si>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</si>
  <si>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</si>
  <si>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</si>
  <si>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</si>
  <si>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</si>
  <si>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</si>
  <si>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</si>
  <si>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</si>
  <si>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</si>
  <si>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</si>
  <si>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</si>
  <si>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</si>
  <si>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</si>
  <si>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</si>
  <si>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</si>
  <si>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</si>
  <si>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</si>
  <si>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</si>
  <si>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</si>
  <si>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PRODUCCIÓN:</t>
  </si>
  <si>
    <t>PRESUPUESTO DEL MARKETING MIX</t>
  </si>
  <si>
    <t>GASTOS FIJOS</t>
  </si>
  <si>
    <t>GASTOS FIJOS:</t>
  </si>
  <si>
    <t>ARRENDO:</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</si>
  <si>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</si>
  <si>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</si>
  <si>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</si>
  <si>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</si>
  <si>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</si>
  <si>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</si>
  <si>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</si>
  <si>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</si>
  <si>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</si>
  <si>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</si>
  <si>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</si>
  <si>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</si>
  <si>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</si>
  <si>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</si>
  <si>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PATENTES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</si>
  <si>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</si>
  <si>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</si>
  <si>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</si>
  <si>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</si>
  <si>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</si>
  <si>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</si>
  <si>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</si>
  <si>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</si>
  <si>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</si>
  <si>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</si>
  <si>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</si>
  <si>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</si>
  <si>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</si>
  <si>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</si>
  <si>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</si>
  <si>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CUOTA A PAGAR</t>
  </si>
  <si>
    <t>ABONO A CAPITAL</t>
  </si>
  <si>
    <t>INTERESES</t>
  </si>
  <si>
    <t>SALDO DE LA DEUDA</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</si>
  <si>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</si>
  <si>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</si>
  <si>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</si>
  <si>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</si>
  <si>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</si>
  <si>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</si>
  <si>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</si>
  <si>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</si>
  <si>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</si>
  <si>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</si>
  <si>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</si>
  <si>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</si>
  <si>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</si>
  <si>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</si>
  <si>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</si>
  <si>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</si>
  <si>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</si>
  <si>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</si>
  <si>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</si>
  <si>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</si>
  <si>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</si>
  <si>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</si>
  <si>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</si>
  <si>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</si>
  <si>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</si>
  <si>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</si>
  <si>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</si>
  <si>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</si>
  <si>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</si>
  <si>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</si>
  <si>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</si>
  <si>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</si>
  <si>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</si>
  <si>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</si>
  <si>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</si>
  <si>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</si>
  <si>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</si>
  <si>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</si>
  <si>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</si>
  <si>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</si>
  <si>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</si>
  <si>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</si>
  <si>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</si>
  <si>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</si>
  <si>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</si>
  <si>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</si>
  <si>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</si>
  <si>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</si>
  <si>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</si>
  <si>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</si>
  <si>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</si>
  <si>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</si>
  <si>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</si>
  <si>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</si>
  <si>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</si>
  <si>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</si>
  <si>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</si>
  <si>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</si>
  <si>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</si>
  <si>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</si>
  <si>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</si>
  <si>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</si>
  <si>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</si>
  <si>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</si>
  <si>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</si>
  <si>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</si>
  <si>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</si>
  <si>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</si>
  <si>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</si>
  <si>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</si>
  <si>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</si>
  <si>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</si>
  <si>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SEGURIDAD SOCIAL</t>
  </si>
  <si>
    <t>GASTOS DE VENTAS</t>
  </si>
  <si>
    <t>FORMACION</t>
  </si>
  <si>
    <t>ESCENA</t>
  </si>
  <si>
    <t>CREACION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</si>
</sst>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8" formatCode="&quot;$&quot;\ #,##0.00_);[Red]\(&quot;$&quot;\ #,##0.00\)"/>
    <numFmt numFmtId="44" formatCode="_(&quot;$&quot;\ * #,##0.00_);_(&quot;$&quot;\ * \(#,##0.00\);_(&quot;$&quot;\ * &quot;-&quot;??_);_(@_)"/>
    <numFmt numFmtId="43" formatCode="_(* #,##0.00_);_(* \(#,##0.00\);_(* &quot;-&quot;??_);_(@_)"/>
    <numFmt numFmtId="164" formatCode="_-* #,##0_-;\-* #,##0_-;_-* &quot;-&quot;_-;_-@_-"/>
    <numFmt numFmtId="165" formatCode="_(&quot;$&quot;\ * #,##0.0_);_(&quot;$&quot;\ * \(#,##0.0\);_(&quot;$&quot;\ * &quot;-&quot;??_);_(@_)"/>
    <numFmt numFmtId="166" formatCode="_(&quot;$&quot;\ * #,##0_);_(&quot;$&quot;\ * \(#,##0\);_(&quot;$&quot;\ * &quot;-&quot;??_);_(@_)"/>
    <numFmt numFmtId="167" formatCode="0.0%"/>
    <numFmt numFmtId="168" formatCode="_([$$-240A]\ * #,##0.00_);_([$$-240A]\ * \(#,##0.00\);_([$$-240A]\ * &quot;-&quot;??_);_(@_)"/>
    <numFmt numFmtId="169" formatCode="_(&quot;$&quot;\ * #,##0.00000_);_(&quot;$&quot;\ * \(#,##0.00000\);_(&quot;$&quot;\ * &quot;-&quot;??_);_(@_)"/>
    <numFmt numFmtId="170" formatCode="_ &quot;$&quot;\ * #,##0_ ;_ &quot;$&quot;\ * \-#,##0_ ;_ &quot;$&quot;\ * &quot;-&quot;??_ ;_ @_ "/>
    <numFmt numFmtId="171" formatCode="_(&quot;$&quot;\ * #,##0.0_);_(&quot;$&quot;\ * \(#,##0.0\);_(&quot;$&quot;\ * &quot;-&quot;?_);_(@_)"/>
    <numFmt numFmtId="172" formatCode="_(* #,##0_);_(* \(#,##0\);_(* &quot;-&quot;??_);_(@_)"/>
    <numFmt numFmtId="173" formatCode="_(* #,##0.0_);_(* \(#,##0.0\);_(* &quot;-&quot;??_);_(@_)"/>
  </numFmts>
  <fonts count="43">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2"/>
      <color theme="1"/>
      <name val="Calibri"/>
      <family val="2"/>
      <scheme val="minor"/>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10"/>
      <color rgb="FFFF0000"/>
      <name val="Arial"/>
      <family val="2"/>
    </font>
    <font>
      <b/>
      <sz val="14"/>
      <color theme="0"/>
      <name val="Arial"/>
      <family val="2"/>
    </font>
    <font>
      <b/>
      <sz val="20"/>
      <color theme="1"/>
      <name val="Aharoni"/>
      <charset val="177"/>
    </font>
    <font>
      <b/>
      <sz val="10"/>
      <color indexed="8"/>
      <name val="Arial"/>
      <family val="2"/>
    </font>
    <font>
      <sz val="10"/>
      <color indexed="8"/>
      <name val="Arial"/>
      <family val="2"/>
    </font>
    <font>
      <sz val="14"/>
      <color theme="0"/>
      <name val="Aharoni"/>
      <charset val="177"/>
    </font>
    <font>
      <b/>
      <sz val="16"/>
      <color theme="1"/>
      <name val="Aharoni"/>
      <charset val="177"/>
    </font>
  </fonts>
  <fills count="7">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s>
  <borders count="21">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52">
    <xf numFmtId="0" fontId="0" fillId="0" borderId="0" xfId="0"/>
    <xf numFmtId="0" fontId="25" fillId="0" borderId="0" xfId="0" applyFont="1" applyFill="1" applyBorder="1" applyProtection="1">
      <protection hidden="1"/>
    </xf>
    <xf numFmtId="170" fontId="0" fillId="0" borderId="0" xfId="1" applyNumberFormat="1" applyFont="1" applyFill="1" applyProtection="1">
      <protection hidden="1"/>
    </xf>
    <xf numFmtId="170" fontId="0" fillId="0" borderId="8" xfId="1" applyNumberFormat="1" applyFont="1" applyFill="1" applyBorder="1" applyProtection="1">
      <protection hidden="1"/>
    </xf>
    <xf numFmtId="0" fontId="26" fillId="0" borderId="0" xfId="0" applyFont="1" applyFill="1" applyBorder="1" applyProtection="1">
      <protection hidden="1"/>
    </xf>
    <xf numFmtId="170" fontId="24" fillId="0" borderId="0" xfId="1" applyNumberFormat="1" applyFont="1" applyFill="1" applyProtection="1">
      <protection hidden="1"/>
    </xf>
    <xf numFmtId="170" fontId="24" fillId="0" borderId="1" xfId="1" applyNumberFormat="1" applyFont="1" applyFill="1" applyBorder="1" applyProtection="1">
      <protection hidden="1"/>
    </xf>
    <xf numFmtId="172" fontId="20" fillId="0" borderId="0" xfId="3" applyNumberFormat="1" applyFont="1" applyFill="1" applyProtection="1">
      <protection hidden="1"/>
    </xf>
    <xf numFmtId="172" fontId="27" fillId="0" borderId="0" xfId="3" applyNumberFormat="1" applyFont="1" applyFill="1" applyBorder="1" applyProtection="1">
      <protection hidden="1"/>
    </xf>
    <xf numFmtId="0" fontId="28" fillId="0" borderId="0" xfId="0" applyFont="1" applyFill="1" applyBorder="1" applyProtection="1">
      <protection hidden="1"/>
    </xf>
    <xf numFmtId="0" fontId="30" fillId="4" borderId="0" xfId="0" applyFont="1" applyFill="1" applyProtection="1">
      <protection locked="0"/>
    </xf>
    <xf numFmtId="44" fontId="30" fillId="4" borderId="0" xfId="1" applyFont="1" applyFill="1" applyProtection="1">
      <protection locked="0"/>
    </xf>
    <xf numFmtId="0" fontId="0" fillId="0" borderId="0" xfId="0" applyProtection="1">
      <protection hidden="1"/>
    </xf>
    <xf numFmtId="0" fontId="32"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7" fillId="0" borderId="0" xfId="0" applyFont="1" applyAlignment="1" applyProtection="1">
      <alignment horizontal="center"/>
      <protection hidden="1"/>
    </xf>
    <xf numFmtId="166" fontId="6" fillId="0" borderId="0" xfId="1" applyNumberFormat="1" applyFont="1" applyProtection="1">
      <protection hidden="1"/>
    </xf>
    <xf numFmtId="9" fontId="0" fillId="0" borderId="0" xfId="2" applyFont="1" applyAlignment="1" applyProtection="1">
      <alignment horizontal="center"/>
      <protection hidden="1"/>
    </xf>
    <xf numFmtId="166" fontId="0" fillId="0" borderId="0" xfId="1" applyNumberFormat="1" applyFont="1" applyProtection="1">
      <protection hidden="1"/>
    </xf>
    <xf numFmtId="44" fontId="0" fillId="0" borderId="0" xfId="1" applyFont="1" applyProtection="1">
      <protection hidden="1"/>
    </xf>
    <xf numFmtId="44" fontId="0" fillId="0" borderId="0" xfId="0" applyNumberFormat="1" applyProtection="1">
      <protection hidden="1"/>
    </xf>
    <xf numFmtId="0" fontId="12" fillId="0" borderId="5" xfId="0" applyFont="1" applyFill="1" applyBorder="1" applyProtection="1">
      <protection hidden="1"/>
    </xf>
    <xf numFmtId="0" fontId="13" fillId="0" borderId="6" xfId="0" applyFont="1" applyFill="1" applyBorder="1" applyAlignment="1" applyProtection="1">
      <alignment horizontal="center"/>
      <protection hidden="1"/>
    </xf>
    <xf numFmtId="0" fontId="13" fillId="0" borderId="7" xfId="0" applyFont="1" applyFill="1" applyBorder="1" applyAlignment="1" applyProtection="1">
      <alignment horizontal="center"/>
      <protection hidden="1"/>
    </xf>
    <xf numFmtId="0" fontId="3" fillId="0" borderId="14" xfId="0" applyFont="1" applyBorder="1" applyAlignment="1" applyProtection="1">
      <alignment wrapText="1"/>
      <protection hidden="1"/>
    </xf>
    <xf numFmtId="0" fontId="3" fillId="0" borderId="12" xfId="0" applyFont="1" applyBorder="1" applyProtection="1">
      <protection hidden="1"/>
    </xf>
    <xf numFmtId="0" fontId="3" fillId="0" borderId="5" xfId="0" applyFont="1" applyBorder="1" applyProtection="1">
      <protection hidden="1"/>
    </xf>
    <xf numFmtId="0" fontId="0" fillId="0" borderId="6" xfId="0" applyBorder="1" applyProtection="1">
      <protection hidden="1"/>
    </xf>
    <xf numFmtId="0" fontId="0" fillId="0" borderId="7" xfId="0" applyBorder="1" applyProtection="1">
      <protection hidden="1"/>
    </xf>
    <xf numFmtId="166" fontId="7" fillId="5" borderId="0" xfId="0" applyNumberFormat="1" applyFont="1" applyFill="1" applyProtection="1">
      <protection hidden="1"/>
    </xf>
    <xf numFmtId="9" fontId="7" fillId="5" borderId="0" xfId="2" applyFont="1" applyFill="1" applyAlignment="1" applyProtection="1">
      <alignment horizontal="center"/>
      <protection hidden="1"/>
    </xf>
    <xf numFmtId="44" fontId="2" fillId="0" borderId="0" xfId="0" applyNumberFormat="1" applyFont="1" applyProtection="1">
      <protection hidden="1"/>
    </xf>
    <xf numFmtId="166"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68"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0" fontId="16" fillId="0" borderId="0" xfId="0" applyFont="1" applyProtection="1">
      <protection hidden="1"/>
    </xf>
    <xf numFmtId="9" fontId="30" fillId="4" borderId="0" xfId="2" applyFont="1" applyFill="1" applyProtection="1">
      <protection locked="0"/>
    </xf>
    <xf numFmtId="0" fontId="31" fillId="6" borderId="0" xfId="0" applyFont="1" applyFill="1" applyProtection="1">
      <protection locked="0"/>
    </xf>
    <xf numFmtId="43" fontId="30" fillId="4" borderId="0" xfId="4" applyFont="1" applyFill="1" applyProtection="1">
      <protection locked="0"/>
    </xf>
    <xf numFmtId="173" fontId="30" fillId="4" borderId="0" xfId="4"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0" fillId="5" borderId="0" xfId="0" applyFill="1" applyProtection="1">
      <protection hidden="1"/>
    </xf>
    <xf numFmtId="0" fontId="8" fillId="0" borderId="0" xfId="0" applyFont="1" applyAlignment="1" applyProtection="1">
      <alignment horizontal="center" vertical="center"/>
      <protection hidden="1"/>
    </xf>
    <xf numFmtId="165" fontId="0" fillId="0" borderId="0" xfId="1" applyNumberFormat="1" applyFont="1" applyProtection="1">
      <protection hidden="1"/>
    </xf>
    <xf numFmtId="0" fontId="2" fillId="0" borderId="1" xfId="0" applyFont="1" applyBorder="1" applyProtection="1">
      <protection hidden="1"/>
    </xf>
    <xf numFmtId="165" fontId="0" fillId="0" borderId="1" xfId="0" applyNumberFormat="1" applyBorder="1" applyProtection="1">
      <protection hidden="1"/>
    </xf>
    <xf numFmtId="171" fontId="0" fillId="0" borderId="1" xfId="0" applyNumberFormat="1" applyBorder="1" applyProtection="1">
      <protection hidden="1"/>
    </xf>
    <xf numFmtId="171" fontId="0" fillId="0" borderId="0" xfId="0" applyNumberFormat="1" applyProtection="1">
      <protection hidden="1"/>
    </xf>
    <xf numFmtId="0" fontId="2" fillId="0" borderId="3" xfId="0" applyFont="1" applyBorder="1" applyProtection="1">
      <protection hidden="1"/>
    </xf>
    <xf numFmtId="171" fontId="2" fillId="0" borderId="3" xfId="0" applyNumberFormat="1" applyFont="1" applyBorder="1" applyProtection="1">
      <protection hidden="1"/>
    </xf>
    <xf numFmtId="0" fontId="23" fillId="0" borderId="0" xfId="0" applyFont="1" applyAlignment="1" applyProtection="1">
      <alignment horizontal="center" vertical="center"/>
      <protection hidden="1"/>
    </xf>
    <xf numFmtId="44" fontId="2" fillId="0" borderId="1" xfId="0" applyNumberFormat="1" applyFont="1" applyBorder="1" applyProtection="1">
      <protection hidden="1"/>
    </xf>
    <xf numFmtId="44" fontId="0" fillId="5" borderId="0" xfId="0" applyNumberFormat="1" applyFill="1" applyProtection="1">
      <protection hidden="1"/>
    </xf>
    <xf numFmtId="0" fontId="18" fillId="0" borderId="0" xfId="0" applyFont="1" applyProtection="1">
      <protection hidden="1"/>
    </xf>
    <xf numFmtId="44" fontId="18" fillId="0" borderId="0" xfId="0" applyNumberFormat="1" applyFont="1" applyProtection="1">
      <protection hidden="1"/>
    </xf>
    <xf numFmtId="0" fontId="7" fillId="0" borderId="0" xfId="0" applyFont="1" applyProtection="1">
      <protection hidden="1"/>
    </xf>
    <xf numFmtId="44"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69" fontId="0" fillId="0" borderId="0" xfId="1" applyNumberFormat="1" applyFont="1" applyProtection="1">
      <protection hidden="1"/>
    </xf>
    <xf numFmtId="0" fontId="16" fillId="0" borderId="0" xfId="0" applyFont="1" applyAlignment="1" applyProtection="1">
      <alignment horizontal="center"/>
      <protection hidden="1"/>
    </xf>
    <xf numFmtId="0" fontId="16" fillId="0" borderId="2" xfId="0" applyFont="1" applyFill="1" applyBorder="1" applyAlignment="1" applyProtection="1">
      <alignment horizontal="center" vertical="center" wrapText="1"/>
      <protection hidden="1"/>
    </xf>
    <xf numFmtId="0" fontId="39" fillId="0" borderId="2" xfId="0" applyFont="1" applyFill="1" applyBorder="1" applyAlignment="1" applyProtection="1">
      <alignment horizontal="center"/>
      <protection hidden="1"/>
    </xf>
    <xf numFmtId="170" fontId="20" fillId="0" borderId="2" xfId="1" applyNumberFormat="1" applyFont="1" applyFill="1" applyBorder="1" applyProtection="1">
      <protection hidden="1"/>
    </xf>
    <xf numFmtId="170" fontId="40" fillId="0" borderId="2" xfId="1" applyNumberFormat="1" applyFont="1" applyFill="1" applyBorder="1" applyProtection="1">
      <protection hidden="1"/>
    </xf>
    <xf numFmtId="170" fontId="36" fillId="0" borderId="2" xfId="1" applyNumberFormat="1" applyFont="1" applyFill="1" applyBorder="1" applyProtection="1">
      <protection hidden="1"/>
    </xf>
    <xf numFmtId="170" fontId="39" fillId="0" borderId="2" xfId="1" applyNumberFormat="1" applyFont="1" applyFill="1" applyBorder="1" applyProtection="1">
      <protection hidden="1"/>
    </xf>
    <xf numFmtId="0" fontId="33" fillId="5" borderId="0" xfId="0" applyFont="1" applyFill="1" applyProtection="1">
      <protection hidden="1"/>
    </xf>
    <xf numFmtId="0" fontId="23" fillId="0" borderId="10"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0" fillId="0" borderId="12" xfId="0" applyBorder="1" applyProtection="1">
      <protection hidden="1"/>
    </xf>
    <xf numFmtId="170" fontId="29" fillId="0" borderId="4" xfId="0" applyNumberFormat="1" applyFont="1" applyBorder="1" applyProtection="1">
      <protection hidden="1"/>
    </xf>
    <xf numFmtId="170" fontId="29" fillId="0" borderId="13" xfId="0" applyNumberFormat="1" applyFont="1" applyBorder="1" applyProtection="1">
      <protection hidden="1"/>
    </xf>
    <xf numFmtId="8" fontId="22" fillId="5" borderId="0" xfId="0" applyNumberFormat="1" applyFont="1" applyFill="1" applyProtection="1">
      <protection hidden="1"/>
    </xf>
    <xf numFmtId="10" fontId="9" fillId="0" borderId="0" xfId="2" applyNumberFormat="1" applyFont="1" applyAlignment="1" applyProtection="1">
      <alignment horizontal="center" vertical="center"/>
      <protection hidden="1"/>
    </xf>
    <xf numFmtId="0" fontId="35" fillId="0" borderId="0" xfId="0" applyFont="1" applyAlignment="1" applyProtection="1">
      <alignment wrapText="1"/>
      <protection hidden="1"/>
    </xf>
    <xf numFmtId="0" fontId="6" fillId="0" borderId="0" xfId="0" applyFont="1" applyAlignment="1" applyProtection="1">
      <protection hidden="1"/>
    </xf>
    <xf numFmtId="44" fontId="6" fillId="0" borderId="0" xfId="0" applyNumberFormat="1" applyFont="1" applyAlignment="1" applyProtection="1">
      <protection hidden="1"/>
    </xf>
    <xf numFmtId="9" fontId="6" fillId="0" borderId="0" xfId="0" applyNumberFormat="1" applyFont="1" applyProtection="1">
      <protection hidden="1"/>
    </xf>
    <xf numFmtId="44" fontId="6" fillId="0" borderId="0" xfId="0" applyNumberFormat="1" applyFont="1" applyProtection="1">
      <protection hidden="1"/>
    </xf>
    <xf numFmtId="43" fontId="6" fillId="0" borderId="0" xfId="0" applyNumberFormat="1" applyFont="1" applyProtection="1">
      <protection hidden="1"/>
    </xf>
    <xf numFmtId="43"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44" fontId="0" fillId="0" borderId="0" xfId="0" applyNumberFormat="1" applyAlignment="1" applyProtection="1">
      <protection hidden="1"/>
    </xf>
    <xf numFmtId="9" fontId="0" fillId="0" borderId="0" xfId="0" applyNumberFormat="1" applyProtection="1">
      <protection hidden="1"/>
    </xf>
    <xf numFmtId="43" fontId="38" fillId="0" borderId="0" xfId="4" applyFont="1" applyProtection="1">
      <protection hidden="1"/>
    </xf>
    <xf numFmtId="0" fontId="2" fillId="0" borderId="0" xfId="0" applyFont="1" applyProtection="1">
      <protection hidden="1"/>
    </xf>
    <xf numFmtId="43" fontId="2" fillId="0" borderId="0" xfId="4" applyFont="1" applyProtection="1">
      <protection hidden="1"/>
    </xf>
    <xf numFmtId="44" fontId="18" fillId="0" borderId="0" xfId="1" applyFont="1" applyProtection="1">
      <protection hidden="1"/>
    </xf>
    <xf numFmtId="0" fontId="19" fillId="0" borderId="0" xfId="0" applyFont="1" applyAlignment="1" applyProtection="1">
      <alignment wrapText="1"/>
      <protection locked="0"/>
    </xf>
    <xf numFmtId="0" fontId="21" fillId="0" borderId="9" xfId="0" applyFont="1" applyBorder="1" applyProtection="1">
      <protection hidden="1"/>
    </xf>
    <xf numFmtId="44" fontId="12" fillId="0" borderId="0" xfId="1" applyFont="1" applyProtection="1">
      <protection hidden="1"/>
    </xf>
    <xf numFmtId="43" fontId="12" fillId="0" borderId="0" xfId="4" applyFont="1" applyProtection="1">
      <protection hidden="1"/>
    </xf>
    <xf numFmtId="166" fontId="6" fillId="0" borderId="0" xfId="0" applyNumberFormat="1" applyFont="1" applyProtection="1">
      <protection hidden="1"/>
    </xf>
    <xf numFmtId="166" fontId="7" fillId="5" borderId="1" xfId="1" applyNumberFormat="1" applyFont="1" applyFill="1" applyBorder="1" applyProtection="1">
      <protection hidden="1"/>
    </xf>
    <xf numFmtId="166" fontId="30" fillId="4" borderId="0" xfId="1" applyNumberFormat="1" applyFont="1" applyFill="1" applyProtection="1">
      <protection locked="0"/>
    </xf>
    <xf numFmtId="166" fontId="21" fillId="0" borderId="0" xfId="0" applyNumberFormat="1" applyFont="1" applyProtection="1">
      <protection hidden="1"/>
    </xf>
    <xf numFmtId="166" fontId="21" fillId="5" borderId="0" xfId="0" applyNumberFormat="1" applyFont="1" applyFill="1" applyProtection="1">
      <protection hidden="1"/>
    </xf>
    <xf numFmtId="166" fontId="30" fillId="4" borderId="0" xfId="1" applyNumberFormat="1" applyFont="1" applyFill="1" applyAlignment="1" applyProtection="1">
      <alignment horizontal="center"/>
      <protection locked="0"/>
    </xf>
    <xf numFmtId="166" fontId="34" fillId="0" borderId="0" xfId="0" applyNumberFormat="1" applyFont="1" applyProtection="1">
      <protection hidden="1"/>
    </xf>
    <xf numFmtId="10" fontId="41" fillId="6" borderId="0" xfId="2" applyNumberFormat="1" applyFont="1" applyFill="1" applyBorder="1" applyProtection="1">
      <protection locked="0"/>
    </xf>
    <xf numFmtId="167" fontId="41" fillId="6" borderId="0" xfId="2" applyNumberFormat="1" applyFont="1" applyFill="1" applyBorder="1" applyProtection="1">
      <protection locked="0"/>
    </xf>
    <xf numFmtId="167" fontId="41" fillId="6" borderId="15" xfId="2" applyNumberFormat="1" applyFont="1" applyFill="1" applyBorder="1" applyProtection="1">
      <protection locked="0"/>
    </xf>
    <xf numFmtId="167" fontId="41" fillId="6" borderId="4" xfId="2" applyNumberFormat="1" applyFont="1" applyFill="1" applyBorder="1" applyProtection="1">
      <protection locked="0"/>
    </xf>
    <xf numFmtId="167" fontId="41" fillId="6" borderId="13" xfId="2" applyNumberFormat="1" applyFont="1" applyFill="1" applyBorder="1" applyProtection="1">
      <protection locked="0"/>
    </xf>
    <xf numFmtId="167" fontId="41" fillId="6" borderId="6" xfId="2" applyNumberFormat="1" applyFont="1" applyFill="1" applyBorder="1" applyProtection="1">
      <protection locked="0"/>
    </xf>
    <xf numFmtId="0" fontId="42" fillId="3" borderId="0" xfId="0" applyFont="1" applyFill="1" applyAlignment="1" applyProtection="1">
      <alignment wrapText="1"/>
      <protection hidden="1"/>
    </xf>
    <xf numFmtId="164" fontId="0" fillId="0" borderId="17" xfId="5" applyFont="1" applyFill="1" applyBorder="1" applyProtection="1">
      <protection hidden="1"/>
    </xf>
    <xf numFmtId="170" fontId="24" fillId="5" borderId="13" xfId="1" applyNumberFormat="1" applyFont="1" applyFill="1" applyBorder="1" applyProtection="1">
      <protection hidden="1"/>
    </xf>
    <xf numFmtId="164" fontId="25" fillId="0" borderId="18" xfId="5" applyFont="1" applyFill="1" applyBorder="1" applyProtection="1">
      <protection hidden="1"/>
    </xf>
    <xf numFmtId="0" fontId="25" fillId="0" borderId="18" xfId="0" applyFont="1" applyFill="1" applyBorder="1" applyProtection="1">
      <protection hidden="1"/>
    </xf>
    <xf numFmtId="0" fontId="26" fillId="0" borderId="18" xfId="0" applyFont="1" applyFill="1" applyBorder="1" applyProtection="1">
      <protection hidden="1"/>
    </xf>
    <xf numFmtId="0" fontId="26" fillId="5" borderId="19" xfId="0" applyFont="1" applyFill="1" applyBorder="1" applyProtection="1">
      <protection hidden="1"/>
    </xf>
    <xf numFmtId="164" fontId="0" fillId="0" borderId="2" xfId="5" applyFont="1" applyFill="1" applyBorder="1" applyProtection="1">
      <protection hidden="1"/>
    </xf>
    <xf numFmtId="0" fontId="0" fillId="0" borderId="2" xfId="0" applyFill="1" applyBorder="1" applyProtection="1">
      <protection hidden="1"/>
    </xf>
    <xf numFmtId="0" fontId="0" fillId="5" borderId="20" xfId="0" applyFill="1" applyBorder="1" applyProtection="1">
      <protection hidden="1"/>
    </xf>
    <xf numFmtId="170" fontId="24" fillId="5" borderId="20" xfId="1" applyNumberFormat="1" applyFont="1" applyFill="1" applyBorder="1" applyProtection="1">
      <protection hidden="1"/>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3" fillId="2" borderId="4" xfId="0" applyFont="1" applyFill="1" applyBorder="1" applyAlignment="1" applyProtection="1">
      <alignment horizontal="left" wrapText="1"/>
      <protection hidden="1"/>
    </xf>
    <xf numFmtId="0" fontId="3" fillId="2" borderId="13" xfId="0" applyFont="1" applyFill="1" applyBorder="1" applyAlignment="1" applyProtection="1">
      <alignment horizontal="left" wrapText="1"/>
      <protection hidden="1"/>
    </xf>
    <xf numFmtId="0" fontId="4" fillId="0" borderId="16" xfId="0" applyFont="1" applyBorder="1" applyAlignment="1" applyProtection="1">
      <alignment horizontal="center"/>
      <protection hidden="1"/>
    </xf>
    <xf numFmtId="0" fontId="0" fillId="0" borderId="0" xfId="0" applyAlignment="1" applyProtection="1">
      <alignment horizontal="center"/>
      <protection hidden="1"/>
    </xf>
    <xf numFmtId="10" fontId="30"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37"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6">
    <cellStyle name="Millares" xfId="4" builtinId="3"/>
    <cellStyle name="Millares [0]" xfId="5" builtinId="6"/>
    <cellStyle name="Millares_Modelo Financiero ACME Final 2" xfId="3"/>
    <cellStyle name="Moneda" xfId="1" builtinId="4"/>
    <cellStyle name="Normal" xfId="0" builtinId="0"/>
    <cellStyle name="Porcentaje" xfId="2" builtinId="5"/>
  </cellStyles>
  <dxfs count="7">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67.089570017431726</c:v>
                </c:pt>
                <c:pt idx="2">
                  <c:v>134.17914003486345</c:v>
                </c:pt>
              </c:numCache>
            </c:numRef>
          </c:cat>
          <c:val>
            <c:numRef>
              <c:f>'5'!$C$32:$C$34</c:f>
              <c:numCache>
                <c:formatCode>_("$"* #,##0.00_);_("$"* \(#,##0.00\);_("$"* "-"??_);_(@_)</c:formatCode>
                <c:ptCount val="3"/>
                <c:pt idx="0">
                  <c:v>83667500</c:v>
                </c:pt>
                <c:pt idx="1">
                  <c:v>83667500</c:v>
                </c:pt>
                <c:pt idx="2">
                  <c:v>83667500</c:v>
                </c:pt>
              </c:numCache>
            </c:numRef>
          </c:val>
          <c:smooth val="0"/>
          <c:extLst xmlns:c16r2="http://schemas.microsoft.com/office/drawing/2015/06/chart">
            <c:ext xmlns:c16="http://schemas.microsoft.com/office/drawing/2014/chart" uri="{C3380CC4-5D6E-409C-BE32-E72D297353CC}">
              <c16:uniqueId val="{00000000-9F87-4C6D-8361-32190475BB94}"/>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67.089570017431726</c:v>
                </c:pt>
                <c:pt idx="2">
                  <c:v>134.17914003486345</c:v>
                </c:pt>
              </c:numCache>
            </c:numRef>
          </c:cat>
          <c:val>
            <c:numRef>
              <c:f>'5'!$D$32:$D$34</c:f>
              <c:numCache>
                <c:formatCode>_("$"* #,##0.00_);_("$"* \(#,##0.00\);_("$"* "-"??_);_(@_)</c:formatCode>
                <c:ptCount val="3"/>
                <c:pt idx="0" formatCode="General">
                  <c:v>0</c:v>
                </c:pt>
                <c:pt idx="1">
                  <c:v>83667500</c:v>
                </c:pt>
                <c:pt idx="2">
                  <c:v>167335000</c:v>
                </c:pt>
              </c:numCache>
            </c:numRef>
          </c:val>
          <c:smooth val="0"/>
          <c:extLst xmlns:c16r2="http://schemas.microsoft.com/office/drawing/2015/06/chart">
            <c:ext xmlns:c16="http://schemas.microsoft.com/office/drawing/2014/chart" uri="{C3380CC4-5D6E-409C-BE32-E72D297353CC}">
              <c16:uniqueId val="{00000001-9F87-4C6D-8361-32190475BB94}"/>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67.089570017431726</c:v>
                </c:pt>
                <c:pt idx="2">
                  <c:v>134.17914003486345</c:v>
                </c:pt>
              </c:numCache>
            </c:numRef>
          </c:cat>
          <c:val>
            <c:numRef>
              <c:f>'5'!$F$32:$F$34</c:f>
              <c:numCache>
                <c:formatCode>_("$"* #,##0.00_);_("$"* \(#,##0.00\);_("$"* "-"??_);_(@_)</c:formatCode>
                <c:ptCount val="3"/>
                <c:pt idx="0">
                  <c:v>83667500</c:v>
                </c:pt>
                <c:pt idx="1">
                  <c:v>83667500</c:v>
                </c:pt>
                <c:pt idx="2">
                  <c:v>83667500</c:v>
                </c:pt>
              </c:numCache>
            </c:numRef>
          </c:val>
          <c:smooth val="0"/>
          <c:extLst xmlns:c16r2="http://schemas.microsoft.com/office/drawing/2015/06/chart">
            <c:ext xmlns:c16="http://schemas.microsoft.com/office/drawing/2014/chart" uri="{C3380CC4-5D6E-409C-BE32-E72D297353CC}">
              <c16:uniqueId val="{00000002-9F87-4C6D-8361-32190475BB94}"/>
            </c:ext>
          </c:extLst>
        </c:ser>
        <c:dLbls>
          <c:showLegendKey val="0"/>
          <c:showVal val="0"/>
          <c:showCatName val="0"/>
          <c:showSerName val="0"/>
          <c:showPercent val="0"/>
          <c:showBubbleSize val="0"/>
        </c:dLbls>
        <c:marker val="1"/>
        <c:smooth val="0"/>
        <c:axId val="101305728"/>
        <c:axId val="101307520"/>
      </c:lineChart>
      <c:catAx>
        <c:axId val="101305728"/>
        <c:scaling>
          <c:orientation val="minMax"/>
        </c:scaling>
        <c:delete val="0"/>
        <c:axPos val="b"/>
        <c:numFmt formatCode="General" sourceLinked="1"/>
        <c:majorTickMark val="out"/>
        <c:minorTickMark val="none"/>
        <c:tickLblPos val="nextTo"/>
        <c:crossAx val="101307520"/>
        <c:crosses val="autoZero"/>
        <c:auto val="1"/>
        <c:lblAlgn val="ctr"/>
        <c:lblOffset val="100"/>
        <c:noMultiLvlLbl val="0"/>
      </c:catAx>
      <c:valAx>
        <c:axId val="101307520"/>
        <c:scaling>
          <c:orientation val="minMax"/>
        </c:scaling>
        <c:delete val="0"/>
        <c:axPos val="l"/>
        <c:majorGridlines/>
        <c:numFmt formatCode="_(&quot;$&quot;* #,##0.00_);_(&quot;$&quot;* \(#,##0.00\);_(&quot;$&quot;*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0130572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mailto:dmreyes@ean.edu.co" TargetMode="External"/><Relationship Id="rId3" Type="http://schemas.openxmlformats.org/officeDocument/2006/relationships/hyperlink" Target="#'3'!A1"/><Relationship Id="rId7" Type="http://schemas.openxmlformats.org/officeDocument/2006/relationships/image" Target="../media/image2.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editAs="oneCell">
    <xdr:from>
      <xdr:col>8</xdr:col>
      <xdr:colOff>476250</xdr:colOff>
      <xdr:row>18</xdr:row>
      <xdr:rowOff>171450</xdr:rowOff>
    </xdr:from>
    <xdr:to>
      <xdr:col>9</xdr:col>
      <xdr:colOff>733425</xdr:colOff>
      <xdr:row>23</xdr:row>
      <xdr:rowOff>161925</xdr:rowOff>
    </xdr:to>
    <xdr:pic>
      <xdr:nvPicPr>
        <xdr:cNvPr id="11" name="10 Imagen"/>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10250" y="3409950"/>
          <a:ext cx="1019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20</xdr:row>
      <xdr:rowOff>38100</xdr:rowOff>
    </xdr:from>
    <xdr:to>
      <xdr:col>5</xdr:col>
      <xdr:colOff>19050</xdr:colOff>
      <xdr:row>23</xdr:row>
      <xdr:rowOff>174625</xdr:rowOff>
    </xdr:to>
    <xdr:sp macro="" textlink="">
      <xdr:nvSpPr>
        <xdr:cNvPr id="13" name="12 CuadroTexto">
          <a:hlinkClick xmlns:r="http://schemas.openxmlformats.org/officeDocument/2006/relationships" r:id="rId8"/>
        </xdr:cNvPr>
        <xdr:cNvSpPr txBox="1"/>
      </xdr:nvSpPr>
      <xdr:spPr>
        <a:xfrm>
          <a:off x="790575" y="38481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857249</xdr:colOff>
      <xdr:row>12</xdr:row>
      <xdr:rowOff>128589</xdr:rowOff>
    </xdr:from>
    <xdr:to>
      <xdr:col>11</xdr:col>
      <xdr:colOff>438150</xdr:colOff>
      <xdr:row>25</xdr:row>
      <xdr:rowOff>28576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view="pageBreakPreview" zoomScaleNormal="100" zoomScaleSheetLayoutView="100" workbookViewId="0"/>
  </sheetViews>
  <sheetFormatPr baseColWidth="10" defaultRowHeight="15"/>
  <sheetData/>
  <sheetProtection algorithmName="SHA-512" hashValue="vmGeKEIDsixAAf4UhO8CpMoGOEBvqyuS7g3MxBKSmGJf4CiFugf6LA2jVZYvfVXC3qgV29BE3unEdYBYDdMJ5g==" saltValue="GvDMGCdYaA4vHUownluhNg==" spinCount="100000" sheet="1" objects="1" scenarios="1"/>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C35"/>
  <sheetViews>
    <sheetView showGridLines="0" zoomScale="90" zoomScaleNormal="90" workbookViewId="0">
      <pane xSplit="6" ySplit="2" topLeftCell="G3" activePane="bottomRight" state="frozenSplit"/>
      <selection activeCell="B40" sqref="B40"/>
      <selection pane="topRight" activeCell="B40" sqref="B40"/>
      <selection pane="bottomLeft" activeCell="B40" sqref="B40"/>
      <selection pane="bottomRight" activeCell="C5" sqref="C5"/>
    </sheetView>
  </sheetViews>
  <sheetFormatPr baseColWidth="10" defaultRowHeight="15"/>
  <cols>
    <col min="1" max="1" width="22.5703125" style="12" customWidth="1"/>
    <col min="2" max="2" width="24.42578125" style="12" customWidth="1"/>
    <col min="3" max="6" width="17.42578125" style="12" bestFit="1" customWidth="1"/>
    <col min="7" max="10" width="9.5703125" style="12" customWidth="1"/>
    <col min="11" max="11" width="4.28515625" style="12" customWidth="1"/>
    <col min="12" max="15" width="11.42578125" style="12" hidden="1" customWidth="1"/>
    <col min="16" max="19" width="12" style="12" hidden="1" customWidth="1"/>
    <col min="20" max="24" width="15.5703125" style="12" hidden="1" customWidth="1"/>
    <col min="25" max="25" width="12.42578125" style="12" bestFit="1" customWidth="1"/>
    <col min="26" max="29" width="11.5703125" style="12" customWidth="1"/>
    <col min="30" max="16384" width="11.42578125" style="12"/>
  </cols>
  <sheetData>
    <row r="1" spans="1:29" ht="30.75" customHeight="1">
      <c r="A1" s="131" t="s">
        <v>5</v>
      </c>
      <c r="B1" s="131"/>
      <c r="C1" s="131"/>
      <c r="D1" s="131"/>
      <c r="E1" s="131"/>
      <c r="G1" s="132" t="s">
        <v>13</v>
      </c>
      <c r="H1" s="132"/>
      <c r="I1" s="132"/>
      <c r="J1" s="132"/>
      <c r="P1" s="12" t="s">
        <v>17</v>
      </c>
      <c r="Y1" s="13" t="s">
        <v>10</v>
      </c>
      <c r="Z1" s="47">
        <v>2019</v>
      </c>
      <c r="AA1" s="14"/>
    </row>
    <row r="2" spans="1:29" ht="32.25" customHeight="1" thickBot="1">
      <c r="B2" s="15" t="s">
        <v>4</v>
      </c>
      <c r="C2" s="16" t="s">
        <v>0</v>
      </c>
      <c r="D2" s="15" t="s">
        <v>7</v>
      </c>
      <c r="E2" s="16" t="s">
        <v>1</v>
      </c>
      <c r="F2" s="17" t="s">
        <v>28</v>
      </c>
      <c r="G2" s="119">
        <f>'1'!Z1+1</f>
        <v>2020</v>
      </c>
      <c r="H2" s="119">
        <f>G2+1</f>
        <v>2021</v>
      </c>
      <c r="I2" s="119">
        <f t="shared" ref="I2:J2" si="0">H2+1</f>
        <v>2022</v>
      </c>
      <c r="J2" s="119">
        <f t="shared" si="0"/>
        <v>2023</v>
      </c>
      <c r="L2" s="12">
        <f>G2</f>
        <v>2020</v>
      </c>
      <c r="M2" s="12">
        <f>H2</f>
        <v>2021</v>
      </c>
      <c r="N2" s="12">
        <f>M2+1</f>
        <v>2022</v>
      </c>
      <c r="O2" s="12">
        <f>N2+1</f>
        <v>2023</v>
      </c>
      <c r="P2" s="12" t="s">
        <v>14</v>
      </c>
      <c r="Q2" s="12" t="s">
        <v>12</v>
      </c>
      <c r="R2" s="12" t="s">
        <v>24</v>
      </c>
      <c r="S2" s="12" t="s">
        <v>25</v>
      </c>
      <c r="T2" s="12" t="s">
        <v>18</v>
      </c>
      <c r="U2" s="12" t="s">
        <v>19</v>
      </c>
      <c r="V2" s="12" t="s">
        <v>26</v>
      </c>
      <c r="W2" s="12" t="s">
        <v>27</v>
      </c>
      <c r="Y2" s="14"/>
      <c r="Z2" s="14"/>
      <c r="AA2" s="14"/>
    </row>
    <row r="3" spans="1:29" ht="24" thickBot="1">
      <c r="A3" s="18">
        <v>1</v>
      </c>
      <c r="B3" s="10" t="s">
        <v>147</v>
      </c>
      <c r="C3" s="48">
        <v>32</v>
      </c>
      <c r="D3" s="108">
        <v>1200000</v>
      </c>
      <c r="E3" s="19">
        <f>C3*D3</f>
        <v>38400000</v>
      </c>
      <c r="F3" s="20">
        <f>IF($E$13=0,0,E3/$E$13)</f>
        <v>0.34782608695652173</v>
      </c>
      <c r="G3" s="46">
        <v>0.18</v>
      </c>
      <c r="H3" s="46">
        <v>0.16</v>
      </c>
      <c r="I3" s="46">
        <v>0.12</v>
      </c>
      <c r="J3" s="46">
        <v>0.05</v>
      </c>
      <c r="K3" s="21"/>
      <c r="L3" s="12">
        <f t="shared" ref="L3:L12" si="1">C3*(1+G3)</f>
        <v>37.76</v>
      </c>
      <c r="M3" s="12">
        <f>L3*(1+H3)</f>
        <v>43.801599999999993</v>
      </c>
      <c r="N3" s="12">
        <f t="shared" ref="N3:O3" si="2">M3*(1+I3)</f>
        <v>49.057791999999999</v>
      </c>
      <c r="O3" s="12">
        <f t="shared" si="2"/>
        <v>51.510681599999998</v>
      </c>
      <c r="P3" s="22">
        <f>D3*(1+'1'!$Z$4)</f>
        <v>1236000</v>
      </c>
      <c r="Q3" s="22">
        <f>P3*(1+'1'!$AA$4)</f>
        <v>1273080</v>
      </c>
      <c r="R3" s="22">
        <f>Q3*(1+'1'!$AB$4)</f>
        <v>1311272.4000000001</v>
      </c>
      <c r="S3" s="22">
        <f>R3*(1+'1'!$AC$4)</f>
        <v>1350610.5720000002</v>
      </c>
      <c r="T3" s="23">
        <f>L3*P3</f>
        <v>46671360</v>
      </c>
      <c r="U3" s="23">
        <f>M3*Q3</f>
        <v>55762940.927999988</v>
      </c>
      <c r="V3" s="23">
        <f>N3*R3</f>
        <v>64328128.654540807</v>
      </c>
      <c r="W3" s="23">
        <f>O3*S3</f>
        <v>69570871.139885888</v>
      </c>
      <c r="X3" s="23"/>
      <c r="Y3" s="24" t="s">
        <v>11</v>
      </c>
      <c r="Z3" s="25">
        <f>G2</f>
        <v>2020</v>
      </c>
      <c r="AA3" s="25">
        <f>Z3+1</f>
        <v>2021</v>
      </c>
      <c r="AB3" s="25">
        <f t="shared" ref="AB3:AC3" si="3">AA3+1</f>
        <v>2022</v>
      </c>
      <c r="AC3" s="26">
        <f t="shared" si="3"/>
        <v>2023</v>
      </c>
    </row>
    <row r="4" spans="1:29" ht="18.75">
      <c r="A4" s="18">
        <f>A3+1</f>
        <v>2</v>
      </c>
      <c r="B4" s="10" t="s">
        <v>148</v>
      </c>
      <c r="C4" s="48">
        <v>23</v>
      </c>
      <c r="D4" s="108">
        <v>1000000</v>
      </c>
      <c r="E4" s="19">
        <f t="shared" ref="E4:E12" si="4">C4*D4</f>
        <v>23000000</v>
      </c>
      <c r="F4" s="20">
        <f t="shared" ref="F4:F12" si="5">IF($E$13=0,0,E4/$E$13)</f>
        <v>0.20833333333333334</v>
      </c>
      <c r="G4" s="46">
        <v>0.18</v>
      </c>
      <c r="H4" s="46">
        <v>0.16</v>
      </c>
      <c r="I4" s="46">
        <v>0.12</v>
      </c>
      <c r="J4" s="46">
        <v>0.05</v>
      </c>
      <c r="K4" s="21"/>
      <c r="L4" s="12">
        <f t="shared" si="1"/>
        <v>27.139999999999997</v>
      </c>
      <c r="M4" s="12">
        <f t="shared" ref="M4:M12" si="6">L4*(1+H4)</f>
        <v>31.482399999999995</v>
      </c>
      <c r="N4" s="12">
        <f t="shared" ref="N4:N12" si="7">M4*(1+I4)</f>
        <v>35.260287999999996</v>
      </c>
      <c r="O4" s="12">
        <f t="shared" ref="O4:O12" si="8">N4*(1+J4)</f>
        <v>37.023302399999999</v>
      </c>
      <c r="P4" s="22">
        <f>D4*(1+'1'!$Z$4)</f>
        <v>1030000</v>
      </c>
      <c r="Q4" s="22">
        <f>P4*(1+'1'!$AA$4)</f>
        <v>1060900</v>
      </c>
      <c r="R4" s="22">
        <f>Q4*(1+'1'!$AB$4)</f>
        <v>1092727</v>
      </c>
      <c r="S4" s="22">
        <f>R4*(1+'1'!$AC$4)</f>
        <v>1125508.81</v>
      </c>
      <c r="T4" s="23">
        <f t="shared" ref="T4:T12" si="9">L4*P4</f>
        <v>27954199.999999996</v>
      </c>
      <c r="U4" s="23">
        <f t="shared" ref="U4:U12" si="10">M4*Q4</f>
        <v>33399678.159999993</v>
      </c>
      <c r="V4" s="23">
        <f t="shared" ref="V4:V12" si="11">N4*R4</f>
        <v>38529868.725375995</v>
      </c>
      <c r="W4" s="23">
        <f t="shared" ref="W4:W12" si="12">O4*S4</f>
        <v>41670053.026494145</v>
      </c>
      <c r="X4" s="23"/>
      <c r="Y4" s="27" t="s">
        <v>15</v>
      </c>
      <c r="Z4" s="113">
        <v>0.03</v>
      </c>
      <c r="AA4" s="114">
        <v>0.03</v>
      </c>
      <c r="AB4" s="114">
        <v>0.03</v>
      </c>
      <c r="AC4" s="115">
        <v>0.03</v>
      </c>
    </row>
    <row r="5" spans="1:29" ht="19.5" thickBot="1">
      <c r="A5" s="18">
        <f t="shared" ref="A5:A12" si="13">A4+1</f>
        <v>3</v>
      </c>
      <c r="B5" s="10" t="s">
        <v>149</v>
      </c>
      <c r="C5" s="48">
        <v>35</v>
      </c>
      <c r="D5" s="108">
        <v>1400000</v>
      </c>
      <c r="E5" s="19">
        <f t="shared" si="4"/>
        <v>49000000</v>
      </c>
      <c r="F5" s="20">
        <f t="shared" si="5"/>
        <v>0.4438405797101449</v>
      </c>
      <c r="G5" s="46">
        <v>0.18</v>
      </c>
      <c r="H5" s="46">
        <v>0.16</v>
      </c>
      <c r="I5" s="46">
        <v>0.12</v>
      </c>
      <c r="J5" s="46">
        <v>0.05</v>
      </c>
      <c r="K5" s="21"/>
      <c r="L5" s="12">
        <f t="shared" si="1"/>
        <v>41.3</v>
      </c>
      <c r="M5" s="12">
        <f t="shared" si="6"/>
        <v>47.907999999999994</v>
      </c>
      <c r="N5" s="12">
        <f t="shared" si="7"/>
        <v>53.656959999999998</v>
      </c>
      <c r="O5" s="12">
        <f t="shared" si="8"/>
        <v>56.339807999999998</v>
      </c>
      <c r="P5" s="22">
        <f>D5*(1+'1'!$Z$4)</f>
        <v>1442000</v>
      </c>
      <c r="Q5" s="22">
        <f>P5*(1+'1'!$AA$4)</f>
        <v>1485260</v>
      </c>
      <c r="R5" s="22">
        <f>Q5*(1+'1'!$AB$4)</f>
        <v>1529817.8</v>
      </c>
      <c r="S5" s="22">
        <f>R5*(1+'1'!$AC$4)</f>
        <v>1575712.334</v>
      </c>
      <c r="T5" s="23">
        <f t="shared" si="9"/>
        <v>59554599.999999993</v>
      </c>
      <c r="U5" s="23">
        <f t="shared" si="10"/>
        <v>71155836.079999998</v>
      </c>
      <c r="V5" s="23">
        <f t="shared" si="11"/>
        <v>82085372.501887992</v>
      </c>
      <c r="W5" s="23">
        <f t="shared" si="12"/>
        <v>88775330.360791877</v>
      </c>
      <c r="X5" s="23"/>
      <c r="Y5" s="28" t="s">
        <v>16</v>
      </c>
      <c r="Z5" s="116">
        <v>2.4E-2</v>
      </c>
      <c r="AA5" s="116">
        <v>2.4E-2</v>
      </c>
      <c r="AB5" s="116">
        <v>2.4E-2</v>
      </c>
      <c r="AC5" s="117">
        <v>2.4E-2</v>
      </c>
    </row>
    <row r="6" spans="1:29" ht="15.75" thickBot="1">
      <c r="A6" s="18">
        <f t="shared" si="13"/>
        <v>4</v>
      </c>
      <c r="B6" s="10"/>
      <c r="C6" s="48">
        <v>0</v>
      </c>
      <c r="D6" s="108">
        <v>0</v>
      </c>
      <c r="E6" s="19">
        <f t="shared" si="4"/>
        <v>0</v>
      </c>
      <c r="F6" s="20">
        <f t="shared" si="5"/>
        <v>0</v>
      </c>
      <c r="G6" s="46">
        <v>0</v>
      </c>
      <c r="H6" s="46">
        <v>0</v>
      </c>
      <c r="I6" s="46">
        <v>0</v>
      </c>
      <c r="J6" s="46">
        <v>0</v>
      </c>
      <c r="K6" s="21"/>
      <c r="L6" s="12">
        <f t="shared" si="1"/>
        <v>0</v>
      </c>
      <c r="M6" s="12">
        <f t="shared" si="6"/>
        <v>0</v>
      </c>
      <c r="N6" s="12">
        <f t="shared" si="7"/>
        <v>0</v>
      </c>
      <c r="O6" s="12">
        <f t="shared" si="8"/>
        <v>0</v>
      </c>
      <c r="P6" s="22">
        <f>D6*(1+'1'!$Z$4)</f>
        <v>0</v>
      </c>
      <c r="Q6" s="22">
        <f>P6*(1+'1'!$AA$4)</f>
        <v>0</v>
      </c>
      <c r="R6" s="22">
        <f>Q6*(1+'1'!$AB$4)</f>
        <v>0</v>
      </c>
      <c r="S6" s="22">
        <f>R6*(1+'1'!$AC$4)</f>
        <v>0</v>
      </c>
      <c r="T6" s="23">
        <f t="shared" si="9"/>
        <v>0</v>
      </c>
      <c r="U6" s="23">
        <f t="shared" si="10"/>
        <v>0</v>
      </c>
      <c r="V6" s="23">
        <f t="shared" si="11"/>
        <v>0</v>
      </c>
      <c r="W6" s="23">
        <f t="shared" si="12"/>
        <v>0</v>
      </c>
      <c r="X6" s="23"/>
    </row>
    <row r="7" spans="1:29" ht="19.5" thickBot="1">
      <c r="A7" s="18">
        <f t="shared" si="13"/>
        <v>5</v>
      </c>
      <c r="B7" s="10"/>
      <c r="C7" s="48">
        <v>0</v>
      </c>
      <c r="D7" s="108">
        <v>0</v>
      </c>
      <c r="E7" s="19">
        <f t="shared" si="4"/>
        <v>0</v>
      </c>
      <c r="F7" s="20">
        <f t="shared" si="5"/>
        <v>0</v>
      </c>
      <c r="G7" s="46">
        <v>0</v>
      </c>
      <c r="H7" s="46">
        <v>0</v>
      </c>
      <c r="I7" s="46">
        <v>0</v>
      </c>
      <c r="J7" s="46">
        <v>0</v>
      </c>
      <c r="K7" s="21"/>
      <c r="L7" s="12">
        <f t="shared" si="1"/>
        <v>0</v>
      </c>
      <c r="M7" s="12">
        <f t="shared" si="6"/>
        <v>0</v>
      </c>
      <c r="N7" s="12">
        <f t="shared" si="7"/>
        <v>0</v>
      </c>
      <c r="O7" s="12">
        <f t="shared" si="8"/>
        <v>0</v>
      </c>
      <c r="P7" s="22">
        <f>D7*(1+'1'!$Z$4)</f>
        <v>0</v>
      </c>
      <c r="Q7" s="22">
        <f>P7*(1+'1'!$AA$4)</f>
        <v>0</v>
      </c>
      <c r="R7" s="22">
        <f>Q7*(1+'1'!$AB$4)</f>
        <v>0</v>
      </c>
      <c r="S7" s="22">
        <f>R7*(1+'1'!$AC$4)</f>
        <v>0</v>
      </c>
      <c r="T7" s="23">
        <f t="shared" si="9"/>
        <v>0</v>
      </c>
      <c r="U7" s="23">
        <f t="shared" si="10"/>
        <v>0</v>
      </c>
      <c r="V7" s="23">
        <f t="shared" si="11"/>
        <v>0</v>
      </c>
      <c r="W7" s="23">
        <f t="shared" si="12"/>
        <v>0</v>
      </c>
      <c r="X7" s="23"/>
      <c r="Y7" s="29" t="s">
        <v>100</v>
      </c>
      <c r="Z7" s="30"/>
      <c r="AA7" s="30"/>
      <c r="AB7" s="118">
        <v>0.33</v>
      </c>
      <c r="AC7" s="31"/>
    </row>
    <row r="8" spans="1:29">
      <c r="A8" s="18">
        <f t="shared" si="13"/>
        <v>6</v>
      </c>
      <c r="B8" s="10"/>
      <c r="C8" s="48">
        <v>0</v>
      </c>
      <c r="D8" s="108">
        <v>0</v>
      </c>
      <c r="E8" s="19">
        <f t="shared" si="4"/>
        <v>0</v>
      </c>
      <c r="F8" s="20">
        <f t="shared" si="5"/>
        <v>0</v>
      </c>
      <c r="G8" s="46">
        <v>0</v>
      </c>
      <c r="H8" s="46">
        <v>0</v>
      </c>
      <c r="I8" s="46">
        <v>0</v>
      </c>
      <c r="J8" s="46">
        <v>0</v>
      </c>
      <c r="K8" s="21"/>
      <c r="L8" s="12">
        <f t="shared" si="1"/>
        <v>0</v>
      </c>
      <c r="M8" s="12">
        <f t="shared" si="6"/>
        <v>0</v>
      </c>
      <c r="N8" s="12">
        <f t="shared" si="7"/>
        <v>0</v>
      </c>
      <c r="O8" s="12">
        <f t="shared" si="8"/>
        <v>0</v>
      </c>
      <c r="P8" s="22">
        <f>D8*(1+'1'!$Z$4)</f>
        <v>0</v>
      </c>
      <c r="Q8" s="22">
        <f>P8*(1+'1'!$AA$4)</f>
        <v>0</v>
      </c>
      <c r="R8" s="22">
        <f>Q8*(1+'1'!$AB$4)</f>
        <v>0</v>
      </c>
      <c r="S8" s="22">
        <f>R8*(1+'1'!$AC$4)</f>
        <v>0</v>
      </c>
      <c r="T8" s="23">
        <f t="shared" si="9"/>
        <v>0</v>
      </c>
      <c r="U8" s="23">
        <f t="shared" si="10"/>
        <v>0</v>
      </c>
      <c r="V8" s="23">
        <f t="shared" si="11"/>
        <v>0</v>
      </c>
      <c r="W8" s="23">
        <f t="shared" si="12"/>
        <v>0</v>
      </c>
      <c r="X8" s="23"/>
    </row>
    <row r="9" spans="1:29">
      <c r="A9" s="18">
        <f t="shared" si="13"/>
        <v>7</v>
      </c>
      <c r="B9" s="10"/>
      <c r="C9" s="48">
        <v>0</v>
      </c>
      <c r="D9" s="108">
        <v>0</v>
      </c>
      <c r="E9" s="19">
        <f t="shared" si="4"/>
        <v>0</v>
      </c>
      <c r="F9" s="20">
        <f t="shared" si="5"/>
        <v>0</v>
      </c>
      <c r="G9" s="46">
        <v>0</v>
      </c>
      <c r="H9" s="46">
        <v>0</v>
      </c>
      <c r="I9" s="46">
        <v>0</v>
      </c>
      <c r="J9" s="46">
        <v>0</v>
      </c>
      <c r="K9" s="21"/>
      <c r="L9" s="12">
        <f t="shared" si="1"/>
        <v>0</v>
      </c>
      <c r="M9" s="12">
        <f t="shared" si="6"/>
        <v>0</v>
      </c>
      <c r="N9" s="12">
        <f t="shared" si="7"/>
        <v>0</v>
      </c>
      <c r="O9" s="12">
        <f t="shared" si="8"/>
        <v>0</v>
      </c>
      <c r="P9" s="22">
        <f>D9*(1+'1'!$Z$4)</f>
        <v>0</v>
      </c>
      <c r="Q9" s="22">
        <f>P9*(1+'1'!$AA$4)</f>
        <v>0</v>
      </c>
      <c r="R9" s="22">
        <f>Q9*(1+'1'!$AB$4)</f>
        <v>0</v>
      </c>
      <c r="S9" s="22">
        <f>R9*(1+'1'!$AC$4)</f>
        <v>0</v>
      </c>
      <c r="T9" s="23">
        <f t="shared" si="9"/>
        <v>0</v>
      </c>
      <c r="U9" s="23">
        <f t="shared" si="10"/>
        <v>0</v>
      </c>
      <c r="V9" s="23">
        <f t="shared" si="11"/>
        <v>0</v>
      </c>
      <c r="W9" s="23">
        <f t="shared" si="12"/>
        <v>0</v>
      </c>
      <c r="X9" s="23"/>
    </row>
    <row r="10" spans="1:29">
      <c r="A10" s="18">
        <f t="shared" si="13"/>
        <v>8</v>
      </c>
      <c r="B10" s="10"/>
      <c r="C10" s="48">
        <v>0</v>
      </c>
      <c r="D10" s="108">
        <v>0</v>
      </c>
      <c r="E10" s="19">
        <f t="shared" si="4"/>
        <v>0</v>
      </c>
      <c r="F10" s="20">
        <f t="shared" si="5"/>
        <v>0</v>
      </c>
      <c r="G10" s="46">
        <v>0</v>
      </c>
      <c r="H10" s="46">
        <v>0</v>
      </c>
      <c r="I10" s="46">
        <v>0</v>
      </c>
      <c r="J10" s="46">
        <v>0</v>
      </c>
      <c r="K10" s="21"/>
      <c r="L10" s="12">
        <f t="shared" si="1"/>
        <v>0</v>
      </c>
      <c r="M10" s="12">
        <f t="shared" si="6"/>
        <v>0</v>
      </c>
      <c r="N10" s="12">
        <f t="shared" si="7"/>
        <v>0</v>
      </c>
      <c r="O10" s="12">
        <f t="shared" si="8"/>
        <v>0</v>
      </c>
      <c r="P10" s="22">
        <f>D10*(1+'1'!$Z$4)</f>
        <v>0</v>
      </c>
      <c r="Q10" s="22">
        <f>P10*(1+'1'!$AA$4)</f>
        <v>0</v>
      </c>
      <c r="R10" s="22">
        <f>Q10*(1+'1'!$AB$4)</f>
        <v>0</v>
      </c>
      <c r="S10" s="22">
        <f>R10*(1+'1'!$AC$4)</f>
        <v>0</v>
      </c>
      <c r="T10" s="23">
        <f t="shared" si="9"/>
        <v>0</v>
      </c>
      <c r="U10" s="23">
        <f t="shared" si="10"/>
        <v>0</v>
      </c>
      <c r="V10" s="23">
        <f t="shared" si="11"/>
        <v>0</v>
      </c>
      <c r="W10" s="23">
        <f t="shared" si="12"/>
        <v>0</v>
      </c>
      <c r="X10" s="23"/>
    </row>
    <row r="11" spans="1:29">
      <c r="A11" s="18">
        <f t="shared" si="13"/>
        <v>9</v>
      </c>
      <c r="B11" s="10"/>
      <c r="C11" s="48">
        <v>0</v>
      </c>
      <c r="D11" s="108">
        <v>0</v>
      </c>
      <c r="E11" s="19">
        <f t="shared" si="4"/>
        <v>0</v>
      </c>
      <c r="F11" s="20">
        <f t="shared" si="5"/>
        <v>0</v>
      </c>
      <c r="G11" s="46">
        <v>0</v>
      </c>
      <c r="H11" s="46">
        <v>0</v>
      </c>
      <c r="I11" s="46">
        <v>0</v>
      </c>
      <c r="J11" s="46">
        <v>0</v>
      </c>
      <c r="K11" s="21"/>
      <c r="L11" s="12">
        <f t="shared" si="1"/>
        <v>0</v>
      </c>
      <c r="M11" s="12">
        <f t="shared" si="6"/>
        <v>0</v>
      </c>
      <c r="N11" s="12">
        <f t="shared" si="7"/>
        <v>0</v>
      </c>
      <c r="O11" s="12">
        <f t="shared" si="8"/>
        <v>0</v>
      </c>
      <c r="P11" s="22">
        <f>D11*(1+'1'!$Z$4)</f>
        <v>0</v>
      </c>
      <c r="Q11" s="22">
        <f>P11*(1+'1'!$AA$4)</f>
        <v>0</v>
      </c>
      <c r="R11" s="22">
        <f>Q11*(1+'1'!$AB$4)</f>
        <v>0</v>
      </c>
      <c r="S11" s="22">
        <f>R11*(1+'1'!$AC$4)</f>
        <v>0</v>
      </c>
      <c r="T11" s="23">
        <f t="shared" si="9"/>
        <v>0</v>
      </c>
      <c r="U11" s="23">
        <f t="shared" si="10"/>
        <v>0</v>
      </c>
      <c r="V11" s="23">
        <f t="shared" si="11"/>
        <v>0</v>
      </c>
      <c r="W11" s="23">
        <f t="shared" si="12"/>
        <v>0</v>
      </c>
      <c r="X11" s="23"/>
    </row>
    <row r="12" spans="1:29">
      <c r="A12" s="18">
        <f t="shared" si="13"/>
        <v>10</v>
      </c>
      <c r="B12" s="10"/>
      <c r="C12" s="48">
        <v>0</v>
      </c>
      <c r="D12" s="108">
        <v>0</v>
      </c>
      <c r="E12" s="19">
        <f t="shared" si="4"/>
        <v>0</v>
      </c>
      <c r="F12" s="20">
        <f t="shared" si="5"/>
        <v>0</v>
      </c>
      <c r="G12" s="46">
        <v>0</v>
      </c>
      <c r="H12" s="46">
        <v>0</v>
      </c>
      <c r="I12" s="46">
        <v>0</v>
      </c>
      <c r="J12" s="46">
        <v>0</v>
      </c>
      <c r="K12" s="21"/>
      <c r="L12" s="12">
        <f t="shared" si="1"/>
        <v>0</v>
      </c>
      <c r="M12" s="12">
        <f t="shared" si="6"/>
        <v>0</v>
      </c>
      <c r="N12" s="12">
        <f t="shared" si="7"/>
        <v>0</v>
      </c>
      <c r="O12" s="12">
        <f t="shared" si="8"/>
        <v>0</v>
      </c>
      <c r="P12" s="22">
        <f>D12*(1+'1'!$Z$4)</f>
        <v>0</v>
      </c>
      <c r="Q12" s="22">
        <f>P12*(1+'1'!$AA$4)</f>
        <v>0</v>
      </c>
      <c r="R12" s="22">
        <f>Q12*(1+'1'!$AB$4)</f>
        <v>0</v>
      </c>
      <c r="S12" s="22">
        <f>R12*(1+'1'!$AC$4)</f>
        <v>0</v>
      </c>
      <c r="T12" s="23">
        <f t="shared" si="9"/>
        <v>0</v>
      </c>
      <c r="U12" s="23">
        <f t="shared" si="10"/>
        <v>0</v>
      </c>
      <c r="V12" s="23">
        <f t="shared" si="11"/>
        <v>0</v>
      </c>
      <c r="W12" s="23">
        <f t="shared" si="12"/>
        <v>0</v>
      </c>
      <c r="X12" s="23"/>
    </row>
    <row r="13" spans="1:29">
      <c r="D13" s="12" t="s">
        <v>9</v>
      </c>
      <c r="E13" s="32">
        <f>SUM(E3:E12)</f>
        <v>110400000</v>
      </c>
      <c r="F13" s="33">
        <f>SUM(F3:F12)</f>
        <v>1</v>
      </c>
      <c r="T13" s="34">
        <f>SUM(T3:T12)</f>
        <v>134180160</v>
      </c>
      <c r="U13" s="34">
        <f>SUM(U3:U12)</f>
        <v>160318455.16799998</v>
      </c>
      <c r="V13" s="34">
        <f>SUM(V3:V12)</f>
        <v>184943369.88180479</v>
      </c>
      <c r="W13" s="34">
        <f>SUM(W3:W12)</f>
        <v>200016254.52717191</v>
      </c>
      <c r="X13" s="23"/>
    </row>
    <row r="15" spans="1:29" ht="23.25" customHeight="1">
      <c r="A15" s="131" t="s">
        <v>6</v>
      </c>
      <c r="B15" s="131"/>
      <c r="C15" s="131"/>
      <c r="D15" s="131"/>
      <c r="E15" s="131"/>
      <c r="G15" s="35"/>
    </row>
    <row r="16" spans="1:29" ht="23.25">
      <c r="B16" s="15" t="s">
        <v>3</v>
      </c>
      <c r="C16" s="36" t="s">
        <v>0</v>
      </c>
      <c r="D16" s="15" t="s">
        <v>8</v>
      </c>
      <c r="E16" s="16" t="s">
        <v>2</v>
      </c>
      <c r="L16" s="12">
        <f>L2</f>
        <v>2020</v>
      </c>
      <c r="M16" s="12">
        <f t="shared" ref="M16:W16" si="14">M2</f>
        <v>2021</v>
      </c>
      <c r="N16" s="12">
        <f t="shared" si="14"/>
        <v>2022</v>
      </c>
      <c r="O16" s="12">
        <f t="shared" si="14"/>
        <v>2023</v>
      </c>
      <c r="P16" s="12" t="str">
        <f t="shared" si="14"/>
        <v>AÑO 2</v>
      </c>
      <c r="Q16" s="12" t="str">
        <f t="shared" si="14"/>
        <v>AÑO 3</v>
      </c>
      <c r="R16" s="12" t="str">
        <f t="shared" si="14"/>
        <v>AÑO 4</v>
      </c>
      <c r="S16" s="12" t="str">
        <f t="shared" si="14"/>
        <v>AÑO 5</v>
      </c>
      <c r="T16" s="12" t="str">
        <f t="shared" si="14"/>
        <v>año 2</v>
      </c>
      <c r="U16" s="12" t="str">
        <f t="shared" si="14"/>
        <v>año 3</v>
      </c>
      <c r="V16" s="12" t="str">
        <f t="shared" si="14"/>
        <v>año 4</v>
      </c>
      <c r="W16" s="12" t="str">
        <f t="shared" si="14"/>
        <v>año 5</v>
      </c>
    </row>
    <row r="17" spans="1:24">
      <c r="A17" s="18">
        <f>A3</f>
        <v>1</v>
      </c>
      <c r="B17" s="94" t="str">
        <f>B3</f>
        <v>FORMACION</v>
      </c>
      <c r="C17" s="38">
        <f>C3</f>
        <v>32</v>
      </c>
      <c r="D17" s="11">
        <v>0</v>
      </c>
      <c r="E17" s="19">
        <f>C17*D17</f>
        <v>0</v>
      </c>
      <c r="F17" s="20">
        <f>IF($E$27=0,0,E17/$E$27)</f>
        <v>0</v>
      </c>
      <c r="L17" s="12">
        <f t="shared" ref="L17:L26" si="15">C17*(1+G3)</f>
        <v>37.76</v>
      </c>
      <c r="M17" s="12">
        <f>L17*(1+H3)</f>
        <v>43.801599999999993</v>
      </c>
      <c r="N17" s="12">
        <f t="shared" ref="N17:O17" si="16">M17*(1+I3)</f>
        <v>49.057791999999999</v>
      </c>
      <c r="O17" s="12">
        <f t="shared" si="16"/>
        <v>51.510681599999998</v>
      </c>
      <c r="P17" s="39">
        <f>D17*(1+'1'!$Z$5)</f>
        <v>0</v>
      </c>
      <c r="Q17" s="22">
        <f>P17*(1+'1'!$AA$5)</f>
        <v>0</v>
      </c>
      <c r="R17" s="22">
        <f>Q17*(1+'1'!$AB$5)</f>
        <v>0</v>
      </c>
      <c r="S17" s="22">
        <f>R17*(1+'1'!$AC$5)</f>
        <v>0</v>
      </c>
      <c r="T17" s="39">
        <f t="shared" ref="T17:U19" si="17">L17*P17</f>
        <v>0</v>
      </c>
      <c r="U17" s="23">
        <f t="shared" si="17"/>
        <v>0</v>
      </c>
      <c r="V17" s="23">
        <f t="shared" ref="V17:W17" si="18">N17*R17</f>
        <v>0</v>
      </c>
      <c r="W17" s="23">
        <f t="shared" si="18"/>
        <v>0</v>
      </c>
      <c r="X17" s="23"/>
    </row>
    <row r="18" spans="1:24">
      <c r="A18" s="18">
        <f t="shared" ref="A18:B25" si="19">A4</f>
        <v>2</v>
      </c>
      <c r="B18" s="40" t="str">
        <f t="shared" si="19"/>
        <v>ESCENA</v>
      </c>
      <c r="C18" s="38">
        <f t="shared" ref="C18:C26" si="20">C4</f>
        <v>23</v>
      </c>
      <c r="D18" s="11">
        <v>0</v>
      </c>
      <c r="E18" s="19">
        <f t="shared" ref="E18:E26" si="21">C18*D18</f>
        <v>0</v>
      </c>
      <c r="F18" s="20">
        <f t="shared" ref="F18:F26" si="22">IF($E$27=0,0,E18/$E$27)</f>
        <v>0</v>
      </c>
      <c r="L18" s="12">
        <f t="shared" si="15"/>
        <v>27.139999999999997</v>
      </c>
      <c r="M18" s="12">
        <f t="shared" ref="M18:M26" si="23">L18*(1+H4)</f>
        <v>31.482399999999995</v>
      </c>
      <c r="N18" s="12">
        <f t="shared" ref="N18:N26" si="24">M18*(1+I4)</f>
        <v>35.260287999999996</v>
      </c>
      <c r="O18" s="12">
        <f t="shared" ref="O18:O26" si="25">N18*(1+J4)</f>
        <v>37.023302399999999</v>
      </c>
      <c r="P18" s="39">
        <f>D18*(1+'1'!$Z$5)</f>
        <v>0</v>
      </c>
      <c r="Q18" s="22">
        <f>P18*(1+'1'!$AA$5)</f>
        <v>0</v>
      </c>
      <c r="R18" s="22">
        <f>Q18*(1+'1'!$AB$5)</f>
        <v>0</v>
      </c>
      <c r="S18" s="22">
        <f>R18*(1+'1'!$AC$5)</f>
        <v>0</v>
      </c>
      <c r="T18" s="39">
        <f t="shared" si="17"/>
        <v>0</v>
      </c>
      <c r="U18" s="23">
        <f t="shared" si="17"/>
        <v>0</v>
      </c>
      <c r="V18" s="23">
        <f t="shared" ref="V18:V26" si="26">N18*R18</f>
        <v>0</v>
      </c>
      <c r="W18" s="23">
        <f t="shared" ref="W18:W26" si="27">O18*S18</f>
        <v>0</v>
      </c>
      <c r="X18" s="23"/>
    </row>
    <row r="19" spans="1:24">
      <c r="A19" s="18">
        <f t="shared" si="19"/>
        <v>3</v>
      </c>
      <c r="B19" s="40" t="str">
        <f t="shared" si="19"/>
        <v>CREACION</v>
      </c>
      <c r="C19" s="38">
        <f t="shared" si="20"/>
        <v>35</v>
      </c>
      <c r="D19" s="11">
        <v>0</v>
      </c>
      <c r="E19" s="19">
        <f t="shared" si="21"/>
        <v>0</v>
      </c>
      <c r="F19" s="20">
        <f t="shared" si="22"/>
        <v>0</v>
      </c>
      <c r="L19" s="12">
        <f t="shared" si="15"/>
        <v>41.3</v>
      </c>
      <c r="M19" s="12">
        <f t="shared" si="23"/>
        <v>47.907999999999994</v>
      </c>
      <c r="N19" s="12">
        <f t="shared" si="24"/>
        <v>53.656959999999998</v>
      </c>
      <c r="O19" s="12">
        <f t="shared" si="25"/>
        <v>56.339807999999998</v>
      </c>
      <c r="P19" s="39">
        <f>D19*(1+'1'!$Z$5)</f>
        <v>0</v>
      </c>
      <c r="Q19" s="22">
        <f>P19*(1+'1'!$AA$5)</f>
        <v>0</v>
      </c>
      <c r="R19" s="22">
        <f>Q19*(1+'1'!$AB$5)</f>
        <v>0</v>
      </c>
      <c r="S19" s="22">
        <f>R19*(1+'1'!$AC$5)</f>
        <v>0</v>
      </c>
      <c r="T19" s="39">
        <f t="shared" si="17"/>
        <v>0</v>
      </c>
      <c r="U19" s="23">
        <f t="shared" si="17"/>
        <v>0</v>
      </c>
      <c r="V19" s="23">
        <f t="shared" si="26"/>
        <v>0</v>
      </c>
      <c r="W19" s="23">
        <f t="shared" si="27"/>
        <v>0</v>
      </c>
      <c r="X19" s="23"/>
    </row>
    <row r="20" spans="1:24">
      <c r="A20" s="18">
        <f t="shared" si="19"/>
        <v>4</v>
      </c>
      <c r="B20" s="40">
        <f t="shared" si="19"/>
        <v>0</v>
      </c>
      <c r="C20" s="38">
        <f t="shared" si="20"/>
        <v>0</v>
      </c>
      <c r="D20" s="11">
        <v>0</v>
      </c>
      <c r="E20" s="19">
        <f t="shared" si="21"/>
        <v>0</v>
      </c>
      <c r="F20" s="20">
        <f t="shared" si="22"/>
        <v>0</v>
      </c>
      <c r="L20" s="12">
        <f t="shared" si="15"/>
        <v>0</v>
      </c>
      <c r="M20" s="12">
        <f t="shared" si="23"/>
        <v>0</v>
      </c>
      <c r="N20" s="12">
        <f t="shared" si="24"/>
        <v>0</v>
      </c>
      <c r="O20" s="12">
        <f t="shared" si="25"/>
        <v>0</v>
      </c>
      <c r="P20" s="39">
        <f>D20*(1+'1'!$Z$5)</f>
        <v>0</v>
      </c>
      <c r="Q20" s="22">
        <f>P20*(1+'1'!$AA$5)</f>
        <v>0</v>
      </c>
      <c r="R20" s="22">
        <f>Q20*(1+'1'!$AB$5)</f>
        <v>0</v>
      </c>
      <c r="S20" s="22">
        <f>R20*(1+'1'!$AC$5)</f>
        <v>0</v>
      </c>
      <c r="T20" s="39">
        <f t="shared" ref="T20:T26" si="28">L20*P20</f>
        <v>0</v>
      </c>
      <c r="U20" s="23">
        <f t="shared" ref="U20:U26" si="29">M20*Q20</f>
        <v>0</v>
      </c>
      <c r="V20" s="23">
        <f t="shared" si="26"/>
        <v>0</v>
      </c>
      <c r="W20" s="23">
        <f t="shared" si="27"/>
        <v>0</v>
      </c>
      <c r="X20" s="23"/>
    </row>
    <row r="21" spans="1:24">
      <c r="A21" s="18">
        <f t="shared" si="19"/>
        <v>5</v>
      </c>
      <c r="B21" s="40">
        <f t="shared" si="19"/>
        <v>0</v>
      </c>
      <c r="C21" s="38">
        <f t="shared" si="20"/>
        <v>0</v>
      </c>
      <c r="D21" s="11">
        <v>0</v>
      </c>
      <c r="E21" s="19">
        <f t="shared" si="21"/>
        <v>0</v>
      </c>
      <c r="F21" s="20">
        <f t="shared" si="22"/>
        <v>0</v>
      </c>
      <c r="L21" s="12">
        <f t="shared" si="15"/>
        <v>0</v>
      </c>
      <c r="M21" s="12">
        <f t="shared" si="23"/>
        <v>0</v>
      </c>
      <c r="N21" s="12">
        <f t="shared" si="24"/>
        <v>0</v>
      </c>
      <c r="O21" s="12">
        <f t="shared" si="25"/>
        <v>0</v>
      </c>
      <c r="P21" s="39">
        <f>D21*(1+'1'!$Z$5)</f>
        <v>0</v>
      </c>
      <c r="Q21" s="22">
        <f>P21*(1+'1'!$AA$5)</f>
        <v>0</v>
      </c>
      <c r="R21" s="22">
        <f>Q21*(1+'1'!$AB$5)</f>
        <v>0</v>
      </c>
      <c r="S21" s="22">
        <f>R21*(1+'1'!$AC$5)</f>
        <v>0</v>
      </c>
      <c r="T21" s="39">
        <f t="shared" si="28"/>
        <v>0</v>
      </c>
      <c r="U21" s="23">
        <f t="shared" si="29"/>
        <v>0</v>
      </c>
      <c r="V21" s="23">
        <f t="shared" si="26"/>
        <v>0</v>
      </c>
      <c r="W21" s="23">
        <f t="shared" si="27"/>
        <v>0</v>
      </c>
      <c r="X21" s="23"/>
    </row>
    <row r="22" spans="1:24">
      <c r="A22" s="18">
        <f t="shared" si="19"/>
        <v>6</v>
      </c>
      <c r="B22" s="40">
        <f t="shared" si="19"/>
        <v>0</v>
      </c>
      <c r="C22" s="38">
        <f t="shared" si="20"/>
        <v>0</v>
      </c>
      <c r="D22" s="11">
        <v>0</v>
      </c>
      <c r="E22" s="19">
        <f t="shared" si="21"/>
        <v>0</v>
      </c>
      <c r="F22" s="20">
        <f t="shared" si="22"/>
        <v>0</v>
      </c>
      <c r="L22" s="12">
        <f t="shared" si="15"/>
        <v>0</v>
      </c>
      <c r="M22" s="12">
        <f t="shared" si="23"/>
        <v>0</v>
      </c>
      <c r="N22" s="12">
        <f t="shared" si="24"/>
        <v>0</v>
      </c>
      <c r="O22" s="12">
        <f t="shared" si="25"/>
        <v>0</v>
      </c>
      <c r="P22" s="39">
        <f>D22*(1+'1'!$Z$5)</f>
        <v>0</v>
      </c>
      <c r="Q22" s="22">
        <f>P22*(1+'1'!$AA$5)</f>
        <v>0</v>
      </c>
      <c r="R22" s="22">
        <f>Q22*(1+'1'!$AB$5)</f>
        <v>0</v>
      </c>
      <c r="S22" s="22">
        <f>R22*(1+'1'!$AC$5)</f>
        <v>0</v>
      </c>
      <c r="T22" s="39">
        <f t="shared" si="28"/>
        <v>0</v>
      </c>
      <c r="U22" s="23">
        <f t="shared" si="29"/>
        <v>0</v>
      </c>
      <c r="V22" s="23">
        <f t="shared" si="26"/>
        <v>0</v>
      </c>
      <c r="W22" s="23">
        <f t="shared" si="27"/>
        <v>0</v>
      </c>
      <c r="X22" s="23"/>
    </row>
    <row r="23" spans="1:24">
      <c r="A23" s="18">
        <f t="shared" si="19"/>
        <v>7</v>
      </c>
      <c r="B23" s="40">
        <f t="shared" si="19"/>
        <v>0</v>
      </c>
      <c r="C23" s="38">
        <f t="shared" si="20"/>
        <v>0</v>
      </c>
      <c r="D23" s="11">
        <v>0</v>
      </c>
      <c r="E23" s="19">
        <f t="shared" si="21"/>
        <v>0</v>
      </c>
      <c r="F23" s="20">
        <f t="shared" si="22"/>
        <v>0</v>
      </c>
      <c r="L23" s="12">
        <f t="shared" si="15"/>
        <v>0</v>
      </c>
      <c r="M23" s="12">
        <f t="shared" si="23"/>
        <v>0</v>
      </c>
      <c r="N23" s="12">
        <f t="shared" si="24"/>
        <v>0</v>
      </c>
      <c r="O23" s="12">
        <f t="shared" si="25"/>
        <v>0</v>
      </c>
      <c r="P23" s="39">
        <f>D23*(1+'1'!$Z$5)</f>
        <v>0</v>
      </c>
      <c r="Q23" s="22">
        <f>P23*(1+'1'!$AA$5)</f>
        <v>0</v>
      </c>
      <c r="R23" s="22">
        <f>Q23*(1+'1'!$AB$5)</f>
        <v>0</v>
      </c>
      <c r="S23" s="22">
        <f>R23*(1+'1'!$AC$5)</f>
        <v>0</v>
      </c>
      <c r="T23" s="39">
        <f t="shared" si="28"/>
        <v>0</v>
      </c>
      <c r="U23" s="23">
        <f t="shared" si="29"/>
        <v>0</v>
      </c>
      <c r="V23" s="23">
        <f t="shared" si="26"/>
        <v>0</v>
      </c>
      <c r="W23" s="23">
        <f t="shared" si="27"/>
        <v>0</v>
      </c>
      <c r="X23" s="23"/>
    </row>
    <row r="24" spans="1:24">
      <c r="A24" s="18">
        <f t="shared" si="19"/>
        <v>8</v>
      </c>
      <c r="B24" s="40">
        <f t="shared" si="19"/>
        <v>0</v>
      </c>
      <c r="C24" s="38">
        <f t="shared" si="20"/>
        <v>0</v>
      </c>
      <c r="D24" s="11">
        <v>0</v>
      </c>
      <c r="E24" s="19">
        <f t="shared" si="21"/>
        <v>0</v>
      </c>
      <c r="F24" s="20">
        <f t="shared" si="22"/>
        <v>0</v>
      </c>
      <c r="L24" s="12">
        <f t="shared" si="15"/>
        <v>0</v>
      </c>
      <c r="M24" s="12">
        <f t="shared" si="23"/>
        <v>0</v>
      </c>
      <c r="N24" s="12">
        <f t="shared" si="24"/>
        <v>0</v>
      </c>
      <c r="O24" s="12">
        <f t="shared" si="25"/>
        <v>0</v>
      </c>
      <c r="P24" s="39">
        <f>D24*(1+'1'!$Z$5)</f>
        <v>0</v>
      </c>
      <c r="Q24" s="22">
        <f>P24*(1+'1'!$AA$5)</f>
        <v>0</v>
      </c>
      <c r="R24" s="22">
        <f>Q24*(1+'1'!$AB$5)</f>
        <v>0</v>
      </c>
      <c r="S24" s="22">
        <f>R24*(1+'1'!$AC$5)</f>
        <v>0</v>
      </c>
      <c r="T24" s="39">
        <f t="shared" si="28"/>
        <v>0</v>
      </c>
      <c r="U24" s="23">
        <f t="shared" si="29"/>
        <v>0</v>
      </c>
      <c r="V24" s="23">
        <f t="shared" si="26"/>
        <v>0</v>
      </c>
      <c r="W24" s="23">
        <f t="shared" si="27"/>
        <v>0</v>
      </c>
      <c r="X24" s="23"/>
    </row>
    <row r="25" spans="1:24">
      <c r="A25" s="18">
        <f t="shared" si="19"/>
        <v>9</v>
      </c>
      <c r="B25" s="40">
        <f t="shared" si="19"/>
        <v>0</v>
      </c>
      <c r="C25" s="38">
        <f t="shared" si="20"/>
        <v>0</v>
      </c>
      <c r="D25" s="11">
        <v>0</v>
      </c>
      <c r="E25" s="19">
        <f t="shared" si="21"/>
        <v>0</v>
      </c>
      <c r="F25" s="20">
        <f t="shared" si="22"/>
        <v>0</v>
      </c>
      <c r="L25" s="12">
        <f t="shared" si="15"/>
        <v>0</v>
      </c>
      <c r="M25" s="12">
        <f t="shared" si="23"/>
        <v>0</v>
      </c>
      <c r="N25" s="12">
        <f t="shared" si="24"/>
        <v>0</v>
      </c>
      <c r="O25" s="12">
        <f t="shared" si="25"/>
        <v>0</v>
      </c>
      <c r="P25" s="39">
        <f>D25*(1+'1'!$Z$5)</f>
        <v>0</v>
      </c>
      <c r="Q25" s="22">
        <f>P25*(1+'1'!$AA$5)</f>
        <v>0</v>
      </c>
      <c r="R25" s="22">
        <f>Q25*(1+'1'!$AB$5)</f>
        <v>0</v>
      </c>
      <c r="S25" s="22">
        <f>R25*(1+'1'!$AC$5)</f>
        <v>0</v>
      </c>
      <c r="T25" s="39">
        <f t="shared" si="28"/>
        <v>0</v>
      </c>
      <c r="U25" s="23">
        <f t="shared" si="29"/>
        <v>0</v>
      </c>
      <c r="V25" s="23">
        <f t="shared" si="26"/>
        <v>0</v>
      </c>
      <c r="W25" s="23">
        <f t="shared" si="27"/>
        <v>0</v>
      </c>
      <c r="X25" s="23"/>
    </row>
    <row r="26" spans="1:24">
      <c r="A26" s="18">
        <f>A12</f>
        <v>10</v>
      </c>
      <c r="B26" s="40">
        <f t="shared" ref="B26" si="30">B12</f>
        <v>0</v>
      </c>
      <c r="C26" s="38">
        <f t="shared" si="20"/>
        <v>0</v>
      </c>
      <c r="D26" s="11">
        <v>0</v>
      </c>
      <c r="E26" s="19">
        <f t="shared" si="21"/>
        <v>0</v>
      </c>
      <c r="F26" s="20">
        <f t="shared" si="22"/>
        <v>0</v>
      </c>
      <c r="L26" s="12">
        <f t="shared" si="15"/>
        <v>0</v>
      </c>
      <c r="M26" s="12">
        <f t="shared" si="23"/>
        <v>0</v>
      </c>
      <c r="N26" s="12">
        <f t="shared" si="24"/>
        <v>0</v>
      </c>
      <c r="O26" s="12">
        <f t="shared" si="25"/>
        <v>0</v>
      </c>
      <c r="P26" s="39">
        <f>D26*(1+'1'!$Z$5)</f>
        <v>0</v>
      </c>
      <c r="Q26" s="22">
        <f>P26*(1+'1'!$AA$5)</f>
        <v>0</v>
      </c>
      <c r="R26" s="22">
        <f>Q26*(1+'1'!$AB$5)</f>
        <v>0</v>
      </c>
      <c r="S26" s="22">
        <f>R26*(1+'1'!$AC$5)</f>
        <v>0</v>
      </c>
      <c r="T26" s="39">
        <f t="shared" si="28"/>
        <v>0</v>
      </c>
      <c r="U26" s="23">
        <f t="shared" si="29"/>
        <v>0</v>
      </c>
      <c r="V26" s="23">
        <f t="shared" si="26"/>
        <v>0</v>
      </c>
      <c r="W26" s="23">
        <f t="shared" si="27"/>
        <v>0</v>
      </c>
      <c r="X26" s="23"/>
    </row>
    <row r="27" spans="1:24">
      <c r="D27" s="12" t="str">
        <f>D13</f>
        <v>TOTAL</v>
      </c>
      <c r="E27" s="32">
        <f>SUM(E17:E26)</f>
        <v>0</v>
      </c>
      <c r="F27" s="33">
        <f>SUM(F17:F26)</f>
        <v>0</v>
      </c>
      <c r="T27" s="34">
        <f>SUM(T17:T26)</f>
        <v>0</v>
      </c>
      <c r="U27" s="34">
        <f>SUM(U17:U26)</f>
        <v>0</v>
      </c>
      <c r="V27" s="34">
        <f t="shared" ref="V27:W27" si="31">SUM(V17:V26)</f>
        <v>0</v>
      </c>
      <c r="W27" s="34">
        <f t="shared" si="31"/>
        <v>0</v>
      </c>
      <c r="X27" s="23"/>
    </row>
    <row r="30" spans="1:24">
      <c r="A30" s="130" t="s">
        <v>20</v>
      </c>
      <c r="B30" s="130"/>
      <c r="C30" s="130"/>
      <c r="D30" s="130"/>
      <c r="E30" s="130"/>
      <c r="F30" s="130"/>
    </row>
    <row r="31" spans="1:24" ht="26.25">
      <c r="A31" s="41" t="s">
        <v>11</v>
      </c>
      <c r="B31" s="42">
        <f>'1'!Z1</f>
        <v>2019</v>
      </c>
      <c r="C31" s="42">
        <f>B31+1</f>
        <v>2020</v>
      </c>
      <c r="D31" s="42">
        <f>C31+1</f>
        <v>2021</v>
      </c>
      <c r="E31" s="42">
        <f>D31+1</f>
        <v>2022</v>
      </c>
      <c r="F31" s="42">
        <f>E31+1</f>
        <v>2023</v>
      </c>
      <c r="H31" s="43"/>
      <c r="I31" s="43"/>
      <c r="J31" s="43"/>
      <c r="K31" s="43"/>
      <c r="L31" s="43"/>
      <c r="M31" s="43"/>
      <c r="N31" s="43"/>
      <c r="O31" s="43"/>
      <c r="P31" s="43"/>
      <c r="Q31" s="43"/>
      <c r="R31" s="43"/>
      <c r="S31" s="43"/>
      <c r="T31" s="43"/>
      <c r="U31" s="43"/>
      <c r="V31" s="43"/>
    </row>
    <row r="32" spans="1:24">
      <c r="A32" s="44" t="s">
        <v>21</v>
      </c>
      <c r="B32" s="19">
        <f>'1'!E13</f>
        <v>110400000</v>
      </c>
      <c r="C32" s="106">
        <f>'1'!T13</f>
        <v>134180160</v>
      </c>
      <c r="D32" s="106">
        <f>'1'!U13</f>
        <v>160318455.16799998</v>
      </c>
      <c r="E32" s="106">
        <f>'1'!V13</f>
        <v>184943369.88180479</v>
      </c>
      <c r="F32" s="106">
        <f>'1'!W13</f>
        <v>200016254.52717191</v>
      </c>
    </row>
    <row r="33" spans="1:6">
      <c r="A33" s="44" t="s">
        <v>22</v>
      </c>
      <c r="B33" s="19">
        <f>'1'!E27</f>
        <v>0</v>
      </c>
      <c r="C33" s="19">
        <f>'1'!T27</f>
        <v>0</v>
      </c>
      <c r="D33" s="19">
        <f>'1'!U27</f>
        <v>0</v>
      </c>
      <c r="E33" s="19">
        <f>'1'!V27</f>
        <v>0</v>
      </c>
      <c r="F33" s="19">
        <f>'1'!W27</f>
        <v>0</v>
      </c>
    </row>
    <row r="34" spans="1:6" ht="15.75" thickBot="1">
      <c r="A34" s="45" t="s">
        <v>23</v>
      </c>
      <c r="B34" s="107">
        <f>B32-B33</f>
        <v>110400000</v>
      </c>
      <c r="C34" s="107">
        <f t="shared" ref="C34:D34" si="32">C32-C33</f>
        <v>134180160</v>
      </c>
      <c r="D34" s="107">
        <f t="shared" si="32"/>
        <v>160318455.16799998</v>
      </c>
      <c r="E34" s="107">
        <f t="shared" ref="E34" si="33">E32-E33</f>
        <v>184943369.88180479</v>
      </c>
      <c r="F34" s="107">
        <f t="shared" ref="F34" si="34">F32-F33</f>
        <v>200016254.52717191</v>
      </c>
    </row>
    <row r="35" spans="1:6" ht="15.75" thickTop="1"/>
  </sheetData>
  <sheetProtection algorithmName="SHA-512" hashValue="MDXrLmYw+bgs7fSz3QftqVMrDSemsQ9hnTVaUEQjHA0wsFmyWFCDXbc7Fl0FT+FT73mjguadEXkJmQ8syt35Xg==" saltValue="WTDdtBkKPlWSf8FKSMTkRg==" spinCount="100000" sheet="1" objects="1" scenarios="1" formatCells="0" formatColumns="0" formatRows="0"/>
  <mergeCells count="4">
    <mergeCell ref="A30:F30"/>
    <mergeCell ref="A1:E1"/>
    <mergeCell ref="A15:E15"/>
    <mergeCell ref="G1:J1"/>
  </mergeCells>
  <conditionalFormatting sqref="B34:F34">
    <cfRule type="cellIs" dxfId="6"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H31"/>
  <sheetViews>
    <sheetView showGridLines="0" showRowColHeaders="0" workbookViewId="0">
      <pane ySplit="14" topLeftCell="A15" activePane="bottomLeft" state="frozenSplit"/>
      <selection activeCell="B40" sqref="B40"/>
      <selection pane="bottomLeft" activeCell="C5" sqref="C5:C6"/>
    </sheetView>
  </sheetViews>
  <sheetFormatPr baseColWidth="10" defaultRowHeight="15"/>
  <cols>
    <col min="1" max="1" width="5.42578125" style="12" customWidth="1"/>
    <col min="2" max="2" width="29.42578125" style="12" bestFit="1" customWidth="1"/>
    <col min="3" max="3" width="20.28515625" style="12" customWidth="1"/>
    <col min="4" max="4" width="11.42578125" style="12"/>
    <col min="5" max="5" width="23.28515625" style="12" customWidth="1"/>
    <col min="6" max="6" width="17.7109375" style="12" bestFit="1" customWidth="1"/>
    <col min="7" max="7" width="15.5703125" style="12" bestFit="1" customWidth="1"/>
    <col min="8" max="16384" width="11.42578125" style="12"/>
  </cols>
  <sheetData>
    <row r="1" spans="2:8">
      <c r="B1" s="133" t="s">
        <v>143</v>
      </c>
      <c r="C1" s="133"/>
      <c r="D1" s="133"/>
      <c r="E1" s="133"/>
      <c r="F1" s="133"/>
      <c r="G1" s="133"/>
      <c r="H1" s="133"/>
    </row>
    <row r="2" spans="2:8" ht="3.75" customHeight="1">
      <c r="B2" s="133"/>
      <c r="C2" s="133"/>
      <c r="D2" s="133"/>
      <c r="E2" s="133"/>
      <c r="F2" s="133"/>
      <c r="G2" s="133"/>
      <c r="H2" s="133"/>
    </row>
    <row r="3" spans="2:8">
      <c r="C3" s="18" t="s">
        <v>56</v>
      </c>
      <c r="F3" s="63" t="s">
        <v>101</v>
      </c>
      <c r="G3" s="63"/>
    </row>
    <row r="4" spans="2:8">
      <c r="B4" s="45" t="s">
        <v>47</v>
      </c>
      <c r="C4" s="108">
        <v>0</v>
      </c>
      <c r="F4" s="63"/>
      <c r="G4" s="63"/>
    </row>
    <row r="5" spans="2:8">
      <c r="B5" s="45" t="s">
        <v>50</v>
      </c>
      <c r="C5" s="108">
        <v>8145000</v>
      </c>
      <c r="F5" s="63">
        <v>10</v>
      </c>
      <c r="G5" s="64">
        <f>C5/F5</f>
        <v>814500</v>
      </c>
    </row>
    <row r="6" spans="2:8">
      <c r="B6" s="45" t="s">
        <v>48</v>
      </c>
      <c r="C6" s="108">
        <v>5000000</v>
      </c>
      <c r="F6" s="63">
        <v>5</v>
      </c>
      <c r="G6" s="64">
        <f t="shared" ref="G6:G11" si="0">C6/F6</f>
        <v>1000000</v>
      </c>
    </row>
    <row r="7" spans="2:8">
      <c r="B7" s="45" t="s">
        <v>49</v>
      </c>
      <c r="C7" s="108">
        <v>0</v>
      </c>
      <c r="F7" s="63">
        <v>5</v>
      </c>
      <c r="G7" s="64">
        <f t="shared" si="0"/>
        <v>0</v>
      </c>
    </row>
    <row r="8" spans="2:8">
      <c r="B8" s="45" t="s">
        <v>51</v>
      </c>
      <c r="C8" s="108">
        <v>0</v>
      </c>
      <c r="F8" s="63">
        <v>5</v>
      </c>
      <c r="G8" s="64">
        <f t="shared" si="0"/>
        <v>0</v>
      </c>
    </row>
    <row r="9" spans="2:8">
      <c r="B9" s="45" t="s">
        <v>52</v>
      </c>
      <c r="C9" s="108">
        <v>0</v>
      </c>
      <c r="F9" s="63">
        <v>5</v>
      </c>
      <c r="G9" s="64">
        <f t="shared" si="0"/>
        <v>0</v>
      </c>
    </row>
    <row r="10" spans="2:8">
      <c r="B10" s="45" t="s">
        <v>53</v>
      </c>
      <c r="C10" s="108">
        <v>0</v>
      </c>
      <c r="F10" s="63">
        <v>5</v>
      </c>
      <c r="G10" s="64">
        <f t="shared" si="0"/>
        <v>0</v>
      </c>
    </row>
    <row r="11" spans="2:8">
      <c r="B11" s="45" t="s">
        <v>54</v>
      </c>
      <c r="C11" s="108">
        <f>4458800+8167500</f>
        <v>12626300</v>
      </c>
      <c r="F11" s="63">
        <v>5</v>
      </c>
      <c r="G11" s="64">
        <f t="shared" si="0"/>
        <v>2525260</v>
      </c>
    </row>
    <row r="12" spans="2:8" ht="16.5" thickBot="1">
      <c r="B12" s="65" t="s">
        <v>55</v>
      </c>
      <c r="C12" s="109">
        <f>SUM(C4:C11)</f>
        <v>25771300</v>
      </c>
      <c r="F12" s="63"/>
      <c r="G12" s="64">
        <f>SUM(G5:G11)</f>
        <v>4339760</v>
      </c>
    </row>
    <row r="13" spans="2:8">
      <c r="B13" s="134" t="s">
        <v>46</v>
      </c>
      <c r="C13" s="135"/>
      <c r="D13" s="135"/>
      <c r="E13" s="135"/>
      <c r="F13" s="135"/>
      <c r="G13" s="135"/>
      <c r="H13" s="136"/>
    </row>
    <row r="14" spans="2:8" ht="15.75" thickBot="1">
      <c r="B14" s="137"/>
      <c r="C14" s="138"/>
      <c r="D14" s="138"/>
      <c r="E14" s="138"/>
      <c r="F14" s="138"/>
      <c r="G14" s="138"/>
      <c r="H14" s="139"/>
    </row>
    <row r="15" spans="2:8">
      <c r="B15" s="67"/>
      <c r="C15" s="67"/>
      <c r="D15" s="67"/>
      <c r="E15" s="67"/>
      <c r="F15" s="67"/>
      <c r="G15" s="67"/>
      <c r="H15" s="67"/>
    </row>
    <row r="16" spans="2:8">
      <c r="B16" s="65" t="s">
        <v>29</v>
      </c>
      <c r="E16" s="65" t="s">
        <v>37</v>
      </c>
      <c r="F16" s="37"/>
    </row>
    <row r="17" spans="2:6">
      <c r="C17" s="65" t="s">
        <v>31</v>
      </c>
      <c r="F17" s="65" t="str">
        <f>C17</f>
        <v>VALOR AÑO 1</v>
      </c>
    </row>
    <row r="18" spans="2:6">
      <c r="B18" s="68" t="s">
        <v>30</v>
      </c>
      <c r="C18" s="11">
        <v>46300000</v>
      </c>
      <c r="E18" s="69" t="s">
        <v>38</v>
      </c>
      <c r="F18" s="108">
        <v>0</v>
      </c>
    </row>
    <row r="19" spans="2:6">
      <c r="C19" s="70"/>
      <c r="E19" s="69" t="s">
        <v>39</v>
      </c>
      <c r="F19" s="108">
        <v>2500000</v>
      </c>
    </row>
    <row r="20" spans="2:6">
      <c r="B20" s="68" t="s">
        <v>33</v>
      </c>
      <c r="C20" s="11">
        <v>22000000</v>
      </c>
      <c r="E20" s="69" t="s">
        <v>40</v>
      </c>
      <c r="F20" s="108">
        <v>200000</v>
      </c>
    </row>
    <row r="21" spans="2:6">
      <c r="C21" s="70"/>
      <c r="E21" s="69" t="s">
        <v>41</v>
      </c>
      <c r="F21" s="108">
        <v>300000</v>
      </c>
    </row>
    <row r="22" spans="2:6">
      <c r="B22" s="68" t="s">
        <v>34</v>
      </c>
      <c r="C22" s="11">
        <v>0</v>
      </c>
      <c r="E22" s="69" t="s">
        <v>42</v>
      </c>
      <c r="F22" s="108">
        <v>500000</v>
      </c>
    </row>
    <row r="23" spans="2:6" ht="15.75">
      <c r="B23" s="12" t="s">
        <v>61</v>
      </c>
      <c r="C23" s="66">
        <f>C18+C20+C22</f>
        <v>68300000</v>
      </c>
      <c r="E23" s="69" t="s">
        <v>43</v>
      </c>
      <c r="F23" s="108">
        <v>2000000</v>
      </c>
    </row>
    <row r="24" spans="2:6">
      <c r="E24" s="69" t="s">
        <v>44</v>
      </c>
      <c r="F24" s="108">
        <v>1500000</v>
      </c>
    </row>
    <row r="25" spans="2:6" ht="24.75">
      <c r="B25" s="69" t="s">
        <v>35</v>
      </c>
      <c r="C25" s="11">
        <v>1000000</v>
      </c>
      <c r="E25" s="102" t="s">
        <v>145</v>
      </c>
      <c r="F25" s="108">
        <v>2192800</v>
      </c>
    </row>
    <row r="26" spans="2:6">
      <c r="E26" s="102" t="s">
        <v>146</v>
      </c>
      <c r="F26" s="108">
        <f>79674700-67500000-7000000</f>
        <v>5174700</v>
      </c>
    </row>
    <row r="27" spans="2:6">
      <c r="E27" s="102"/>
      <c r="F27" s="108">
        <v>0</v>
      </c>
    </row>
    <row r="28" spans="2:6">
      <c r="E28" s="102"/>
      <c r="F28" s="108">
        <v>0</v>
      </c>
    </row>
    <row r="29" spans="2:6">
      <c r="E29" s="102"/>
      <c r="F29" s="108">
        <v>0</v>
      </c>
    </row>
    <row r="30" spans="2:6">
      <c r="E30" s="102"/>
      <c r="F30" s="108">
        <v>0</v>
      </c>
    </row>
    <row r="31" spans="2:6" ht="15.75">
      <c r="E31" s="69" t="s">
        <v>45</v>
      </c>
      <c r="F31" s="109">
        <f>SUM(F18:F30)</f>
        <v>14367500</v>
      </c>
    </row>
  </sheetData>
  <sheetProtection algorithmName="SHA-512" hashValue="/trZaBXUIrI2PnYlLE3GZX3qcFH9dmswbftnpRFSEDBQW2Au9mjCsLSCM3zBCCelvnlpNEtVahWKgrZ7ieChZQ==" saltValue="1qOmubuLctlKB+2A+2xIsA==" spinCount="100000" sheet="1" objects="1" scenarios="1" formatCells="0" formatColumns="0" formatRows="0"/>
  <mergeCells count="2">
    <mergeCell ref="B1:H2"/>
    <mergeCell ref="B13:H1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J17"/>
  <sheetViews>
    <sheetView showGridLines="0" topLeftCell="A4" workbookViewId="0">
      <selection activeCell="F7" sqref="F7:J13"/>
    </sheetView>
  </sheetViews>
  <sheetFormatPr baseColWidth="10" defaultRowHeight="15"/>
  <cols>
    <col min="1" max="1" width="11.42578125" style="12"/>
    <col min="2" max="2" width="39" style="12" bestFit="1" customWidth="1"/>
    <col min="3" max="3" width="17.42578125" style="12" bestFit="1" customWidth="1"/>
    <col min="4" max="4" width="18.5703125" style="12" bestFit="1" customWidth="1"/>
    <col min="5" max="5" width="5" style="12" customWidth="1"/>
    <col min="6" max="6" width="14.7109375" style="12" bestFit="1" customWidth="1"/>
    <col min="7" max="7" width="13.42578125" style="12" customWidth="1"/>
    <col min="8" max="8" width="14.42578125" style="12" customWidth="1"/>
    <col min="9" max="9" width="14" style="12" customWidth="1"/>
    <col min="10" max="10" width="15.7109375" style="12" customWidth="1"/>
    <col min="11" max="16384" width="11.42578125" style="12"/>
  </cols>
  <sheetData>
    <row r="2" spans="2:10" ht="29.25" customHeight="1">
      <c r="B2" s="131" t="s">
        <v>125</v>
      </c>
      <c r="C2" s="131"/>
      <c r="D2" s="131"/>
      <c r="E2" s="131"/>
      <c r="F2" s="131"/>
      <c r="G2" s="131"/>
      <c r="H2" s="131"/>
      <c r="I2" s="131"/>
      <c r="J2" s="131"/>
    </row>
    <row r="3" spans="2:10">
      <c r="F3" s="141" t="s">
        <v>67</v>
      </c>
      <c r="G3" s="141"/>
    </row>
    <row r="4" spans="2:10" ht="15.75">
      <c r="B4" s="14" t="s">
        <v>55</v>
      </c>
      <c r="C4" s="66">
        <f>'2'!C12</f>
        <v>25771300</v>
      </c>
      <c r="F4" s="142">
        <v>0.01</v>
      </c>
      <c r="G4" s="142"/>
    </row>
    <row r="6" spans="2:10">
      <c r="B6" s="14" t="s">
        <v>57</v>
      </c>
      <c r="F6" s="140" t="s">
        <v>126</v>
      </c>
      <c r="G6" s="140"/>
      <c r="H6" s="140"/>
      <c r="I6" s="140"/>
      <c r="J6" s="140"/>
    </row>
    <row r="7" spans="2:10" ht="25.5">
      <c r="C7" s="71" t="s">
        <v>59</v>
      </c>
      <c r="D7" s="71" t="s">
        <v>60</v>
      </c>
      <c r="F7" s="72" t="s">
        <v>68</v>
      </c>
      <c r="G7" s="72" t="s">
        <v>69</v>
      </c>
      <c r="H7" s="72" t="s">
        <v>70</v>
      </c>
      <c r="I7" s="72" t="s">
        <v>71</v>
      </c>
      <c r="J7" s="72" t="s">
        <v>72</v>
      </c>
    </row>
    <row r="8" spans="2:10">
      <c r="B8" s="45" t="s">
        <v>58</v>
      </c>
      <c r="C8" s="49">
        <v>0</v>
      </c>
      <c r="D8" s="21">
        <f>('1'!B33/12)*C8</f>
        <v>0</v>
      </c>
      <c r="F8" s="73">
        <v>0</v>
      </c>
      <c r="G8" s="74"/>
      <c r="H8" s="75"/>
      <c r="I8" s="75"/>
      <c r="J8" s="76">
        <f>D16</f>
        <v>101271300</v>
      </c>
    </row>
    <row r="9" spans="2:10">
      <c r="B9" s="45" t="s">
        <v>62</v>
      </c>
      <c r="C9" s="49">
        <v>12</v>
      </c>
      <c r="D9" s="21">
        <f>('2'!C23/12)*C9</f>
        <v>68300000</v>
      </c>
      <c r="F9" s="73">
        <f>'1'!B31</f>
        <v>2019</v>
      </c>
      <c r="G9" s="77">
        <f>PMT(F4,5,J8)</f>
        <v>-20865918.358839668</v>
      </c>
      <c r="H9" s="75">
        <f>I9+G9</f>
        <v>-19853205.358839668</v>
      </c>
      <c r="I9" s="75">
        <f>J8*$F$4</f>
        <v>1012713</v>
      </c>
      <c r="J9" s="77">
        <f>J8+H9</f>
        <v>81418094.641160339</v>
      </c>
    </row>
    <row r="10" spans="2:10">
      <c r="B10" s="45" t="s">
        <v>63</v>
      </c>
      <c r="C10" s="49">
        <v>12</v>
      </c>
      <c r="D10" s="21">
        <f>('2'!C25/12)*C10</f>
        <v>1000000</v>
      </c>
      <c r="F10" s="73">
        <f>'1'!C31</f>
        <v>2020</v>
      </c>
      <c r="G10" s="77">
        <f>G9</f>
        <v>-20865918.358839668</v>
      </c>
      <c r="H10" s="75">
        <f>I10+G10</f>
        <v>-20051737.412428066</v>
      </c>
      <c r="I10" s="75">
        <f t="shared" ref="I10:I13" si="0">J9*$F$4</f>
        <v>814180.94641160336</v>
      </c>
      <c r="J10" s="77">
        <f>J9+H10</f>
        <v>61366357.228732273</v>
      </c>
    </row>
    <row r="11" spans="2:10">
      <c r="B11" s="45" t="s">
        <v>36</v>
      </c>
      <c r="C11" s="49">
        <v>12</v>
      </c>
      <c r="D11" s="21">
        <f>('2'!F31/12)*C11</f>
        <v>14367500</v>
      </c>
      <c r="F11" s="73">
        <f>'1'!D31</f>
        <v>2021</v>
      </c>
      <c r="G11" s="77">
        <f>G10</f>
        <v>-20865918.358839668</v>
      </c>
      <c r="H11" s="75">
        <f>I11+G11</f>
        <v>-20252254.786552347</v>
      </c>
      <c r="I11" s="75">
        <f t="shared" si="0"/>
        <v>613663.57228732272</v>
      </c>
      <c r="J11" s="77">
        <f>J10+H11</f>
        <v>41114102.442179926</v>
      </c>
    </row>
    <row r="12" spans="2:10" ht="15.75">
      <c r="B12" s="78" t="s">
        <v>9</v>
      </c>
      <c r="C12" s="51"/>
      <c r="D12" s="110">
        <f>SUM(D8:D11)</f>
        <v>83667500</v>
      </c>
      <c r="F12" s="73">
        <f>'1'!E31</f>
        <v>2022</v>
      </c>
      <c r="G12" s="77">
        <f>G11</f>
        <v>-20865918.358839668</v>
      </c>
      <c r="H12" s="75">
        <f>I12+G12</f>
        <v>-20454777.334417868</v>
      </c>
      <c r="I12" s="75">
        <f t="shared" si="0"/>
        <v>411141.02442179929</v>
      </c>
      <c r="J12" s="77">
        <f>J11+H12</f>
        <v>20659325.107762057</v>
      </c>
    </row>
    <row r="13" spans="2:10">
      <c r="D13" s="35"/>
      <c r="F13" s="73">
        <f>'1'!F31</f>
        <v>2023</v>
      </c>
      <c r="G13" s="77">
        <f>G12</f>
        <v>-20865918.358839668</v>
      </c>
      <c r="H13" s="75">
        <f>I13+G13</f>
        <v>-20659325.107762046</v>
      </c>
      <c r="I13" s="75">
        <f t="shared" si="0"/>
        <v>206593.25107762057</v>
      </c>
      <c r="J13" s="77">
        <f>J12+H13</f>
        <v>0</v>
      </c>
    </row>
    <row r="14" spans="2:10" ht="15.75">
      <c r="B14" s="45" t="s">
        <v>64</v>
      </c>
      <c r="D14" s="109">
        <f>C4+D12</f>
        <v>109438800</v>
      </c>
    </row>
    <row r="15" spans="2:10">
      <c r="B15" s="45" t="s">
        <v>65</v>
      </c>
      <c r="D15" s="111">
        <v>8167500</v>
      </c>
    </row>
    <row r="16" spans="2:10" ht="15.75">
      <c r="B16" s="45" t="s">
        <v>66</v>
      </c>
      <c r="D16" s="112">
        <f>D14-D15</f>
        <v>101271300</v>
      </c>
    </row>
    <row r="17" spans="4:4">
      <c r="D17" s="35"/>
    </row>
  </sheetData>
  <sheetProtection algorithmName="SHA-512" hashValue="luCPfoyFFUbHsy+LJlJFQjbz7S10pCBtQvs5pH4lrF3fS1A3DOgB3iFw+B8zFqnoEhdoLM0IjuKAgUnIPNp42A==" saltValue="Q+3qK+P2nRw3mYZe8SBDjg==" spinCount="100000" sheet="1" objects="1" scenarios="1" formatCells="0" formatColumns="0" formatRows="0"/>
  <mergeCells count="4">
    <mergeCell ref="F6:J6"/>
    <mergeCell ref="F3:G3"/>
    <mergeCell ref="F4:G4"/>
    <mergeCell ref="B2:J2"/>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tabSelected="1" zoomScale="90" zoomScaleNormal="90" workbookViewId="0">
      <pane xSplit="7" ySplit="1" topLeftCell="H43" activePane="bottomRight" state="frozenSplit"/>
      <selection pane="topRight" activeCell="E1" sqref="E1"/>
      <selection pane="bottomLeft" activeCell="A12" sqref="A12"/>
      <selection pane="bottomRight" activeCell="A54" sqref="A54:XFD54"/>
    </sheetView>
  </sheetViews>
  <sheetFormatPr baseColWidth="10" defaultRowHeight="15"/>
  <cols>
    <col min="1" max="1" width="35.5703125" style="12" customWidth="1"/>
    <col min="2" max="2" width="0.140625" style="12" customWidth="1"/>
    <col min="3" max="3" width="21.7109375" style="12" bestFit="1" customWidth="1"/>
    <col min="4" max="7" width="17.5703125" style="12" bestFit="1" customWidth="1"/>
    <col min="8" max="16384" width="11.42578125" style="12"/>
  </cols>
  <sheetData>
    <row r="1" spans="1:7" ht="34.5" customHeight="1">
      <c r="A1" s="143" t="s">
        <v>127</v>
      </c>
      <c r="B1" s="143"/>
      <c r="C1" s="143"/>
      <c r="D1" s="143"/>
      <c r="E1" s="143"/>
      <c r="F1" s="143"/>
      <c r="G1" s="143"/>
    </row>
    <row r="2" spans="1:7" ht="23.25">
      <c r="A2" s="144" t="s">
        <v>142</v>
      </c>
      <c r="B2" s="144"/>
      <c r="C2" s="144"/>
      <c r="D2" s="144"/>
      <c r="E2" s="144"/>
      <c r="F2" s="144"/>
      <c r="G2" s="144"/>
    </row>
    <row r="3" spans="1:7" ht="8.25" customHeight="1">
      <c r="A3" s="50"/>
      <c r="B3" s="50"/>
      <c r="C3" s="50"/>
      <c r="D3" s="50"/>
      <c r="E3" s="50"/>
      <c r="F3" s="50"/>
      <c r="G3" s="50"/>
    </row>
    <row r="4" spans="1:7" ht="15.75">
      <c r="A4" s="145" t="s">
        <v>98</v>
      </c>
      <c r="B4" s="145"/>
      <c r="C4" s="145"/>
      <c r="D4" s="145"/>
      <c r="E4" s="145"/>
      <c r="F4" s="145"/>
      <c r="G4" s="145"/>
    </row>
    <row r="5" spans="1:7" ht="23.25">
      <c r="C5" s="52">
        <f>'1'!B31</f>
        <v>2019</v>
      </c>
      <c r="D5" s="52">
        <f>'1'!C31</f>
        <v>2020</v>
      </c>
      <c r="E5" s="52">
        <f>'1'!D31</f>
        <v>2021</v>
      </c>
      <c r="F5" s="52">
        <f>'1'!E31</f>
        <v>2022</v>
      </c>
      <c r="G5" s="52">
        <f>'1'!F31</f>
        <v>2023</v>
      </c>
    </row>
    <row r="6" spans="1:7">
      <c r="B6" s="12" t="s">
        <v>32</v>
      </c>
      <c r="C6" s="53">
        <f>'1'!B32</f>
        <v>110400000</v>
      </c>
      <c r="D6" s="53">
        <f>'1'!C32</f>
        <v>134180160</v>
      </c>
      <c r="E6" s="53">
        <f>'1'!D32</f>
        <v>160318455.16799998</v>
      </c>
      <c r="F6" s="53">
        <f>'1'!E32</f>
        <v>184943369.88180479</v>
      </c>
      <c r="G6" s="53">
        <f>'1'!F32</f>
        <v>200016254.52717191</v>
      </c>
    </row>
    <row r="7" spans="1:7">
      <c r="B7" s="12" t="s">
        <v>75</v>
      </c>
      <c r="C7" s="53">
        <f>'1'!B33</f>
        <v>0</v>
      </c>
      <c r="D7" s="53">
        <f>'1'!C33</f>
        <v>0</v>
      </c>
      <c r="E7" s="53">
        <f>'1'!D33</f>
        <v>0</v>
      </c>
      <c r="F7" s="53">
        <f>'1'!E33</f>
        <v>0</v>
      </c>
      <c r="G7" s="53">
        <f>'1'!F33</f>
        <v>0</v>
      </c>
    </row>
    <row r="8" spans="1:7" ht="15.75" thickBot="1">
      <c r="B8" s="54" t="s">
        <v>76</v>
      </c>
      <c r="C8" s="55">
        <f>C6-C7</f>
        <v>110400000</v>
      </c>
      <c r="D8" s="55">
        <f t="shared" ref="D8:G8" si="0">D6-D7</f>
        <v>134180160</v>
      </c>
      <c r="E8" s="55">
        <f t="shared" si="0"/>
        <v>160318455.16799998</v>
      </c>
      <c r="F8" s="55">
        <f t="shared" si="0"/>
        <v>184943369.88180479</v>
      </c>
      <c r="G8" s="55">
        <f t="shared" si="0"/>
        <v>200016254.52717191</v>
      </c>
    </row>
    <row r="9" spans="1:7" ht="15.75" thickTop="1">
      <c r="B9" s="12" t="s">
        <v>77</v>
      </c>
      <c r="C9" s="53">
        <f>'2'!C23</f>
        <v>68300000</v>
      </c>
      <c r="D9" s="53">
        <f>C9*(1+'1'!Z4)</f>
        <v>70349000</v>
      </c>
      <c r="E9" s="53">
        <f>D9*(1+'1'!AA4)</f>
        <v>72459470</v>
      </c>
      <c r="F9" s="53">
        <f>E9*(1+'1'!AB4)</f>
        <v>74633254.100000009</v>
      </c>
      <c r="G9" s="53">
        <f>F9*(1+'1'!AC4)</f>
        <v>76872251.723000005</v>
      </c>
    </row>
    <row r="10" spans="1:7">
      <c r="B10" s="12" t="s">
        <v>144</v>
      </c>
      <c r="C10" s="53">
        <f>'2'!F31</f>
        <v>14367500</v>
      </c>
      <c r="D10" s="53">
        <f>C10*(1+'1'!Z4)</f>
        <v>14798525</v>
      </c>
      <c r="E10" s="53">
        <f>D10*(1+'1'!AA4)</f>
        <v>15242480.75</v>
      </c>
      <c r="F10" s="53">
        <f>E10*(1+'1'!AB4)</f>
        <v>15699755.172500001</v>
      </c>
      <c r="G10" s="53">
        <f>F10*(1+'1'!AC4)</f>
        <v>16170747.827675002</v>
      </c>
    </row>
    <row r="11" spans="1:7">
      <c r="B11" s="12" t="s">
        <v>78</v>
      </c>
      <c r="C11" s="53">
        <f>'2'!C25</f>
        <v>1000000</v>
      </c>
      <c r="D11" s="53">
        <f>C11*(1+'1'!Z5)</f>
        <v>1024000</v>
      </c>
      <c r="E11" s="53">
        <f>D11*(1+'1'!AA5)</f>
        <v>1048576</v>
      </c>
      <c r="F11" s="53">
        <f>E11*(1+'1'!AB5)</f>
        <v>1073741.824</v>
      </c>
      <c r="G11" s="53">
        <f>F11*(1+'1'!AC5)</f>
        <v>1099511.627776</v>
      </c>
    </row>
    <row r="12" spans="1:7">
      <c r="B12" s="12" t="s">
        <v>95</v>
      </c>
      <c r="C12" s="53">
        <f>'2'!G12</f>
        <v>4339760</v>
      </c>
      <c r="D12" s="53">
        <f>C12</f>
        <v>4339760</v>
      </c>
      <c r="E12" s="53">
        <f t="shared" ref="E12:G12" si="1">D12</f>
        <v>4339760</v>
      </c>
      <c r="F12" s="53">
        <f t="shared" si="1"/>
        <v>4339760</v>
      </c>
      <c r="G12" s="53">
        <f t="shared" si="1"/>
        <v>4339760</v>
      </c>
    </row>
    <row r="13" spans="1:7" ht="15.75" thickBot="1">
      <c r="B13" s="54" t="s">
        <v>79</v>
      </c>
      <c r="C13" s="56">
        <f>C8-C9-C10-C11-C12</f>
        <v>22392740</v>
      </c>
      <c r="D13" s="56">
        <f t="shared" ref="D13:G13" si="2">D8-D9-D10-D11-D12</f>
        <v>43668875</v>
      </c>
      <c r="E13" s="56">
        <f t="shared" si="2"/>
        <v>67228168.417999983</v>
      </c>
      <c r="F13" s="56">
        <f t="shared" si="2"/>
        <v>89196858.785304785</v>
      </c>
      <c r="G13" s="56">
        <f t="shared" si="2"/>
        <v>101533983.34872091</v>
      </c>
    </row>
    <row r="14" spans="1:7" ht="15.75" thickTop="1">
      <c r="B14" s="12" t="s">
        <v>80</v>
      </c>
      <c r="C14" s="53">
        <f>'3'!I9</f>
        <v>1012713</v>
      </c>
      <c r="D14" s="53">
        <f>'3'!I10</f>
        <v>814180.94641160336</v>
      </c>
      <c r="E14" s="53">
        <f>'3'!I11</f>
        <v>613663.57228732272</v>
      </c>
      <c r="F14" s="53">
        <f>'3'!I12</f>
        <v>411141.02442179929</v>
      </c>
      <c r="G14" s="53">
        <f>'3'!I13</f>
        <v>206593.25107762057</v>
      </c>
    </row>
    <row r="15" spans="1:7" ht="15.75" thickBot="1">
      <c r="B15" s="54" t="s">
        <v>81</v>
      </c>
      <c r="C15" s="56">
        <f>C13-C14</f>
        <v>21380027</v>
      </c>
      <c r="D15" s="56">
        <f t="shared" ref="D15:G15" si="3">D13-D14</f>
        <v>42854694.053588398</v>
      </c>
      <c r="E15" s="56">
        <f t="shared" si="3"/>
        <v>66614504.845712662</v>
      </c>
      <c r="F15" s="56">
        <f t="shared" si="3"/>
        <v>88785717.760882989</v>
      </c>
      <c r="G15" s="56">
        <f t="shared" si="3"/>
        <v>101327390.09764329</v>
      </c>
    </row>
    <row r="16" spans="1:7" ht="15.75" thickTop="1">
      <c r="B16" s="12" t="s">
        <v>82</v>
      </c>
      <c r="C16" s="57">
        <f>IF(C15*'1'!$AB$7&lt;0,0,C15*'1'!$AB$7)</f>
        <v>7055408.9100000001</v>
      </c>
      <c r="D16" s="57">
        <f>IF(D15*'1'!$AB$7&lt;0,0,D15*'1'!$AB$7)</f>
        <v>14142049.037684172</v>
      </c>
      <c r="E16" s="57">
        <f>IF(E15*'1'!$AB$7&lt;0,0,E15*'1'!$AB$7)</f>
        <v>21982786.599085178</v>
      </c>
      <c r="F16" s="57">
        <f>IF(F15*'1'!$AB$7&lt;0,0,F15*'1'!$AB$7)</f>
        <v>29299286.861091387</v>
      </c>
      <c r="G16" s="57">
        <f>IF(G15*'1'!$AB$7&lt;0,0,G15*'1'!$AB$7)</f>
        <v>33438038.732222285</v>
      </c>
    </row>
    <row r="17" spans="1:8" ht="15.75" thickBot="1">
      <c r="B17" s="58" t="s">
        <v>83</v>
      </c>
      <c r="C17" s="59">
        <f>C15-C16</f>
        <v>14324618.09</v>
      </c>
      <c r="D17" s="59">
        <f t="shared" ref="D17:G17" si="4">D15-D16</f>
        <v>28712645.015904225</v>
      </c>
      <c r="E17" s="59">
        <f t="shared" si="4"/>
        <v>44631718.24662748</v>
      </c>
      <c r="F17" s="59">
        <f t="shared" si="4"/>
        <v>59486430.899791598</v>
      </c>
      <c r="G17" s="59">
        <f t="shared" si="4"/>
        <v>67889351.365420997</v>
      </c>
    </row>
    <row r="19" spans="1:8" ht="15.75">
      <c r="A19" s="145" t="s">
        <v>73</v>
      </c>
      <c r="B19" s="145"/>
      <c r="C19" s="145"/>
      <c r="D19" s="145"/>
      <c r="E19" s="145"/>
      <c r="F19" s="145"/>
      <c r="G19" s="145"/>
    </row>
    <row r="20" spans="1:8" ht="23.25">
      <c r="B20" s="60" t="s">
        <v>93</v>
      </c>
      <c r="C20" s="52">
        <f>C5</f>
        <v>2019</v>
      </c>
      <c r="D20" s="52">
        <f>D5</f>
        <v>2020</v>
      </c>
      <c r="E20" s="52">
        <f>E5</f>
        <v>2021</v>
      </c>
      <c r="F20" s="52">
        <f>F5</f>
        <v>2022</v>
      </c>
      <c r="G20" s="52">
        <f>G5</f>
        <v>2023</v>
      </c>
    </row>
    <row r="21" spans="1:8">
      <c r="A21" s="146" t="s">
        <v>74</v>
      </c>
      <c r="B21" s="146"/>
      <c r="C21" s="146"/>
      <c r="D21" s="146"/>
      <c r="E21" s="146"/>
      <c r="F21" s="146"/>
      <c r="G21" s="146"/>
    </row>
    <row r="22" spans="1:8">
      <c r="A22" s="12" t="s">
        <v>104</v>
      </c>
      <c r="B22" s="23">
        <f>B38-B26</f>
        <v>83667500</v>
      </c>
      <c r="C22" s="23">
        <f t="shared" ref="C22:G22" si="5">C38-C26</f>
        <v>89534081.641160339</v>
      </c>
      <c r="D22" s="23">
        <f t="shared" si="5"/>
        <v>95296771.282320678</v>
      </c>
      <c r="E22" s="23">
        <f t="shared" si="5"/>
        <v>103144087.28789258</v>
      </c>
      <c r="F22" s="23">
        <f t="shared" si="5"/>
        <v>109200282.86864504</v>
      </c>
      <c r="G22" s="23">
        <f t="shared" si="5"/>
        <v>105422390.09764329</v>
      </c>
    </row>
    <row r="23" spans="1:8">
      <c r="A23" s="12" t="s">
        <v>102</v>
      </c>
      <c r="B23" s="23">
        <f>'2'!C4</f>
        <v>0</v>
      </c>
      <c r="C23" s="23">
        <f>B23</f>
        <v>0</v>
      </c>
      <c r="D23" s="23">
        <f t="shared" ref="D23:G23" si="6">C23</f>
        <v>0</v>
      </c>
      <c r="E23" s="23">
        <f t="shared" si="6"/>
        <v>0</v>
      </c>
      <c r="F23" s="23">
        <f t="shared" si="6"/>
        <v>0</v>
      </c>
      <c r="G23" s="23">
        <f t="shared" si="6"/>
        <v>0</v>
      </c>
      <c r="H23" s="23"/>
    </row>
    <row r="24" spans="1:8">
      <c r="A24" s="12" t="s">
        <v>103</v>
      </c>
      <c r="B24" s="23">
        <f>'2'!C12-'2'!C4</f>
        <v>25771300</v>
      </c>
      <c r="C24" s="23">
        <f>B24</f>
        <v>25771300</v>
      </c>
      <c r="D24" s="23">
        <f t="shared" ref="D24:G24" si="7">C24</f>
        <v>25771300</v>
      </c>
      <c r="E24" s="23">
        <f t="shared" si="7"/>
        <v>25771300</v>
      </c>
      <c r="F24" s="23">
        <f t="shared" si="7"/>
        <v>25771300</v>
      </c>
      <c r="G24" s="23">
        <f t="shared" si="7"/>
        <v>25771300</v>
      </c>
      <c r="H24" s="23"/>
    </row>
    <row r="25" spans="1:8">
      <c r="A25" s="12" t="s">
        <v>96</v>
      </c>
      <c r="B25" s="23">
        <v>0</v>
      </c>
      <c r="C25" s="23">
        <f>C12</f>
        <v>4339760</v>
      </c>
      <c r="D25" s="23">
        <f>D12+C12</f>
        <v>8679520</v>
      </c>
      <c r="E25" s="23">
        <f>E12+D12+C12</f>
        <v>13019280</v>
      </c>
      <c r="F25" s="23">
        <f>F12+E12+D12+C12</f>
        <v>17359040</v>
      </c>
      <c r="G25" s="23">
        <f>F25+G12</f>
        <v>21698800</v>
      </c>
      <c r="H25" s="23"/>
    </row>
    <row r="26" spans="1:8">
      <c r="A26" s="12" t="s">
        <v>97</v>
      </c>
      <c r="B26" s="23">
        <f>B23+(B24-B25)</f>
        <v>25771300</v>
      </c>
      <c r="C26" s="23">
        <f>C23+(C24-C25)</f>
        <v>21431540</v>
      </c>
      <c r="D26" s="23">
        <f t="shared" ref="D26:G26" si="8">D23+(D24-D25)</f>
        <v>17091780</v>
      </c>
      <c r="E26" s="23">
        <f t="shared" si="8"/>
        <v>12752020</v>
      </c>
      <c r="F26" s="23">
        <f t="shared" si="8"/>
        <v>8412260</v>
      </c>
      <c r="G26" s="23">
        <f t="shared" si="8"/>
        <v>4072500</v>
      </c>
      <c r="H26" s="23"/>
    </row>
    <row r="27" spans="1:8" ht="15.75" thickBot="1">
      <c r="A27" s="54" t="s">
        <v>94</v>
      </c>
      <c r="B27" s="61">
        <f>B22+B26</f>
        <v>109438800</v>
      </c>
      <c r="C27" s="61">
        <f t="shared" ref="C27:G27" si="9">C22+C26</f>
        <v>110965621.64116034</v>
      </c>
      <c r="D27" s="61">
        <f t="shared" si="9"/>
        <v>112388551.28232068</v>
      </c>
      <c r="E27" s="61">
        <f t="shared" si="9"/>
        <v>115896107.28789258</v>
      </c>
      <c r="F27" s="61">
        <f t="shared" si="9"/>
        <v>117612542.86864504</v>
      </c>
      <c r="G27" s="61">
        <f t="shared" si="9"/>
        <v>109494890.09764329</v>
      </c>
      <c r="H27" s="23"/>
    </row>
    <row r="28" spans="1:8" ht="15.75" thickTop="1">
      <c r="A28" s="146" t="s">
        <v>84</v>
      </c>
      <c r="B28" s="146"/>
      <c r="C28" s="146"/>
      <c r="D28" s="146"/>
      <c r="E28" s="146"/>
      <c r="F28" s="146"/>
      <c r="G28" s="146"/>
    </row>
    <row r="29" spans="1:8">
      <c r="A29" s="12" t="s">
        <v>85</v>
      </c>
      <c r="B29" s="12">
        <v>0</v>
      </c>
      <c r="C29" s="57">
        <f>C16</f>
        <v>7055408.9100000001</v>
      </c>
      <c r="D29" s="57">
        <f>D16</f>
        <v>14142049.037684172</v>
      </c>
      <c r="E29" s="57">
        <f>E16</f>
        <v>21982786.599085178</v>
      </c>
      <c r="F29" s="57">
        <f>F16</f>
        <v>29299286.861091387</v>
      </c>
      <c r="G29" s="57">
        <f>G16</f>
        <v>33438038.732222285</v>
      </c>
    </row>
    <row r="30" spans="1:8">
      <c r="A30" s="12" t="s">
        <v>86</v>
      </c>
      <c r="B30" s="57">
        <f>B29</f>
        <v>0</v>
      </c>
      <c r="C30" s="57">
        <f t="shared" ref="C30:G30" si="10">C29</f>
        <v>7055408.9100000001</v>
      </c>
      <c r="D30" s="57">
        <f t="shared" si="10"/>
        <v>14142049.037684172</v>
      </c>
      <c r="E30" s="57">
        <f t="shared" si="10"/>
        <v>21982786.599085178</v>
      </c>
      <c r="F30" s="57">
        <f t="shared" si="10"/>
        <v>29299286.861091387</v>
      </c>
      <c r="G30" s="57">
        <f t="shared" si="10"/>
        <v>33438038.732222285</v>
      </c>
    </row>
    <row r="31" spans="1:8">
      <c r="A31" s="12" t="s">
        <v>87</v>
      </c>
      <c r="B31" s="22">
        <f>'3'!J8</f>
        <v>101271300</v>
      </c>
      <c r="C31" s="22">
        <f>'3'!J9</f>
        <v>81418094.641160339</v>
      </c>
      <c r="D31" s="22">
        <f>'3'!J10</f>
        <v>61366357.228732273</v>
      </c>
      <c r="E31" s="22">
        <f>'3'!J11</f>
        <v>41114102.442179926</v>
      </c>
      <c r="F31" s="22">
        <f>'3'!J12</f>
        <v>20659325.107762057</v>
      </c>
      <c r="G31" s="22">
        <f>'3'!J13</f>
        <v>0</v>
      </c>
    </row>
    <row r="32" spans="1:8" ht="15.75" thickBot="1">
      <c r="A32" s="54" t="s">
        <v>84</v>
      </c>
      <c r="B32" s="61">
        <f>B30+B31</f>
        <v>101271300</v>
      </c>
      <c r="C32" s="61">
        <f t="shared" ref="C32:G32" si="11">C30+C31</f>
        <v>88473503.551160336</v>
      </c>
      <c r="D32" s="61">
        <f t="shared" si="11"/>
        <v>75508406.266416445</v>
      </c>
      <c r="E32" s="61">
        <f t="shared" si="11"/>
        <v>63096889.0412651</v>
      </c>
      <c r="F32" s="61">
        <f t="shared" si="11"/>
        <v>49958611.968853444</v>
      </c>
      <c r="G32" s="61">
        <f t="shared" si="11"/>
        <v>33438038.732222285</v>
      </c>
    </row>
    <row r="33" spans="1:7" ht="15.75" thickTop="1">
      <c r="A33" s="146" t="s">
        <v>88</v>
      </c>
      <c r="B33" s="146"/>
      <c r="C33" s="146"/>
      <c r="D33" s="146"/>
      <c r="E33" s="146"/>
      <c r="F33" s="146"/>
      <c r="G33" s="146"/>
    </row>
    <row r="34" spans="1:7">
      <c r="A34" s="12" t="s">
        <v>89</v>
      </c>
      <c r="B34" s="23">
        <f>'3'!D15</f>
        <v>8167500</v>
      </c>
      <c r="C34" s="23">
        <f>B34</f>
        <v>8167500</v>
      </c>
      <c r="D34" s="23">
        <f t="shared" ref="D34:G34" si="12">C34</f>
        <v>8167500</v>
      </c>
      <c r="E34" s="23">
        <f t="shared" si="12"/>
        <v>8167500</v>
      </c>
      <c r="F34" s="23">
        <f t="shared" si="12"/>
        <v>8167500</v>
      </c>
      <c r="G34" s="23">
        <f t="shared" si="12"/>
        <v>8167500</v>
      </c>
    </row>
    <row r="35" spans="1:7">
      <c r="A35" s="12" t="s">
        <v>90</v>
      </c>
      <c r="B35" s="12">
        <v>0</v>
      </c>
      <c r="C35" s="57">
        <f>C17</f>
        <v>14324618.09</v>
      </c>
      <c r="D35" s="57">
        <f>D17</f>
        <v>28712645.015904225</v>
      </c>
      <c r="E35" s="57">
        <f>E17</f>
        <v>44631718.24662748</v>
      </c>
      <c r="F35" s="57">
        <f>F17</f>
        <v>59486430.899791598</v>
      </c>
      <c r="G35" s="57">
        <f>G17</f>
        <v>67889351.365420997</v>
      </c>
    </row>
    <row r="36" spans="1:7" ht="15.75" thickBot="1">
      <c r="A36" s="54" t="s">
        <v>91</v>
      </c>
      <c r="B36" s="61">
        <f>B34+B35</f>
        <v>8167500</v>
      </c>
      <c r="C36" s="61">
        <f t="shared" ref="C36:G36" si="13">C34+C35</f>
        <v>22492118.09</v>
      </c>
      <c r="D36" s="61">
        <f t="shared" si="13"/>
        <v>36880145.015904225</v>
      </c>
      <c r="E36" s="61">
        <f t="shared" si="13"/>
        <v>52799218.24662748</v>
      </c>
      <c r="F36" s="61">
        <f t="shared" si="13"/>
        <v>67653930.899791598</v>
      </c>
      <c r="G36" s="61">
        <f t="shared" si="13"/>
        <v>76056851.365420997</v>
      </c>
    </row>
    <row r="37" spans="1:7" ht="15.75" thickTop="1"/>
    <row r="38" spans="1:7" ht="15.75" thickBot="1">
      <c r="A38" s="54" t="s">
        <v>92</v>
      </c>
      <c r="B38" s="61">
        <f>B32+B36</f>
        <v>109438800</v>
      </c>
      <c r="C38" s="61">
        <f t="shared" ref="C38:G38" si="14">C32+C36</f>
        <v>110965621.64116034</v>
      </c>
      <c r="D38" s="61">
        <f t="shared" si="14"/>
        <v>112388551.28232068</v>
      </c>
      <c r="E38" s="61">
        <f t="shared" si="14"/>
        <v>115896107.28789258</v>
      </c>
      <c r="F38" s="61">
        <f t="shared" si="14"/>
        <v>117612542.86864504</v>
      </c>
      <c r="G38" s="61">
        <f t="shared" si="14"/>
        <v>109494890.09764329</v>
      </c>
    </row>
    <row r="39" spans="1:7" ht="15.75" thickTop="1">
      <c r="A39" s="51" t="s">
        <v>99</v>
      </c>
      <c r="B39" s="62">
        <f>B27-B38</f>
        <v>0</v>
      </c>
      <c r="C39" s="62">
        <f t="shared" ref="C39:G39" si="15">C27-C38</f>
        <v>0</v>
      </c>
      <c r="D39" s="62">
        <f t="shared" si="15"/>
        <v>0</v>
      </c>
      <c r="E39" s="62">
        <f t="shared" si="15"/>
        <v>0</v>
      </c>
      <c r="F39" s="62">
        <f t="shared" si="15"/>
        <v>0</v>
      </c>
      <c r="G39" s="62">
        <f t="shared" si="15"/>
        <v>0</v>
      </c>
    </row>
    <row r="41" spans="1:7" ht="15.75">
      <c r="A41" s="145" t="s">
        <v>105</v>
      </c>
      <c r="B41" s="145"/>
      <c r="C41" s="145"/>
      <c r="D41" s="145"/>
      <c r="E41" s="145"/>
      <c r="F41" s="145"/>
      <c r="G41" s="145"/>
    </row>
    <row r="42" spans="1:7">
      <c r="A42" s="146" t="s">
        <v>106</v>
      </c>
      <c r="B42" s="146"/>
      <c r="C42" s="146"/>
      <c r="D42" s="146"/>
      <c r="E42" s="146"/>
      <c r="F42" s="146"/>
      <c r="G42" s="146"/>
    </row>
    <row r="43" spans="1:7" ht="23.25">
      <c r="A43" s="8"/>
      <c r="B43" s="60" t="s">
        <v>93</v>
      </c>
      <c r="C43" s="52">
        <f>C20</f>
        <v>2019</v>
      </c>
      <c r="D43" s="52">
        <f t="shared" ref="D43:G43" si="16">D20</f>
        <v>2020</v>
      </c>
      <c r="E43" s="52">
        <f t="shared" si="16"/>
        <v>2021</v>
      </c>
      <c r="F43" s="52">
        <f t="shared" si="16"/>
        <v>2022</v>
      </c>
      <c r="G43" s="52">
        <f t="shared" si="16"/>
        <v>2023</v>
      </c>
    </row>
    <row r="44" spans="1:7">
      <c r="A44" s="1" t="s">
        <v>107</v>
      </c>
      <c r="B44" s="2">
        <f>B22</f>
        <v>83667500</v>
      </c>
      <c r="C44" s="2">
        <f t="shared" ref="C44:G44" si="17">C22</f>
        <v>89534081.641160339</v>
      </c>
      <c r="D44" s="2">
        <f t="shared" si="17"/>
        <v>95296771.282320678</v>
      </c>
      <c r="E44" s="2">
        <f t="shared" si="17"/>
        <v>103144087.28789258</v>
      </c>
      <c r="F44" s="2">
        <f t="shared" si="17"/>
        <v>109200282.86864504</v>
      </c>
      <c r="G44" s="2">
        <f t="shared" si="17"/>
        <v>105422390.09764329</v>
      </c>
    </row>
    <row r="45" spans="1:7" ht="15.75" thickBot="1">
      <c r="A45" s="1" t="s">
        <v>108</v>
      </c>
      <c r="B45" s="3">
        <f>B29</f>
        <v>0</v>
      </c>
      <c r="C45" s="3">
        <f t="shared" ref="C45:G45" si="18">C29</f>
        <v>7055408.9100000001</v>
      </c>
      <c r="D45" s="3">
        <f t="shared" si="18"/>
        <v>14142049.037684172</v>
      </c>
      <c r="E45" s="3">
        <f t="shared" si="18"/>
        <v>21982786.599085178</v>
      </c>
      <c r="F45" s="3">
        <f t="shared" si="18"/>
        <v>29299286.861091387</v>
      </c>
      <c r="G45" s="3">
        <f t="shared" si="18"/>
        <v>33438038.732222285</v>
      </c>
    </row>
    <row r="46" spans="1:7" ht="15.75" thickTop="1">
      <c r="A46" s="4" t="s">
        <v>109</v>
      </c>
      <c r="B46" s="5">
        <f t="shared" ref="B46:G46" si="19">B44-B45</f>
        <v>83667500</v>
      </c>
      <c r="C46" s="5">
        <f t="shared" si="19"/>
        <v>82478672.731160343</v>
      </c>
      <c r="D46" s="5">
        <f t="shared" si="19"/>
        <v>81154722.244636506</v>
      </c>
      <c r="E46" s="5">
        <f t="shared" si="19"/>
        <v>81161300.688807398</v>
      </c>
      <c r="F46" s="5">
        <f t="shared" si="19"/>
        <v>79900996.007553652</v>
      </c>
      <c r="G46" s="5">
        <f t="shared" si="19"/>
        <v>71984351.365420997</v>
      </c>
    </row>
    <row r="47" spans="1:7">
      <c r="A47" s="1"/>
      <c r="B47" s="2"/>
      <c r="C47" s="2"/>
      <c r="D47" s="2"/>
      <c r="E47" s="2"/>
      <c r="F47" s="2"/>
      <c r="G47" s="2"/>
    </row>
    <row r="48" spans="1:7">
      <c r="A48" s="4" t="s">
        <v>110</v>
      </c>
      <c r="B48" s="2">
        <f>B26</f>
        <v>25771300</v>
      </c>
      <c r="C48" s="2">
        <f t="shared" ref="C48:G48" si="20">C26</f>
        <v>21431540</v>
      </c>
      <c r="D48" s="2">
        <f t="shared" si="20"/>
        <v>17091780</v>
      </c>
      <c r="E48" s="2">
        <f t="shared" si="20"/>
        <v>12752020</v>
      </c>
      <c r="F48" s="2">
        <f t="shared" si="20"/>
        <v>8412260</v>
      </c>
      <c r="G48" s="2">
        <f t="shared" si="20"/>
        <v>4072500</v>
      </c>
    </row>
    <row r="49" spans="1:7" ht="15.75" thickBot="1">
      <c r="A49" s="1" t="s">
        <v>111</v>
      </c>
      <c r="B49" s="3">
        <f>B25</f>
        <v>0</v>
      </c>
      <c r="C49" s="3">
        <f t="shared" ref="C49:G49" si="21">C25</f>
        <v>4339760</v>
      </c>
      <c r="D49" s="3">
        <f t="shared" si="21"/>
        <v>8679520</v>
      </c>
      <c r="E49" s="3">
        <f t="shared" si="21"/>
        <v>13019280</v>
      </c>
      <c r="F49" s="3">
        <f t="shared" si="21"/>
        <v>17359040</v>
      </c>
      <c r="G49" s="3">
        <f t="shared" si="21"/>
        <v>21698800</v>
      </c>
    </row>
    <row r="50" spans="1:7" ht="15.75" thickTop="1">
      <c r="A50" s="4" t="s">
        <v>112</v>
      </c>
      <c r="B50" s="5">
        <f t="shared" ref="B50:G50" si="22">B48+B49</f>
        <v>25771300</v>
      </c>
      <c r="C50" s="5">
        <f t="shared" si="22"/>
        <v>25771300</v>
      </c>
      <c r="D50" s="5">
        <f t="shared" si="22"/>
        <v>25771300</v>
      </c>
      <c r="E50" s="5">
        <f t="shared" si="22"/>
        <v>25771300</v>
      </c>
      <c r="F50" s="5">
        <f t="shared" si="22"/>
        <v>25771300</v>
      </c>
      <c r="G50" s="5">
        <f t="shared" si="22"/>
        <v>25771300</v>
      </c>
    </row>
    <row r="51" spans="1:7">
      <c r="A51" s="1"/>
      <c r="B51" s="2"/>
      <c r="C51" s="2"/>
      <c r="D51" s="2"/>
      <c r="E51" s="2"/>
      <c r="F51" s="2"/>
      <c r="G51" s="2"/>
    </row>
    <row r="52" spans="1:7" ht="15.75" thickBot="1">
      <c r="A52" s="9" t="s">
        <v>113</v>
      </c>
      <c r="B52" s="6">
        <f t="shared" ref="B52:G52" si="23">B46+B48</f>
        <v>109438800</v>
      </c>
      <c r="C52" s="6">
        <f t="shared" si="23"/>
        <v>103910212.73116034</v>
      </c>
      <c r="D52" s="6">
        <f t="shared" si="23"/>
        <v>98246502.244636506</v>
      </c>
      <c r="E52" s="6">
        <f t="shared" si="23"/>
        <v>93913320.688807398</v>
      </c>
      <c r="F52" s="6">
        <f t="shared" si="23"/>
        <v>88313256.007553652</v>
      </c>
      <c r="G52" s="6">
        <f t="shared" si="23"/>
        <v>76056851.365420997</v>
      </c>
    </row>
    <row r="53" spans="1:7" ht="15.75" thickTop="1">
      <c r="A53" s="7"/>
      <c r="B53" s="2"/>
      <c r="C53" s="2"/>
      <c r="D53" s="2"/>
      <c r="E53" s="2"/>
      <c r="F53" s="2"/>
      <c r="G53" s="2"/>
    </row>
    <row r="54" spans="1:7">
      <c r="A54" s="147" t="s">
        <v>114</v>
      </c>
      <c r="B54" s="147"/>
      <c r="C54" s="147"/>
      <c r="D54" s="147"/>
      <c r="E54" s="147"/>
      <c r="F54" s="147"/>
      <c r="G54" s="147"/>
    </row>
    <row r="55" spans="1:7">
      <c r="A55" s="122" t="s">
        <v>115</v>
      </c>
      <c r="B55" s="126"/>
      <c r="C55" s="126">
        <f>C13</f>
        <v>22392740</v>
      </c>
      <c r="D55" s="126">
        <f t="shared" ref="D55:G55" si="24">D13</f>
        <v>43668875</v>
      </c>
      <c r="E55" s="126">
        <f t="shared" si="24"/>
        <v>67228168.417999983</v>
      </c>
      <c r="F55" s="126">
        <f t="shared" si="24"/>
        <v>89196858.785304785</v>
      </c>
      <c r="G55" s="120">
        <f t="shared" si="24"/>
        <v>101533983.34872091</v>
      </c>
    </row>
    <row r="56" spans="1:7">
      <c r="A56" s="123" t="s">
        <v>116</v>
      </c>
      <c r="B56" s="127"/>
      <c r="C56" s="126">
        <f>C55*'1'!$AB$7</f>
        <v>7389604.2000000002</v>
      </c>
      <c r="D56" s="126">
        <f>D55*'1'!$AB$7</f>
        <v>14410728.75</v>
      </c>
      <c r="E56" s="126">
        <f>E55*'1'!$AB$7</f>
        <v>22185295.577939995</v>
      </c>
      <c r="F56" s="126">
        <f>F55*'1'!$AB$7</f>
        <v>29434963.39915058</v>
      </c>
      <c r="G56" s="120">
        <f>G55*'1'!$AB$7</f>
        <v>33506214.505077902</v>
      </c>
    </row>
    <row r="57" spans="1:7">
      <c r="A57" s="124" t="s">
        <v>117</v>
      </c>
      <c r="B57" s="127"/>
      <c r="C57" s="126">
        <f>C55-C56</f>
        <v>15003135.800000001</v>
      </c>
      <c r="D57" s="126">
        <f>D55-D56</f>
        <v>29258146.25</v>
      </c>
      <c r="E57" s="126">
        <f>E55-E56</f>
        <v>45042872.840059988</v>
      </c>
      <c r="F57" s="126">
        <f>F55-F56</f>
        <v>59761895.386154205</v>
      </c>
      <c r="G57" s="120">
        <f>G55-G56</f>
        <v>68027768.84364301</v>
      </c>
    </row>
    <row r="58" spans="1:7">
      <c r="A58" s="123" t="s">
        <v>118</v>
      </c>
      <c r="B58" s="127"/>
      <c r="C58" s="126">
        <f>C52-B52</f>
        <v>-5528587.2688396573</v>
      </c>
      <c r="D58" s="126">
        <f>D52-C52</f>
        <v>-5663710.4865238369</v>
      </c>
      <c r="E58" s="126">
        <f>E52-D52</f>
        <v>-4333181.5558291078</v>
      </c>
      <c r="F58" s="126">
        <f>F52-E52</f>
        <v>-5600064.6812537462</v>
      </c>
      <c r="G58" s="120">
        <f>G52-F52</f>
        <v>-12256404.642132655</v>
      </c>
    </row>
    <row r="59" spans="1:7" ht="15.75" thickBot="1">
      <c r="A59" s="125" t="s">
        <v>119</v>
      </c>
      <c r="B59" s="128"/>
      <c r="C59" s="129">
        <f>SUM(C57:C58)</f>
        <v>9474548.5311603434</v>
      </c>
      <c r="D59" s="129">
        <f t="shared" ref="D59:G59" si="25">SUM(D57:D58)</f>
        <v>23594435.763476163</v>
      </c>
      <c r="E59" s="129">
        <f t="shared" si="25"/>
        <v>40709691.28423088</v>
      </c>
      <c r="F59" s="129">
        <f t="shared" si="25"/>
        <v>54161830.704900458</v>
      </c>
      <c r="G59" s="121">
        <f t="shared" si="25"/>
        <v>55771364.201510355</v>
      </c>
    </row>
  </sheetData>
  <sheetProtection algorithmName="SHA-512" hashValue="+PxvvAWPbg7pmUR4NDP19NIjyWdkfBx9YrJ2QydaicTmENO4z4AWf6bpYlPqovl8/jLtKaUIe5gSsIFgkherwQ==" saltValue="4FdlJ1KR/iQMJTl3MmKvWQ==" spinCount="100000" sheet="1" objects="1" scenarios="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5" priority="3" operator="lessThan">
      <formula>0</formula>
    </cfRule>
  </conditionalFormatting>
  <conditionalFormatting sqref="B22:G22">
    <cfRule type="cellIs" dxfId="4" priority="2" operator="lessThan">
      <formula>0</formula>
    </cfRule>
  </conditionalFormatting>
  <conditionalFormatting sqref="C59:G59">
    <cfRule type="cellIs" dxfId="3"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47"/>
  <sheetViews>
    <sheetView showGridLines="0" zoomScale="80" zoomScaleNormal="80" workbookViewId="0">
      <selection activeCell="A2" sqref="A2"/>
    </sheetView>
  </sheetViews>
  <sheetFormatPr baseColWidth="10" defaultRowHeight="15"/>
  <cols>
    <col min="1" max="1" width="11.42578125" style="12"/>
    <col min="2" max="2" width="32.5703125" style="12" customWidth="1"/>
    <col min="3" max="3" width="24.28515625" style="12" bestFit="1" customWidth="1"/>
    <col min="4" max="4" width="23.140625" style="12" bestFit="1" customWidth="1"/>
    <col min="5" max="5" width="26.5703125" style="12" customWidth="1"/>
    <col min="6" max="6" width="17.5703125" style="12" bestFit="1" customWidth="1"/>
    <col min="7" max="8" width="15.28515625" style="12" bestFit="1" customWidth="1"/>
    <col min="9" max="9" width="11.42578125" style="12"/>
    <col min="10" max="10" width="12" style="12" bestFit="1" customWidth="1"/>
    <col min="11" max="16384" width="11.42578125" style="12"/>
  </cols>
  <sheetData>
    <row r="2" spans="2:10" ht="38.25" customHeight="1">
      <c r="B2" s="131" t="s">
        <v>141</v>
      </c>
      <c r="C2" s="131"/>
      <c r="D2" s="131"/>
      <c r="E2" s="131"/>
      <c r="F2" s="131"/>
      <c r="G2" s="131"/>
      <c r="H2" s="131"/>
    </row>
    <row r="3" spans="2:10" ht="15.75" customHeight="1">
      <c r="B3" s="149" t="s">
        <v>120</v>
      </c>
      <c r="C3" s="149"/>
      <c r="D3" s="149"/>
      <c r="E3" s="150">
        <v>0.152</v>
      </c>
      <c r="F3" s="150"/>
    </row>
    <row r="4" spans="2:10">
      <c r="B4" s="149"/>
      <c r="C4" s="149"/>
      <c r="D4" s="149"/>
      <c r="E4" s="150"/>
      <c r="F4" s="150"/>
    </row>
    <row r="5" spans="2:10" ht="15.75" thickBot="1"/>
    <row r="6" spans="2:10" ht="23.25">
      <c r="B6" s="103" t="s">
        <v>121</v>
      </c>
      <c r="C6" s="79" t="s">
        <v>122</v>
      </c>
      <c r="D6" s="80">
        <f>'4'!C20</f>
        <v>2019</v>
      </c>
      <c r="E6" s="80">
        <f>'4'!D20</f>
        <v>2020</v>
      </c>
      <c r="F6" s="80">
        <f>'4'!E20</f>
        <v>2021</v>
      </c>
      <c r="G6" s="80">
        <f>'4'!F20</f>
        <v>2022</v>
      </c>
      <c r="H6" s="81">
        <f>'4'!G20</f>
        <v>2023</v>
      </c>
    </row>
    <row r="7" spans="2:10" ht="16.5" thickBot="1">
      <c r="B7" s="82"/>
      <c r="C7" s="83">
        <f>-'3'!D14</f>
        <v>-109438800</v>
      </c>
      <c r="D7" s="83">
        <f>'4'!C59</f>
        <v>9474548.5311603434</v>
      </c>
      <c r="E7" s="83">
        <f>'4'!D59</f>
        <v>23594435.763476163</v>
      </c>
      <c r="F7" s="83">
        <f>'4'!E59</f>
        <v>40709691.28423088</v>
      </c>
      <c r="G7" s="83">
        <f>'4'!F59</f>
        <v>54161830.704900458</v>
      </c>
      <c r="H7" s="84">
        <f>'4'!G59</f>
        <v>55771364.201510355</v>
      </c>
    </row>
    <row r="9" spans="2:10" ht="18.75">
      <c r="B9" s="68" t="s">
        <v>123</v>
      </c>
      <c r="D9" s="85">
        <f>NPV(E3,C7:H7)</f>
        <v>1244540.4710443853</v>
      </c>
    </row>
    <row r="10" spans="2:10" ht="26.25">
      <c r="B10" s="68" t="s">
        <v>124</v>
      </c>
      <c r="D10" s="86">
        <f>IF(C7:H7=0,0,IRR(C7:H7))</f>
        <v>0.15633954467002198</v>
      </c>
    </row>
    <row r="12" spans="2:10" ht="18.75">
      <c r="B12" s="151" t="s">
        <v>128</v>
      </c>
      <c r="C12" s="151"/>
      <c r="D12" s="151"/>
      <c r="E12" s="151"/>
      <c r="F12" s="151"/>
      <c r="G12" s="151"/>
      <c r="H12" s="151"/>
    </row>
    <row r="13" spans="2:10" ht="36.75">
      <c r="B13" s="87" t="str">
        <f>'1'!B2</f>
        <v>NOMBRE DEL PRODUCTO O SERVICIO</v>
      </c>
      <c r="C13" s="87" t="s">
        <v>129</v>
      </c>
      <c r="D13" s="87" t="s">
        <v>130</v>
      </c>
      <c r="E13" s="87" t="s">
        <v>131</v>
      </c>
      <c r="F13" s="87" t="s">
        <v>133</v>
      </c>
      <c r="H13" s="63"/>
      <c r="I13" s="63"/>
      <c r="J13" s="63" t="s">
        <v>137</v>
      </c>
    </row>
    <row r="14" spans="2:10">
      <c r="B14" s="88" t="str">
        <f>'1'!B3</f>
        <v>FORMACION</v>
      </c>
      <c r="C14" s="89">
        <f>'1'!D3-'1'!D17</f>
        <v>1200000</v>
      </c>
      <c r="D14" s="90">
        <f>'1'!F3</f>
        <v>0.34782608695652173</v>
      </c>
      <c r="E14" s="91">
        <f>C14*D14</f>
        <v>417391.30434782605</v>
      </c>
      <c r="F14" s="92">
        <f t="shared" ref="F14:F23" si="0">$E$27*D14</f>
        <v>23.335502614758859</v>
      </c>
      <c r="G14" s="37" t="s">
        <v>132</v>
      </c>
      <c r="H14" s="64">
        <f>'1'!D3</f>
        <v>1200000</v>
      </c>
      <c r="I14" s="93">
        <f t="shared" ref="I14:I23" si="1">$B$34*D14</f>
        <v>46.671005229517718</v>
      </c>
      <c r="J14" s="64">
        <f>'1'!D17</f>
        <v>0</v>
      </c>
    </row>
    <row r="15" spans="2:10">
      <c r="B15" s="94" t="str">
        <f>'1'!B4</f>
        <v>ESCENA</v>
      </c>
      <c r="C15" s="89">
        <f>'1'!D4-'1'!D18</f>
        <v>1000000</v>
      </c>
      <c r="D15" s="90">
        <f>'1'!F4</f>
        <v>0.20833333333333334</v>
      </c>
      <c r="E15" s="91">
        <f t="shared" ref="E15:E23" si="2">C15*D15</f>
        <v>208333.33333333334</v>
      </c>
      <c r="F15" s="92">
        <f t="shared" si="0"/>
        <v>13.976993753631611</v>
      </c>
      <c r="G15" s="37" t="str">
        <f>G14</f>
        <v>UNIDADES</v>
      </c>
      <c r="H15" s="64">
        <f>'1'!D4</f>
        <v>1000000</v>
      </c>
      <c r="I15" s="93">
        <f t="shared" si="1"/>
        <v>27.953987507263221</v>
      </c>
      <c r="J15" s="64">
        <f>'1'!D18</f>
        <v>0</v>
      </c>
    </row>
    <row r="16" spans="2:10">
      <c r="B16" s="94" t="str">
        <f>'1'!B5</f>
        <v>CREACION</v>
      </c>
      <c r="C16" s="89">
        <f>'1'!D5-'1'!D19</f>
        <v>1400000</v>
      </c>
      <c r="D16" s="90">
        <f>'1'!F5</f>
        <v>0.4438405797101449</v>
      </c>
      <c r="E16" s="91">
        <f t="shared" si="2"/>
        <v>621376.81159420288</v>
      </c>
      <c r="F16" s="92">
        <f t="shared" si="0"/>
        <v>29.777073649041252</v>
      </c>
      <c r="G16" s="37" t="str">
        <f t="shared" ref="G16:G23" si="3">G15</f>
        <v>UNIDADES</v>
      </c>
      <c r="H16" s="64">
        <f>'1'!D5</f>
        <v>1400000</v>
      </c>
      <c r="I16" s="93">
        <f t="shared" si="1"/>
        <v>59.554147298082505</v>
      </c>
      <c r="J16" s="64">
        <f>'1'!D19</f>
        <v>0</v>
      </c>
    </row>
    <row r="17" spans="2:10">
      <c r="B17" s="94">
        <f>'1'!B6</f>
        <v>0</v>
      </c>
      <c r="C17" s="89">
        <f>'1'!D6-'1'!D20</f>
        <v>0</v>
      </c>
      <c r="D17" s="90">
        <f>'1'!F6</f>
        <v>0</v>
      </c>
      <c r="E17" s="91">
        <f t="shared" si="2"/>
        <v>0</v>
      </c>
      <c r="F17" s="92">
        <f t="shared" si="0"/>
        <v>0</v>
      </c>
      <c r="G17" s="37" t="str">
        <f t="shared" si="3"/>
        <v>UNIDADES</v>
      </c>
      <c r="H17" s="64">
        <f>'1'!D6</f>
        <v>0</v>
      </c>
      <c r="I17" s="93">
        <f t="shared" si="1"/>
        <v>0</v>
      </c>
      <c r="J17" s="64">
        <f>'1'!D20</f>
        <v>0</v>
      </c>
    </row>
    <row r="18" spans="2:10">
      <c r="B18" s="94">
        <f>'1'!B7</f>
        <v>0</v>
      </c>
      <c r="C18" s="89">
        <f>'1'!D7-'1'!D21</f>
        <v>0</v>
      </c>
      <c r="D18" s="90">
        <f>'1'!F7</f>
        <v>0</v>
      </c>
      <c r="E18" s="91">
        <f t="shared" si="2"/>
        <v>0</v>
      </c>
      <c r="F18" s="92">
        <f t="shared" si="0"/>
        <v>0</v>
      </c>
      <c r="G18" s="37" t="str">
        <f t="shared" si="3"/>
        <v>UNIDADES</v>
      </c>
      <c r="H18" s="64">
        <f>'1'!D7</f>
        <v>0</v>
      </c>
      <c r="I18" s="93">
        <f t="shared" si="1"/>
        <v>0</v>
      </c>
      <c r="J18" s="64">
        <f>'1'!D21</f>
        <v>0</v>
      </c>
    </row>
    <row r="19" spans="2:10">
      <c r="B19" s="94">
        <f>'1'!B8</f>
        <v>0</v>
      </c>
      <c r="C19" s="89">
        <f>'1'!D8-'1'!D22</f>
        <v>0</v>
      </c>
      <c r="D19" s="90">
        <f>'1'!F8</f>
        <v>0</v>
      </c>
      <c r="E19" s="91">
        <f t="shared" si="2"/>
        <v>0</v>
      </c>
      <c r="F19" s="92">
        <f t="shared" si="0"/>
        <v>0</v>
      </c>
      <c r="G19" s="37" t="str">
        <f t="shared" si="3"/>
        <v>UNIDADES</v>
      </c>
      <c r="H19" s="64">
        <f>'1'!D8</f>
        <v>0</v>
      </c>
      <c r="I19" s="93">
        <f t="shared" si="1"/>
        <v>0</v>
      </c>
      <c r="J19" s="64">
        <f>'1'!D22</f>
        <v>0</v>
      </c>
    </row>
    <row r="20" spans="2:10">
      <c r="B20" s="94">
        <f>'1'!B9</f>
        <v>0</v>
      </c>
      <c r="C20" s="89">
        <f>'1'!D9-'1'!D23</f>
        <v>0</v>
      </c>
      <c r="D20" s="90">
        <f>'1'!F9</f>
        <v>0</v>
      </c>
      <c r="E20" s="91">
        <f t="shared" si="2"/>
        <v>0</v>
      </c>
      <c r="F20" s="92">
        <f t="shared" si="0"/>
        <v>0</v>
      </c>
      <c r="G20" s="37" t="str">
        <f t="shared" si="3"/>
        <v>UNIDADES</v>
      </c>
      <c r="H20" s="64">
        <f>'1'!D9</f>
        <v>0</v>
      </c>
      <c r="I20" s="93">
        <f t="shared" si="1"/>
        <v>0</v>
      </c>
      <c r="J20" s="64">
        <f>'1'!D23</f>
        <v>0</v>
      </c>
    </row>
    <row r="21" spans="2:10">
      <c r="B21" s="94">
        <f>'1'!B10</f>
        <v>0</v>
      </c>
      <c r="C21" s="89">
        <f>'1'!D10-'1'!D24</f>
        <v>0</v>
      </c>
      <c r="D21" s="90">
        <f>'1'!F10</f>
        <v>0</v>
      </c>
      <c r="E21" s="91">
        <f t="shared" si="2"/>
        <v>0</v>
      </c>
      <c r="F21" s="92">
        <f t="shared" si="0"/>
        <v>0</v>
      </c>
      <c r="G21" s="37" t="str">
        <f t="shared" si="3"/>
        <v>UNIDADES</v>
      </c>
      <c r="H21" s="64">
        <f>'1'!D10</f>
        <v>0</v>
      </c>
      <c r="I21" s="93">
        <f t="shared" si="1"/>
        <v>0</v>
      </c>
      <c r="J21" s="64">
        <f>'1'!D24</f>
        <v>0</v>
      </c>
    </row>
    <row r="22" spans="2:10">
      <c r="B22" s="94">
        <f>'1'!B11</f>
        <v>0</v>
      </c>
      <c r="C22" s="89">
        <f>'1'!D11-'1'!D25</f>
        <v>0</v>
      </c>
      <c r="D22" s="90">
        <f>'1'!F11</f>
        <v>0</v>
      </c>
      <c r="E22" s="91">
        <f t="shared" si="2"/>
        <v>0</v>
      </c>
      <c r="F22" s="92">
        <f t="shared" si="0"/>
        <v>0</v>
      </c>
      <c r="G22" s="37" t="str">
        <f t="shared" si="3"/>
        <v>UNIDADES</v>
      </c>
      <c r="H22" s="64">
        <f>'1'!D11</f>
        <v>0</v>
      </c>
      <c r="I22" s="93">
        <f t="shared" si="1"/>
        <v>0</v>
      </c>
      <c r="J22" s="64">
        <f>'1'!D25</f>
        <v>0</v>
      </c>
    </row>
    <row r="23" spans="2:10">
      <c r="B23" s="94">
        <f>'1'!B12</f>
        <v>0</v>
      </c>
      <c r="C23" s="89">
        <f>'1'!D12-'1'!D26</f>
        <v>0</v>
      </c>
      <c r="D23" s="90">
        <f>'1'!F12</f>
        <v>0</v>
      </c>
      <c r="E23" s="91">
        <f t="shared" si="2"/>
        <v>0</v>
      </c>
      <c r="F23" s="92">
        <f t="shared" si="0"/>
        <v>0</v>
      </c>
      <c r="G23" s="37" t="str">
        <f t="shared" si="3"/>
        <v>UNIDADES</v>
      </c>
      <c r="H23" s="64">
        <f>'1'!D12</f>
        <v>0</v>
      </c>
      <c r="I23" s="93">
        <f t="shared" si="1"/>
        <v>0</v>
      </c>
      <c r="J23" s="64">
        <f>'1'!D26</f>
        <v>0</v>
      </c>
    </row>
    <row r="24" spans="2:10" ht="26.25">
      <c r="B24" s="95"/>
      <c r="C24" s="96"/>
      <c r="D24" s="97"/>
      <c r="E24" s="23"/>
      <c r="F24" s="98">
        <f>SUM(F14:F23)</f>
        <v>67.089570017431726</v>
      </c>
      <c r="G24" s="12" t="str">
        <f>G23</f>
        <v>UNIDADES</v>
      </c>
      <c r="H24" s="64"/>
      <c r="I24" s="93"/>
      <c r="J24" s="64"/>
    </row>
    <row r="25" spans="2:10" ht="12.75" customHeight="1">
      <c r="B25" s="95"/>
      <c r="C25" s="96"/>
      <c r="D25" s="97"/>
      <c r="E25" s="23"/>
      <c r="F25" s="98"/>
      <c r="H25" s="64"/>
      <c r="I25" s="93"/>
      <c r="J25" s="64"/>
    </row>
    <row r="26" spans="2:10" ht="21" customHeight="1">
      <c r="B26" s="148" t="s">
        <v>140</v>
      </c>
      <c r="C26" s="148"/>
      <c r="D26" s="148"/>
      <c r="E26" s="104">
        <f>SUM(E14:E23)</f>
        <v>1247101.4492753623</v>
      </c>
      <c r="H26" s="63"/>
      <c r="I26" s="63"/>
      <c r="J26" s="63"/>
    </row>
    <row r="27" spans="2:10" ht="19.5" customHeight="1">
      <c r="B27" s="148" t="s">
        <v>139</v>
      </c>
      <c r="C27" s="148"/>
      <c r="D27" s="148"/>
      <c r="E27" s="105">
        <f>IF(E26=0,0,('2'!C23+'2'!F31+'2'!C25)/'5'!E26)</f>
        <v>67.089570017431726</v>
      </c>
      <c r="F27" s="99" t="s">
        <v>132</v>
      </c>
      <c r="H27" s="100"/>
    </row>
    <row r="30" spans="2:10">
      <c r="B30" s="63"/>
      <c r="C30" s="63"/>
      <c r="D30" s="63"/>
      <c r="E30" s="63"/>
      <c r="F30" s="63"/>
      <c r="G30" s="63"/>
    </row>
    <row r="31" spans="2:10">
      <c r="B31" s="63"/>
      <c r="C31" s="63" t="s">
        <v>134</v>
      </c>
      <c r="D31" s="63" t="s">
        <v>135</v>
      </c>
      <c r="E31" s="63" t="s">
        <v>138</v>
      </c>
      <c r="F31" s="63" t="s">
        <v>136</v>
      </c>
      <c r="G31" s="63"/>
    </row>
    <row r="32" spans="2:10">
      <c r="B32" s="63">
        <v>0</v>
      </c>
      <c r="C32" s="64">
        <f>'2'!C25+'2'!F31+'2'!C23</f>
        <v>83667500</v>
      </c>
      <c r="D32" s="63">
        <f>0</f>
        <v>0</v>
      </c>
      <c r="E32" s="63">
        <v>0</v>
      </c>
      <c r="F32" s="64">
        <f>C32+E32</f>
        <v>83667500</v>
      </c>
      <c r="G32" s="63"/>
    </row>
    <row r="33" spans="2:7">
      <c r="B33" s="93">
        <f>F24</f>
        <v>67.089570017431726</v>
      </c>
      <c r="C33" s="64">
        <f>C32</f>
        <v>83667500</v>
      </c>
      <c r="D33" s="101">
        <f>SUMPRODUCT(F14:F23,H14:H23)</f>
        <v>83667500</v>
      </c>
      <c r="E33" s="101">
        <f>SUMPRODUCT(F14:F23,J14:J23)</f>
        <v>0</v>
      </c>
      <c r="F33" s="64">
        <f t="shared" ref="F33:F34" si="4">C33+E33</f>
        <v>83667500</v>
      </c>
      <c r="G33" s="63"/>
    </row>
    <row r="34" spans="2:7">
      <c r="B34" s="93">
        <f>B33*2</f>
        <v>134.17914003486345</v>
      </c>
      <c r="C34" s="64">
        <f>C33</f>
        <v>83667500</v>
      </c>
      <c r="D34" s="101">
        <f>SUMPRODUCT(H14:H23,I14:I23)</f>
        <v>167335000</v>
      </c>
      <c r="E34" s="101">
        <f>SUMPRODUCT(I14:I23,J14:J23)</f>
        <v>0</v>
      </c>
      <c r="F34" s="64">
        <f t="shared" si="4"/>
        <v>83667500</v>
      </c>
      <c r="G34" s="63"/>
    </row>
    <row r="35" spans="2:7">
      <c r="B35" s="63"/>
      <c r="C35" s="64"/>
      <c r="D35" s="63"/>
      <c r="E35" s="63"/>
      <c r="F35" s="63"/>
      <c r="G35" s="63"/>
    </row>
    <row r="36" spans="2:7">
      <c r="C36" s="23"/>
    </row>
    <row r="37" spans="2:7">
      <c r="C37" s="23"/>
    </row>
    <row r="38" spans="2:7">
      <c r="C38" s="23"/>
    </row>
    <row r="39" spans="2:7">
      <c r="C39" s="23"/>
    </row>
    <row r="40" spans="2:7">
      <c r="C40" s="23"/>
    </row>
    <row r="41" spans="2:7">
      <c r="C41" s="23"/>
    </row>
    <row r="42" spans="2:7">
      <c r="C42" s="23"/>
    </row>
    <row r="43" spans="2:7">
      <c r="C43" s="23"/>
    </row>
    <row r="44" spans="2:7">
      <c r="C44" s="23"/>
    </row>
    <row r="45" spans="2:7">
      <c r="C45" s="23"/>
    </row>
    <row r="46" spans="2:7">
      <c r="C46" s="23"/>
    </row>
    <row r="47" spans="2:7">
      <c r="C47" s="23"/>
    </row>
  </sheetData>
  <sheetProtection algorithmName="SHA-512" hashValue="EVCFUD4AE3V94m8iTpFYT0RPkwZ1ikZy8btyCeW8tukvl1y7ftTDly7WhjqILlRXVhpxqulr9eiaxP4fWK7XWA==" saltValue="sPzF6etJdUPJ35j4CyD5jQ==" spinCount="100000" sheet="1" objects="1" scenarios="1" formatCells="0" formatColumns="0" formatRows="0"/>
  <mergeCells count="7">
    <mergeCell ref="B26:D26"/>
    <mergeCell ref="B27:D27"/>
    <mergeCell ref="B2:F2"/>
    <mergeCell ref="G2:H2"/>
    <mergeCell ref="B3:D4"/>
    <mergeCell ref="E3:F4"/>
    <mergeCell ref="B12:H12"/>
  </mergeCells>
  <conditionalFormatting sqref="D10">
    <cfRule type="cellIs" dxfId="2" priority="1" operator="equal">
      <formula>$E$3</formula>
    </cfRule>
    <cfRule type="cellIs" dxfId="1" priority="2" operator="greaterThan">
      <formula>$E$3</formula>
    </cfRule>
    <cfRule type="cellIs" dxfId="0" priority="3" operator="lessThan">
      <formula>$E$3</formula>
    </cfRule>
  </conditionalFormatting>
  <pageMargins left="0.7" right="0.7" top="0.75" bottom="0.75" header="0.3" footer="0.3"/>
  <pageSetup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Menú</vt:lpstr>
      <vt:lpstr>1</vt:lpstr>
      <vt:lpstr>2</vt:lpstr>
      <vt:lpstr>3</vt:lpstr>
      <vt:lpstr>4</vt:lpstr>
      <vt:lpstr>5</vt:lpstr>
      <vt:lpstr>Hoja1</vt:lpstr>
      <vt:lpstr>Menú!Área_de_impresión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Nathalia Silva Nino</cp:lastModifiedBy>
  <dcterms:created xsi:type="dcterms:W3CDTF">2013-07-30T17:19:59Z</dcterms:created>
  <dcterms:modified xsi:type="dcterms:W3CDTF">2019-08-12T13:01:26Z</dcterms:modified>
</cp:coreProperties>
</file>