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.garay\Desktop\copialuisgaray\Desktop\TESIS DE GRADO 2016\"/>
    </mc:Choice>
  </mc:AlternateContent>
  <bookViews>
    <workbookView xWindow="0" yWindow="0" windowWidth="19440" windowHeight="7755"/>
  </bookViews>
  <sheets>
    <sheet name="NECESIDADES" sheetId="7" r:id="rId1"/>
    <sheet name="BASES DE LAS PROYECCIONE" sheetId="2" r:id="rId2"/>
    <sheet name="PROYECCION VENTAS" sheetId="8" r:id="rId3"/>
    <sheet name="PLAN DE AMORTIZACIÓN" sheetId="5" r:id="rId4"/>
    <sheet name="ESTADO DE RESULTADOS" sheetId="3" r:id="rId5"/>
    <sheet name="FLUJO DE CAJA" sheetId="4" r:id="rId6"/>
    <sheet name="BALANCE GENERAL" sheetId="1" r:id="rId7"/>
    <sheet name="WACC" sheetId="9" r:id="rId8"/>
    <sheet name="EVALUACIÓN" sheetId="10" r:id="rId9"/>
    <sheet name="INDICADORES" sheetId="11" r:id="rId10"/>
  </sheets>
  <externalReferences>
    <externalReference r:id="rId11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0" l="1"/>
  <c r="B32" i="10"/>
  <c r="B33" i="10" s="1"/>
  <c r="B34" i="10" s="1"/>
  <c r="B29" i="10"/>
  <c r="B28" i="10" s="1"/>
  <c r="B27" i="10" s="1"/>
  <c r="B26" i="10" s="1"/>
  <c r="B25" i="10" s="1"/>
  <c r="B24" i="10" s="1"/>
  <c r="B23" i="10" s="1"/>
  <c r="B22" i="10" s="1"/>
  <c r="B21" i="10" s="1"/>
  <c r="N20" i="10"/>
  <c r="L20" i="10"/>
  <c r="K20" i="10" s="1"/>
  <c r="J20" i="10" s="1"/>
  <c r="I20" i="10" s="1"/>
  <c r="H20" i="10" s="1"/>
  <c r="G20" i="10" s="1"/>
  <c r="F20" i="10" s="1"/>
  <c r="E20" i="10" s="1"/>
  <c r="D20" i="10" s="1"/>
  <c r="C20" i="10" s="1"/>
  <c r="C325" i="9" l="1"/>
  <c r="C332" i="9"/>
  <c r="C321" i="9"/>
  <c r="B14" i="8" l="1"/>
  <c r="H1" i="5"/>
  <c r="N1" i="5" s="1"/>
  <c r="C61" i="7"/>
  <c r="F3" i="11" l="1"/>
  <c r="C3" i="11"/>
  <c r="D3" i="11"/>
  <c r="E3" i="11"/>
  <c r="B3" i="11"/>
  <c r="A1" i="4" l="1"/>
  <c r="A1" i="1" s="1"/>
  <c r="A1" i="10" s="1"/>
  <c r="A1" i="11" s="1"/>
  <c r="N3" i="5" l="1"/>
  <c r="N2" i="5"/>
  <c r="D81" i="2" l="1"/>
  <c r="D84" i="2"/>
  <c r="C4" i="3"/>
  <c r="C5" i="3"/>
  <c r="A20" i="10" l="1"/>
  <c r="C19" i="10"/>
  <c r="M348" i="9"/>
  <c r="C334" i="9"/>
  <c r="C336" i="9" s="1"/>
  <c r="O333" i="9"/>
  <c r="O332" i="9"/>
  <c r="O331" i="9"/>
  <c r="O330" i="9"/>
  <c r="O329" i="9"/>
  <c r="C328" i="9"/>
  <c r="B32" i="8"/>
  <c r="C32" i="8" s="1"/>
  <c r="D32" i="8" s="1"/>
  <c r="E32" i="8" s="1"/>
  <c r="F32" i="8" s="1"/>
  <c r="C322" i="9"/>
  <c r="G310" i="9"/>
  <c r="G356" i="9" s="1"/>
  <c r="F310" i="9"/>
  <c r="F356" i="9" s="1"/>
  <c r="E310" i="9"/>
  <c r="E356" i="9" s="1"/>
  <c r="D310" i="9"/>
  <c r="D356" i="9" s="1"/>
  <c r="C310" i="9"/>
  <c r="C356" i="9" s="1"/>
  <c r="F280" i="9"/>
  <c r="E280" i="9"/>
  <c r="D280" i="9"/>
  <c r="C280" i="9"/>
  <c r="B280" i="9"/>
  <c r="F265" i="9"/>
  <c r="E265" i="9"/>
  <c r="D265" i="9"/>
  <c r="C265" i="9"/>
  <c r="B265" i="9"/>
  <c r="F264" i="9"/>
  <c r="E264" i="9"/>
  <c r="D264" i="9"/>
  <c r="C264" i="9"/>
  <c r="B264" i="9"/>
  <c r="B263" i="9"/>
  <c r="F260" i="9"/>
  <c r="E260" i="9"/>
  <c r="D260" i="9"/>
  <c r="C260" i="9"/>
  <c r="B260" i="9"/>
  <c r="F249" i="9"/>
  <c r="E249" i="9"/>
  <c r="D249" i="9"/>
  <c r="C249" i="9"/>
  <c r="B249" i="9"/>
  <c r="B248" i="9"/>
  <c r="F240" i="9"/>
  <c r="E240" i="9"/>
  <c r="F221" i="9"/>
  <c r="E221" i="9"/>
  <c r="D221" i="9"/>
  <c r="C221" i="9"/>
  <c r="B221" i="9"/>
  <c r="F220" i="9"/>
  <c r="E220" i="9"/>
  <c r="D220" i="9"/>
  <c r="C220" i="9"/>
  <c r="B220" i="9"/>
  <c r="F216" i="9"/>
  <c r="E216" i="9"/>
  <c r="D216" i="9"/>
  <c r="C216" i="9"/>
  <c r="B216" i="9"/>
  <c r="F212" i="9"/>
  <c r="E212" i="9"/>
  <c r="D212" i="9"/>
  <c r="C212" i="9"/>
  <c r="B212" i="9"/>
  <c r="F199" i="9"/>
  <c r="E199" i="9"/>
  <c r="D199" i="9"/>
  <c r="C199" i="9"/>
  <c r="B199" i="9"/>
  <c r="C184" i="9"/>
  <c r="B184" i="9"/>
  <c r="H151" i="9"/>
  <c r="G151" i="9"/>
  <c r="F151" i="9"/>
  <c r="E151" i="9"/>
  <c r="D151" i="9"/>
  <c r="C147" i="9"/>
  <c r="C150" i="9" s="1"/>
  <c r="C137" i="9"/>
  <c r="C138" i="9" s="1"/>
  <c r="C134" i="9"/>
  <c r="C127" i="9"/>
  <c r="C124" i="9"/>
  <c r="F118" i="9"/>
  <c r="G118" i="9" s="1"/>
  <c r="H118" i="9" s="1"/>
  <c r="I118" i="9" s="1"/>
  <c r="J118" i="9" s="1"/>
  <c r="E114" i="9"/>
  <c r="D114" i="9"/>
  <c r="C114" i="9"/>
  <c r="B114" i="9"/>
  <c r="F113" i="9"/>
  <c r="G113" i="9" s="1"/>
  <c r="H113" i="9" s="1"/>
  <c r="I113" i="9" s="1"/>
  <c r="J113" i="9" s="1"/>
  <c r="E109" i="9"/>
  <c r="D109" i="9"/>
  <c r="C109" i="9"/>
  <c r="B109" i="9"/>
  <c r="F108" i="9"/>
  <c r="G108" i="9" s="1"/>
  <c r="H108" i="9" s="1"/>
  <c r="I108" i="9" s="1"/>
  <c r="J108" i="9" s="1"/>
  <c r="E97" i="9"/>
  <c r="D97" i="9"/>
  <c r="C97" i="9"/>
  <c r="B97" i="9"/>
  <c r="J96" i="9"/>
  <c r="I96" i="9"/>
  <c r="H96" i="9"/>
  <c r="G96" i="9"/>
  <c r="F96" i="9"/>
  <c r="E96" i="9"/>
  <c r="D96" i="9"/>
  <c r="C96" i="9"/>
  <c r="E95" i="9"/>
  <c r="D95" i="9"/>
  <c r="C95" i="9"/>
  <c r="B95" i="9"/>
  <c r="F94" i="9"/>
  <c r="G94" i="9" s="1"/>
  <c r="H94" i="9" s="1"/>
  <c r="I94" i="9" s="1"/>
  <c r="J94" i="9" s="1"/>
  <c r="E89" i="9"/>
  <c r="E90" i="9" s="1"/>
  <c r="D89" i="9"/>
  <c r="D90" i="9" s="1"/>
  <c r="C89" i="9"/>
  <c r="C90" i="9" s="1"/>
  <c r="B89" i="9"/>
  <c r="B90" i="9" s="1"/>
  <c r="F88" i="9"/>
  <c r="G88" i="9" s="1"/>
  <c r="H88" i="9" s="1"/>
  <c r="I88" i="9" s="1"/>
  <c r="J88" i="9" s="1"/>
  <c r="J84" i="9"/>
  <c r="I84" i="9"/>
  <c r="H84" i="9"/>
  <c r="G84" i="9"/>
  <c r="F84" i="9"/>
  <c r="E84" i="9"/>
  <c r="D84" i="9"/>
  <c r="C84" i="9"/>
  <c r="E82" i="9"/>
  <c r="D82" i="9"/>
  <c r="C82" i="9"/>
  <c r="E81" i="9"/>
  <c r="D81" i="9"/>
  <c r="C81" i="9"/>
  <c r="B81" i="9"/>
  <c r="F80" i="9"/>
  <c r="G80" i="9" s="1"/>
  <c r="H80" i="9" s="1"/>
  <c r="I80" i="9" s="1"/>
  <c r="J80" i="9" s="1"/>
  <c r="F79" i="9"/>
  <c r="G79" i="9" s="1"/>
  <c r="H79" i="9" s="1"/>
  <c r="I79" i="9" s="1"/>
  <c r="J79" i="9" s="1"/>
  <c r="I74" i="9"/>
  <c r="H74" i="9"/>
  <c r="G74" i="9"/>
  <c r="F74" i="9"/>
  <c r="E74" i="9"/>
  <c r="D74" i="9"/>
  <c r="C74" i="9"/>
  <c r="B74" i="9"/>
  <c r="C71" i="9"/>
  <c r="C146" i="9" s="1"/>
  <c r="B71" i="9"/>
  <c r="B101" i="9" s="1"/>
  <c r="E62" i="9"/>
  <c r="D62" i="9"/>
  <c r="C62" i="9"/>
  <c r="B62" i="9"/>
  <c r="J59" i="9"/>
  <c r="F180" i="9" s="1"/>
  <c r="I59" i="9"/>
  <c r="E180" i="9" s="1"/>
  <c r="H59" i="9"/>
  <c r="D180" i="9" s="1"/>
  <c r="G59" i="9"/>
  <c r="C180" i="9" s="1"/>
  <c r="F59" i="9"/>
  <c r="B180" i="9" s="1"/>
  <c r="E55" i="9"/>
  <c r="D55" i="9"/>
  <c r="C55" i="9"/>
  <c r="B55" i="9"/>
  <c r="J54" i="9"/>
  <c r="F175" i="9" s="1"/>
  <c r="I54" i="9"/>
  <c r="E175" i="9" s="1"/>
  <c r="H54" i="9"/>
  <c r="D175" i="9" s="1"/>
  <c r="G54" i="9"/>
  <c r="C175" i="9" s="1"/>
  <c r="F54" i="9"/>
  <c r="B175" i="9" s="1"/>
  <c r="F52" i="9"/>
  <c r="B173" i="9" s="1"/>
  <c r="E50" i="9"/>
  <c r="D50" i="9"/>
  <c r="C50" i="9"/>
  <c r="B50" i="9"/>
  <c r="B57" i="9" s="1"/>
  <c r="J49" i="9"/>
  <c r="F170" i="9" s="1"/>
  <c r="I49" i="9"/>
  <c r="E170" i="9" s="1"/>
  <c r="H49" i="9"/>
  <c r="D170" i="9" s="1"/>
  <c r="G49" i="9"/>
  <c r="C170" i="9" s="1"/>
  <c r="C285" i="9" s="1"/>
  <c r="F49" i="9"/>
  <c r="B170" i="9" s="1"/>
  <c r="F47" i="9"/>
  <c r="B168" i="9" s="1"/>
  <c r="J46" i="9"/>
  <c r="I46" i="9"/>
  <c r="H46" i="9"/>
  <c r="G46" i="9"/>
  <c r="F46" i="9"/>
  <c r="E46" i="9"/>
  <c r="D46" i="9"/>
  <c r="C46" i="9"/>
  <c r="B46" i="9"/>
  <c r="F35" i="9"/>
  <c r="B226" i="9" s="1"/>
  <c r="E30" i="9"/>
  <c r="D30" i="9"/>
  <c r="C30" i="9"/>
  <c r="B29" i="9"/>
  <c r="B30" i="9" s="1"/>
  <c r="J27" i="9"/>
  <c r="F219" i="9" s="1"/>
  <c r="I27" i="9"/>
  <c r="E219" i="9" s="1"/>
  <c r="H27" i="9"/>
  <c r="D219" i="9" s="1"/>
  <c r="G27" i="9"/>
  <c r="C219" i="9" s="1"/>
  <c r="F27" i="9"/>
  <c r="B219" i="9" s="1"/>
  <c r="E25" i="9"/>
  <c r="D25" i="9"/>
  <c r="C25" i="9"/>
  <c r="B25" i="9"/>
  <c r="F213" i="9"/>
  <c r="E213" i="9"/>
  <c r="D213" i="9"/>
  <c r="C213" i="9"/>
  <c r="B213" i="9"/>
  <c r="F15" i="9"/>
  <c r="B206" i="9" s="1"/>
  <c r="E14" i="9"/>
  <c r="E16" i="9" s="1"/>
  <c r="D14" i="9"/>
  <c r="D16" i="9" s="1"/>
  <c r="C14" i="9"/>
  <c r="C16" i="9" s="1"/>
  <c r="B14" i="9"/>
  <c r="B16" i="9" s="1"/>
  <c r="F12" i="9"/>
  <c r="B203" i="9" s="1"/>
  <c r="E7" i="9"/>
  <c r="B242" i="9" s="1"/>
  <c r="D7" i="9"/>
  <c r="D10" i="9" s="1"/>
  <c r="C7" i="9"/>
  <c r="C10" i="9" s="1"/>
  <c r="B7" i="9"/>
  <c r="B10" i="9" s="1"/>
  <c r="B285" i="9" l="1"/>
  <c r="F285" i="9"/>
  <c r="E57" i="9"/>
  <c r="E64" i="9" s="1"/>
  <c r="D285" i="9"/>
  <c r="C57" i="9"/>
  <c r="E285" i="9"/>
  <c r="D57" i="9"/>
  <c r="D64" i="9" s="1"/>
  <c r="F13" i="9"/>
  <c r="B204" i="9" s="1"/>
  <c r="D302" i="9"/>
  <c r="D312" i="9" s="1"/>
  <c r="F302" i="9"/>
  <c r="F312" i="9" s="1"/>
  <c r="D32" i="9"/>
  <c r="B222" i="9"/>
  <c r="D222" i="9"/>
  <c r="F222" i="9"/>
  <c r="G35" i="9"/>
  <c r="C226" i="9" s="1"/>
  <c r="B64" i="9"/>
  <c r="B66" i="9" s="1"/>
  <c r="B36" i="9" s="1"/>
  <c r="B38" i="9" s="1"/>
  <c r="C302" i="9"/>
  <c r="C312" i="9" s="1"/>
  <c r="E302" i="9"/>
  <c r="E312" i="9" s="1"/>
  <c r="G302" i="9"/>
  <c r="C32" i="9"/>
  <c r="E32" i="9"/>
  <c r="C222" i="9"/>
  <c r="E222" i="9"/>
  <c r="C64" i="9"/>
  <c r="B134" i="2"/>
  <c r="C134" i="2" s="1"/>
  <c r="D134" i="2" s="1"/>
  <c r="E134" i="2" s="1"/>
  <c r="F134" i="2" s="1"/>
  <c r="C1" i="3"/>
  <c r="B205" i="9"/>
  <c r="B207" i="9" s="1"/>
  <c r="G13" i="9"/>
  <c r="C204" i="9" s="1"/>
  <c r="C17" i="9"/>
  <c r="G15" i="9"/>
  <c r="C206" i="9" s="1"/>
  <c r="B32" i="9"/>
  <c r="C83" i="9"/>
  <c r="E83" i="9"/>
  <c r="E10" i="9"/>
  <c r="E17" i="9" s="1"/>
  <c r="C323" i="9"/>
  <c r="G334" i="9"/>
  <c r="G336" i="9" s="1"/>
  <c r="C66" i="9"/>
  <c r="C36" i="9" s="1"/>
  <c r="C38" i="9" s="1"/>
  <c r="C40" i="9" s="1"/>
  <c r="C42" i="9" s="1"/>
  <c r="C119" i="9"/>
  <c r="C152" i="9"/>
  <c r="D152" i="9" s="1"/>
  <c r="E152" i="9" s="1"/>
  <c r="F152" i="9" s="1"/>
  <c r="G152" i="9" s="1"/>
  <c r="H152" i="9" s="1"/>
  <c r="D150" i="9"/>
  <c r="E150" i="9" s="1"/>
  <c r="F150" i="9" s="1"/>
  <c r="G150" i="9" s="1"/>
  <c r="H150" i="9" s="1"/>
  <c r="B119" i="9"/>
  <c r="B17" i="9"/>
  <c r="D17" i="9"/>
  <c r="C311" i="9"/>
  <c r="B283" i="9"/>
  <c r="B261" i="9"/>
  <c r="E311" i="9"/>
  <c r="D283" i="9"/>
  <c r="D261" i="9"/>
  <c r="G311" i="9"/>
  <c r="F283" i="9"/>
  <c r="F261" i="9"/>
  <c r="F14" i="9"/>
  <c r="F16" i="9" s="1"/>
  <c r="G12" i="9"/>
  <c r="G30" i="9"/>
  <c r="I30" i="9"/>
  <c r="G47" i="9"/>
  <c r="F48" i="9"/>
  <c r="G52" i="9"/>
  <c r="F53" i="9"/>
  <c r="B174" i="9" s="1"/>
  <c r="B258" i="9" s="1"/>
  <c r="F61" i="9"/>
  <c r="D71" i="9"/>
  <c r="D83" i="9"/>
  <c r="G90" i="9"/>
  <c r="I90" i="9"/>
  <c r="C101" i="9"/>
  <c r="D124" i="9"/>
  <c r="D130" i="9" s="1"/>
  <c r="D126" i="9"/>
  <c r="B246" i="9" s="1"/>
  <c r="D136" i="9"/>
  <c r="B256" i="9" s="1"/>
  <c r="B146" i="9"/>
  <c r="D147" i="9"/>
  <c r="G312" i="9"/>
  <c r="B257" i="9"/>
  <c r="C283" i="9"/>
  <c r="C261" i="9"/>
  <c r="D311" i="9"/>
  <c r="E283" i="9"/>
  <c r="E261" i="9"/>
  <c r="F311" i="9"/>
  <c r="F30" i="9"/>
  <c r="H30" i="9"/>
  <c r="J30" i="9"/>
  <c r="F60" i="9"/>
  <c r="F81" i="9"/>
  <c r="F90" i="9"/>
  <c r="H90" i="9"/>
  <c r="J90" i="9"/>
  <c r="C123" i="9"/>
  <c r="C133" i="9"/>
  <c r="D334" i="9"/>
  <c r="F334" i="9"/>
  <c r="D350" i="9"/>
  <c r="F350" i="9"/>
  <c r="C320" i="9"/>
  <c r="E334" i="9"/>
  <c r="C350" i="9"/>
  <c r="E350" i="9"/>
  <c r="G350" i="9"/>
  <c r="E119" i="9" l="1"/>
  <c r="E66" i="9"/>
  <c r="B176" i="9"/>
  <c r="H15" i="9"/>
  <c r="D206" i="9" s="1"/>
  <c r="D119" i="9"/>
  <c r="D66" i="9"/>
  <c r="D36" i="9" s="1"/>
  <c r="D38" i="9" s="1"/>
  <c r="D40" i="9" s="1"/>
  <c r="H35" i="9"/>
  <c r="C330" i="9"/>
  <c r="C326" i="9"/>
  <c r="E313" i="9"/>
  <c r="E314" i="9" s="1"/>
  <c r="E357" i="9" s="1"/>
  <c r="F55" i="9"/>
  <c r="F313" i="9"/>
  <c r="F314" i="9" s="1"/>
  <c r="F357" i="9" s="1"/>
  <c r="E36" i="9"/>
  <c r="B12" i="10"/>
  <c r="C2" i="3"/>
  <c r="D1" i="3"/>
  <c r="D313" i="9"/>
  <c r="D314" i="9" s="1"/>
  <c r="D357" i="9" s="1"/>
  <c r="H13" i="9"/>
  <c r="D204" i="9" s="1"/>
  <c r="B40" i="9"/>
  <c r="B42" i="9" s="1"/>
  <c r="F336" i="9"/>
  <c r="B262" i="9"/>
  <c r="B181" i="9"/>
  <c r="F62" i="9"/>
  <c r="E147" i="9"/>
  <c r="F34" i="9"/>
  <c r="D101" i="9"/>
  <c r="E71" i="9"/>
  <c r="D146" i="9"/>
  <c r="D133" i="9"/>
  <c r="D123" i="9"/>
  <c r="C173" i="9"/>
  <c r="H52" i="9"/>
  <c r="B169" i="9"/>
  <c r="B171" i="9" s="1"/>
  <c r="D134" i="9"/>
  <c r="D226" i="9"/>
  <c r="I35" i="9"/>
  <c r="C203" i="9"/>
  <c r="C205" i="9" s="1"/>
  <c r="C207" i="9" s="1"/>
  <c r="G14" i="9"/>
  <c r="G16" i="9" s="1"/>
  <c r="H12" i="9"/>
  <c r="E336" i="9"/>
  <c r="D336" i="9"/>
  <c r="D127" i="9"/>
  <c r="D125" i="9" s="1"/>
  <c r="B245" i="9" s="1"/>
  <c r="B247" i="9"/>
  <c r="B182" i="9"/>
  <c r="C168" i="9"/>
  <c r="E124" i="9"/>
  <c r="G61" i="9"/>
  <c r="G53" i="9"/>
  <c r="C174" i="9" s="1"/>
  <c r="C258" i="9" s="1"/>
  <c r="G48" i="9"/>
  <c r="G50" i="9" s="1"/>
  <c r="H47" i="9"/>
  <c r="G81" i="9"/>
  <c r="G60" i="9"/>
  <c r="I13" i="9"/>
  <c r="E38" i="9"/>
  <c r="F37" i="9"/>
  <c r="F50" i="9"/>
  <c r="G313" i="9"/>
  <c r="G314" i="9" s="1"/>
  <c r="G357" i="9" s="1"/>
  <c r="C313" i="9"/>
  <c r="C314" i="9" s="1"/>
  <c r="C357" i="9" s="1"/>
  <c r="D42" i="9"/>
  <c r="I15" i="9" l="1"/>
  <c r="B178" i="9"/>
  <c r="F57" i="9"/>
  <c r="F64" i="9" s="1"/>
  <c r="D2" i="3"/>
  <c r="E1" i="3"/>
  <c r="B228" i="9"/>
  <c r="E204" i="9"/>
  <c r="J13" i="9"/>
  <c r="F204" i="9" s="1"/>
  <c r="C262" i="9"/>
  <c r="C181" i="9"/>
  <c r="G62" i="9"/>
  <c r="D168" i="9"/>
  <c r="H81" i="9"/>
  <c r="H60" i="9"/>
  <c r="F124" i="9"/>
  <c r="H61" i="9"/>
  <c r="H53" i="9"/>
  <c r="D174" i="9" s="1"/>
  <c r="D258" i="9" s="1"/>
  <c r="H48" i="9"/>
  <c r="H50" i="9" s="1"/>
  <c r="I47" i="9"/>
  <c r="C247" i="9"/>
  <c r="C182" i="9"/>
  <c r="E206" i="9"/>
  <c r="J15" i="9"/>
  <c r="F206" i="9" s="1"/>
  <c r="E226" i="9"/>
  <c r="J35" i="9"/>
  <c r="F226" i="9" s="1"/>
  <c r="D137" i="9"/>
  <c r="D135" i="9" s="1"/>
  <c r="B255" i="9" s="1"/>
  <c r="B266" i="9" s="1"/>
  <c r="D139" i="9"/>
  <c r="D173" i="9"/>
  <c r="H55" i="9"/>
  <c r="I52" i="9"/>
  <c r="C176" i="9"/>
  <c r="C257" i="9"/>
  <c r="E146" i="9"/>
  <c r="E133" i="9"/>
  <c r="E123" i="9"/>
  <c r="E101" i="9"/>
  <c r="F71" i="9"/>
  <c r="B225" i="9"/>
  <c r="C153" i="9"/>
  <c r="C154" i="9" s="1"/>
  <c r="E40" i="9"/>
  <c r="E42" i="9" s="1"/>
  <c r="C169" i="9"/>
  <c r="C171" i="9" s="1"/>
  <c r="E134" i="9"/>
  <c r="E127" i="9"/>
  <c r="E125" i="9" s="1"/>
  <c r="C245" i="9" s="1"/>
  <c r="E126" i="9"/>
  <c r="C246" i="9" s="1"/>
  <c r="F8" i="9"/>
  <c r="B200" i="9" s="1"/>
  <c r="E130" i="9"/>
  <c r="D203" i="9"/>
  <c r="D205" i="9" s="1"/>
  <c r="D207" i="9" s="1"/>
  <c r="I12" i="9"/>
  <c r="H14" i="9"/>
  <c r="H16" i="9" s="1"/>
  <c r="F147" i="9"/>
  <c r="G34" i="9"/>
  <c r="B250" i="9"/>
  <c r="G55" i="9"/>
  <c r="G57" i="9" s="1"/>
  <c r="B183" i="9"/>
  <c r="B185" i="9" s="1"/>
  <c r="D131" i="9"/>
  <c r="C178" i="9" l="1"/>
  <c r="G64" i="9"/>
  <c r="E131" i="9"/>
  <c r="E2" i="3"/>
  <c r="F1" i="3"/>
  <c r="H57" i="9"/>
  <c r="C250" i="9"/>
  <c r="B189" i="9"/>
  <c r="F65" i="9"/>
  <c r="F66" i="9" s="1"/>
  <c r="B268" i="9"/>
  <c r="B252" i="9"/>
  <c r="B270" i="9" s="1"/>
  <c r="B273" i="9" s="1"/>
  <c r="E203" i="9"/>
  <c r="E205" i="9" s="1"/>
  <c r="E207" i="9" s="1"/>
  <c r="J12" i="9"/>
  <c r="I14" i="9"/>
  <c r="I16" i="9" s="1"/>
  <c r="C225" i="9"/>
  <c r="E137" i="9"/>
  <c r="E135" i="9" s="1"/>
  <c r="C255" i="9" s="1"/>
  <c r="F101" i="9"/>
  <c r="G71" i="9"/>
  <c r="F146" i="9"/>
  <c r="F133" i="9"/>
  <c r="F123" i="9"/>
  <c r="D169" i="9"/>
  <c r="D171" i="9" s="1"/>
  <c r="F134" i="9"/>
  <c r="F127" i="9"/>
  <c r="F125" i="9" s="1"/>
  <c r="D245" i="9" s="1"/>
  <c r="D140" i="9"/>
  <c r="G65" i="9"/>
  <c r="G66" i="9" s="1"/>
  <c r="H34" i="9"/>
  <c r="G147" i="9"/>
  <c r="F130" i="9"/>
  <c r="F126" i="9"/>
  <c r="D246" i="9" s="1"/>
  <c r="G8" i="9"/>
  <c r="C200" i="9" s="1"/>
  <c r="C303" i="9"/>
  <c r="E173" i="9"/>
  <c r="J52" i="9"/>
  <c r="D257" i="9"/>
  <c r="D176" i="9"/>
  <c r="E139" i="9"/>
  <c r="E136" i="9"/>
  <c r="C256" i="9" s="1"/>
  <c r="F22" i="9"/>
  <c r="E168" i="9"/>
  <c r="G124" i="9"/>
  <c r="I61" i="9"/>
  <c r="I53" i="9"/>
  <c r="E174" i="9" s="1"/>
  <c r="E258" i="9" s="1"/>
  <c r="I48" i="9"/>
  <c r="I50" i="9" s="1"/>
  <c r="J47" i="9"/>
  <c r="I81" i="9"/>
  <c r="I60" i="9"/>
  <c r="D247" i="9"/>
  <c r="D182" i="9"/>
  <c r="D262" i="9"/>
  <c r="D181" i="9"/>
  <c r="H62" i="9"/>
  <c r="H64" i="9" s="1"/>
  <c r="C183" i="9"/>
  <c r="C185" i="9" s="1"/>
  <c r="D183" i="9" l="1"/>
  <c r="D178" i="9"/>
  <c r="D185" i="9" s="1"/>
  <c r="E140" i="9"/>
  <c r="F131" i="9"/>
  <c r="F2" i="3"/>
  <c r="G1" i="3"/>
  <c r="G2" i="3" s="1"/>
  <c r="D250" i="9"/>
  <c r="H65" i="9"/>
  <c r="H66" i="9" s="1"/>
  <c r="E262" i="9"/>
  <c r="E181" i="9"/>
  <c r="I62" i="9"/>
  <c r="F168" i="9"/>
  <c r="J81" i="9"/>
  <c r="J60" i="9"/>
  <c r="H124" i="9"/>
  <c r="J61" i="9"/>
  <c r="J53" i="9"/>
  <c r="F174" i="9" s="1"/>
  <c r="F258" i="9" s="1"/>
  <c r="J48" i="9"/>
  <c r="J50" i="9" s="1"/>
  <c r="E247" i="9"/>
  <c r="E182" i="9"/>
  <c r="F173" i="9"/>
  <c r="J55" i="9"/>
  <c r="E176" i="9"/>
  <c r="E257" i="9"/>
  <c r="C306" i="9"/>
  <c r="C360" i="9" s="1"/>
  <c r="C304" i="9"/>
  <c r="C305" i="9"/>
  <c r="C358" i="9" s="1"/>
  <c r="C338" i="9"/>
  <c r="C339" i="9" s="1"/>
  <c r="C343" i="9" s="1"/>
  <c r="H147" i="9"/>
  <c r="J34" i="9" s="1"/>
  <c r="I34" i="9"/>
  <c r="D263" i="9"/>
  <c r="C186" i="9"/>
  <c r="C282" i="9" s="1"/>
  <c r="G23" i="9"/>
  <c r="C215" i="9" s="1"/>
  <c r="G146" i="9"/>
  <c r="G133" i="9"/>
  <c r="G123" i="9"/>
  <c r="G101" i="9"/>
  <c r="H71" i="9"/>
  <c r="C263" i="9"/>
  <c r="C266" i="9" s="1"/>
  <c r="C268" i="9" s="1"/>
  <c r="B186" i="9"/>
  <c r="F23" i="9"/>
  <c r="B215" i="9" s="1"/>
  <c r="E169" i="9"/>
  <c r="E171" i="9" s="1"/>
  <c r="G134" i="9"/>
  <c r="G127" i="9"/>
  <c r="G125" i="9" s="1"/>
  <c r="E245" i="9" s="1"/>
  <c r="B214" i="9"/>
  <c r="B217" i="9" s="1"/>
  <c r="B223" i="9" s="1"/>
  <c r="D225" i="9"/>
  <c r="G36" i="9"/>
  <c r="G126" i="9"/>
  <c r="E246" i="9" s="1"/>
  <c r="G130" i="9"/>
  <c r="H8" i="9"/>
  <c r="D200" i="9" s="1"/>
  <c r="F137" i="9"/>
  <c r="G22" i="9"/>
  <c r="F139" i="9"/>
  <c r="F136" i="9"/>
  <c r="D256" i="9" s="1"/>
  <c r="F203" i="9"/>
  <c r="F205" i="9" s="1"/>
  <c r="F207" i="9" s="1"/>
  <c r="J14" i="9"/>
  <c r="J16" i="9" s="1"/>
  <c r="C242" i="9"/>
  <c r="C252" i="9" s="1"/>
  <c r="F6" i="9"/>
  <c r="F36" i="9"/>
  <c r="I55" i="9"/>
  <c r="I57" i="9" s="1"/>
  <c r="F140" i="9" l="1"/>
  <c r="I64" i="9"/>
  <c r="I65" i="9" s="1"/>
  <c r="I66" i="9" s="1"/>
  <c r="E178" i="9"/>
  <c r="J57" i="9"/>
  <c r="E183" i="9"/>
  <c r="E250" i="9"/>
  <c r="E185" i="9"/>
  <c r="G139" i="9"/>
  <c r="G136" i="9"/>
  <c r="E256" i="9" s="1"/>
  <c r="H22" i="9"/>
  <c r="B227" i="9"/>
  <c r="B229" i="9" s="1"/>
  <c r="G37" i="9"/>
  <c r="G38" i="9" s="1"/>
  <c r="F38" i="9"/>
  <c r="B198" i="9"/>
  <c r="B201" i="9" s="1"/>
  <c r="B208" i="9" s="1"/>
  <c r="F10" i="9"/>
  <c r="F17" i="9" s="1"/>
  <c r="C214" i="9"/>
  <c r="C217" i="9" s="1"/>
  <c r="C223" i="9" s="1"/>
  <c r="G25" i="9"/>
  <c r="G32" i="9" s="1"/>
  <c r="C227" i="9"/>
  <c r="G137" i="9"/>
  <c r="G135" i="9" s="1"/>
  <c r="E255" i="9" s="1"/>
  <c r="B282" i="9"/>
  <c r="B187" i="9"/>
  <c r="H101" i="9"/>
  <c r="I71" i="9"/>
  <c r="H146" i="9"/>
  <c r="H133" i="9"/>
  <c r="H123" i="9"/>
  <c r="E225" i="9"/>
  <c r="C341" i="9"/>
  <c r="F169" i="9"/>
  <c r="F171" i="9" s="1"/>
  <c r="H134" i="9"/>
  <c r="H127" i="9"/>
  <c r="J8" i="9" s="1"/>
  <c r="F200" i="9" s="1"/>
  <c r="E263" i="9"/>
  <c r="D186" i="9"/>
  <c r="H23" i="9"/>
  <c r="D215" i="9" s="1"/>
  <c r="C270" i="9"/>
  <c r="C273" i="9" s="1"/>
  <c r="F135" i="9"/>
  <c r="D255" i="9" s="1"/>
  <c r="D266" i="9" s="1"/>
  <c r="D268" i="9" s="1"/>
  <c r="G131" i="9"/>
  <c r="F25" i="9"/>
  <c r="F32" i="9" s="1"/>
  <c r="H130" i="9"/>
  <c r="H131" i="9" s="1"/>
  <c r="H126" i="9"/>
  <c r="F246" i="9" s="1"/>
  <c r="I8" i="9"/>
  <c r="E200" i="9" s="1"/>
  <c r="F225" i="9"/>
  <c r="F257" i="9"/>
  <c r="F176" i="9"/>
  <c r="F247" i="9"/>
  <c r="F182" i="9"/>
  <c r="F262" i="9"/>
  <c r="F181" i="9"/>
  <c r="J62" i="9"/>
  <c r="H36" i="9"/>
  <c r="B231" i="9"/>
  <c r="C187" i="9"/>
  <c r="J64" i="9" l="1"/>
  <c r="F178" i="9"/>
  <c r="F183" i="9"/>
  <c r="H125" i="9"/>
  <c r="F245" i="9" s="1"/>
  <c r="F250" i="9" s="1"/>
  <c r="I36" i="9"/>
  <c r="C281" i="9"/>
  <c r="C284" i="9" s="1"/>
  <c r="C287" i="9" s="1"/>
  <c r="C190" i="9"/>
  <c r="C189" i="9"/>
  <c r="G67" i="9"/>
  <c r="J65" i="9"/>
  <c r="J66" i="9" s="1"/>
  <c r="D227" i="9"/>
  <c r="D242" i="9"/>
  <c r="D252" i="9" s="1"/>
  <c r="D270" i="9" s="1"/>
  <c r="D273" i="9" s="1"/>
  <c r="G6" i="9"/>
  <c r="D282" i="9"/>
  <c r="D187" i="9"/>
  <c r="H137" i="9"/>
  <c r="J22" i="9" s="1"/>
  <c r="C345" i="9"/>
  <c r="C351" i="9"/>
  <c r="C359" i="9" s="1"/>
  <c r="C361" i="9" s="1"/>
  <c r="C8" i="10" s="1"/>
  <c r="I22" i="9"/>
  <c r="H139" i="9"/>
  <c r="H140" i="9" s="1"/>
  <c r="H136" i="9"/>
  <c r="F256" i="9" s="1"/>
  <c r="C228" i="9"/>
  <c r="D303" i="9" s="1"/>
  <c r="H37" i="9"/>
  <c r="D214" i="9"/>
  <c r="D217" i="9" s="1"/>
  <c r="D223" i="9" s="1"/>
  <c r="H25" i="9"/>
  <c r="H32" i="9" s="1"/>
  <c r="C229" i="9"/>
  <c r="C231" i="9" s="1"/>
  <c r="B233" i="9"/>
  <c r="G140" i="9"/>
  <c r="B281" i="9"/>
  <c r="B284" i="9" s="1"/>
  <c r="B287" i="9" s="1"/>
  <c r="B190" i="9"/>
  <c r="F67" i="9"/>
  <c r="E153" i="9"/>
  <c r="E154" i="9" s="1"/>
  <c r="G40" i="9"/>
  <c r="D153" i="9"/>
  <c r="D154" i="9" s="1"/>
  <c r="F40" i="9"/>
  <c r="F42" i="9" s="1"/>
  <c r="F263" i="9"/>
  <c r="E186" i="9"/>
  <c r="I23" i="9"/>
  <c r="E215" i="9" s="1"/>
  <c r="E266" i="9"/>
  <c r="E268" i="9" s="1"/>
  <c r="F185" i="9" l="1"/>
  <c r="D228" i="9"/>
  <c r="E303" i="9" s="1"/>
  <c r="I37" i="9"/>
  <c r="I38" i="9" s="1"/>
  <c r="E214" i="9"/>
  <c r="E217" i="9" s="1"/>
  <c r="E223" i="9" s="1"/>
  <c r="I25" i="9"/>
  <c r="I32" i="9" s="1"/>
  <c r="E242" i="9"/>
  <c r="E252" i="9" s="1"/>
  <c r="E270" i="9" s="1"/>
  <c r="E273" i="9" s="1"/>
  <c r="H6" i="9"/>
  <c r="F186" i="9"/>
  <c r="J23" i="9"/>
  <c r="F215" i="9" s="1"/>
  <c r="C289" i="9"/>
  <c r="H135" i="9"/>
  <c r="F255" i="9" s="1"/>
  <c r="F266" i="9" s="1"/>
  <c r="F268" i="9" s="1"/>
  <c r="E282" i="9"/>
  <c r="E187" i="9"/>
  <c r="B289" i="9"/>
  <c r="D306" i="9"/>
  <c r="D360" i="9" s="1"/>
  <c r="D338" i="9"/>
  <c r="D339" i="9" s="1"/>
  <c r="D305" i="9"/>
  <c r="D358" i="9" s="1"/>
  <c r="D304" i="9"/>
  <c r="F214" i="9"/>
  <c r="J25" i="9"/>
  <c r="J32" i="9" s="1"/>
  <c r="D189" i="9"/>
  <c r="D281" i="9"/>
  <c r="D284" i="9" s="1"/>
  <c r="D287" i="9" s="1"/>
  <c r="D190" i="9"/>
  <c r="H67" i="9"/>
  <c r="C198" i="9"/>
  <c r="C201" i="9" s="1"/>
  <c r="C208" i="9" s="1"/>
  <c r="C233" i="9" s="1"/>
  <c r="G10" i="9"/>
  <c r="G17" i="9" s="1"/>
  <c r="G42" i="9" s="1"/>
  <c r="J36" i="9"/>
  <c r="E227" i="9"/>
  <c r="H38" i="9"/>
  <c r="D229" i="9" l="1"/>
  <c r="D231" i="9" s="1"/>
  <c r="F217" i="9"/>
  <c r="F223" i="9" s="1"/>
  <c r="F153" i="9"/>
  <c r="F154" i="9" s="1"/>
  <c r="H40" i="9"/>
  <c r="F282" i="9"/>
  <c r="F187" i="9"/>
  <c r="F242" i="9"/>
  <c r="F252" i="9" s="1"/>
  <c r="F270" i="9" s="1"/>
  <c r="F273" i="9" s="1"/>
  <c r="J6" i="9" s="1"/>
  <c r="I6" i="9"/>
  <c r="E306" i="9"/>
  <c r="E360" i="9" s="1"/>
  <c r="E338" i="9"/>
  <c r="E339" i="9" s="1"/>
  <c r="E304" i="9"/>
  <c r="E305" i="9"/>
  <c r="E358" i="9" s="1"/>
  <c r="G153" i="9"/>
  <c r="G154" i="9" s="1"/>
  <c r="I40" i="9"/>
  <c r="F227" i="9"/>
  <c r="D289" i="9"/>
  <c r="D343" i="9"/>
  <c r="D341" i="9"/>
  <c r="E281" i="9"/>
  <c r="E284" i="9" s="1"/>
  <c r="E287" i="9" s="1"/>
  <c r="E190" i="9"/>
  <c r="E189" i="9"/>
  <c r="I67" i="9"/>
  <c r="D198" i="9"/>
  <c r="D201" i="9" s="1"/>
  <c r="D208" i="9" s="1"/>
  <c r="D233" i="9" s="1"/>
  <c r="H10" i="9"/>
  <c r="H17" i="9" s="1"/>
  <c r="H42" i="9" s="1"/>
  <c r="E228" i="9"/>
  <c r="F303" i="9" s="1"/>
  <c r="J37" i="9"/>
  <c r="F228" i="9" s="1"/>
  <c r="G303" i="9" s="1"/>
  <c r="F306" i="9" l="1"/>
  <c r="F360" i="9" s="1"/>
  <c r="F338" i="9"/>
  <c r="F339" i="9" s="1"/>
  <c r="F305" i="9"/>
  <c r="F358" i="9" s="1"/>
  <c r="F304" i="9"/>
  <c r="E289" i="9"/>
  <c r="D345" i="9"/>
  <c r="D351" i="9"/>
  <c r="D359" i="9" s="1"/>
  <c r="D361" i="9" s="1"/>
  <c r="D8" i="10" s="1"/>
  <c r="F198" i="9"/>
  <c r="F201" i="9" s="1"/>
  <c r="J10" i="9"/>
  <c r="J17" i="9" s="1"/>
  <c r="F229" i="9"/>
  <c r="F231" i="9" s="1"/>
  <c r="E229" i="9"/>
  <c r="E231" i="9" s="1"/>
  <c r="G306" i="9"/>
  <c r="G360" i="9" s="1"/>
  <c r="G304" i="9"/>
  <c r="G305" i="9"/>
  <c r="G358" i="9" s="1"/>
  <c r="G338" i="9"/>
  <c r="G339" i="9" s="1"/>
  <c r="E341" i="9"/>
  <c r="E343" i="9"/>
  <c r="E198" i="9"/>
  <c r="E201" i="9" s="1"/>
  <c r="E208" i="9" s="1"/>
  <c r="I10" i="9"/>
  <c r="I17" i="9" s="1"/>
  <c r="I42" i="9" s="1"/>
  <c r="F189" i="9"/>
  <c r="F281" i="9"/>
  <c r="F284" i="9" s="1"/>
  <c r="F287" i="9" s="1"/>
  <c r="F190" i="9"/>
  <c r="J67" i="9"/>
  <c r="J38" i="9"/>
  <c r="H153" i="9" l="1"/>
  <c r="H154" i="9" s="1"/>
  <c r="J40" i="9"/>
  <c r="J42" i="9" s="1"/>
  <c r="F208" i="9"/>
  <c r="F233" i="9" s="1"/>
  <c r="E233" i="9"/>
  <c r="F289" i="9"/>
  <c r="E345" i="9"/>
  <c r="E351" i="9"/>
  <c r="E359" i="9" s="1"/>
  <c r="E361" i="9" s="1"/>
  <c r="E8" i="10" s="1"/>
  <c r="G341" i="9"/>
  <c r="G343" i="9"/>
  <c r="F343" i="9"/>
  <c r="F341" i="9"/>
  <c r="G345" i="9" l="1"/>
  <c r="G351" i="9"/>
  <c r="G359" i="9" s="1"/>
  <c r="G361" i="9" s="1"/>
  <c r="G8" i="10" s="1"/>
  <c r="F345" i="9"/>
  <c r="F351" i="9"/>
  <c r="F359" i="9" s="1"/>
  <c r="F361" i="9" s="1"/>
  <c r="F8" i="10" s="1"/>
  <c r="B16" i="8" l="1"/>
  <c r="B15" i="8"/>
  <c r="B17" i="8"/>
  <c r="B7" i="8"/>
  <c r="B5" i="8"/>
  <c r="B2" i="8"/>
  <c r="B22" i="8"/>
  <c r="B34" i="8" s="1"/>
  <c r="C34" i="8" s="1"/>
  <c r="D34" i="8" s="1"/>
  <c r="E34" i="8" s="1"/>
  <c r="F34" i="8" s="1"/>
  <c r="B21" i="8"/>
  <c r="B33" i="8" s="1"/>
  <c r="C33" i="8" s="1"/>
  <c r="D33" i="8" s="1"/>
  <c r="E33" i="8" s="1"/>
  <c r="F33" i="8" s="1"/>
  <c r="B124" i="2"/>
  <c r="B123" i="2"/>
  <c r="D83" i="2"/>
  <c r="B7" i="7"/>
  <c r="D29" i="7" l="1"/>
  <c r="E29" i="7" s="1"/>
  <c r="B25" i="2" s="1"/>
  <c r="D86" i="2" l="1"/>
  <c r="D85" i="2"/>
  <c r="D82" i="2"/>
  <c r="D80" i="2"/>
  <c r="D79" i="2"/>
  <c r="D5" i="3"/>
  <c r="E5" i="3" s="1"/>
  <c r="F5" i="3" s="1"/>
  <c r="G5" i="3" s="1"/>
  <c r="D4" i="3"/>
  <c r="D87" i="2" l="1"/>
  <c r="C12" i="3" s="1"/>
  <c r="C88" i="2" l="1"/>
  <c r="D88" i="2" s="1"/>
  <c r="D31" i="7"/>
  <c r="E31" i="7" s="1"/>
  <c r="B31" i="2" s="1"/>
  <c r="D30" i="7"/>
  <c r="E30" i="7" s="1"/>
  <c r="B30" i="2" s="1"/>
  <c r="D30" i="2" s="1"/>
  <c r="E30" i="2" s="1"/>
  <c r="F30" i="2" s="1"/>
  <c r="G30" i="2" s="1"/>
  <c r="H30" i="2" s="1"/>
  <c r="D12" i="7"/>
  <c r="E12" i="7" s="1"/>
  <c r="B10" i="2" s="1"/>
  <c r="D10" i="2" s="1"/>
  <c r="B136" i="2"/>
  <c r="B135" i="2"/>
  <c r="B119" i="2"/>
  <c r="B113" i="2"/>
  <c r="B106" i="2"/>
  <c r="B108" i="2" s="1"/>
  <c r="B103" i="2"/>
  <c r="B131" i="2" l="1"/>
  <c r="C131" i="2" s="1"/>
  <c r="B4" i="8"/>
  <c r="B6" i="8" s="1"/>
  <c r="B29" i="8" s="1"/>
  <c r="C29" i="8" s="1"/>
  <c r="D29" i="8" s="1"/>
  <c r="E29" i="8" s="1"/>
  <c r="F29" i="8" s="1"/>
  <c r="B105" i="2"/>
  <c r="B1" i="8"/>
  <c r="B3" i="8" s="1"/>
  <c r="B114" i="2"/>
  <c r="B11" i="8"/>
  <c r="B12" i="8" s="1"/>
  <c r="C136" i="2"/>
  <c r="D136" i="2" s="1"/>
  <c r="E136" i="2" s="1"/>
  <c r="F136" i="2" s="1"/>
  <c r="C135" i="2"/>
  <c r="D135" i="2" s="1"/>
  <c r="E135" i="2" s="1"/>
  <c r="F135" i="2" s="1"/>
  <c r="D131" i="2"/>
  <c r="D31" i="2"/>
  <c r="E31" i="2" s="1"/>
  <c r="B110" i="2"/>
  <c r="B32" i="2"/>
  <c r="D42" i="7" s="1"/>
  <c r="G32" i="2"/>
  <c r="B115" i="2"/>
  <c r="B120" i="2" s="1"/>
  <c r="B8" i="8" l="1"/>
  <c r="B27" i="8"/>
  <c r="B13" i="8"/>
  <c r="B18" i="8" s="1"/>
  <c r="B28" i="8"/>
  <c r="B129" i="2"/>
  <c r="B132" i="2" s="1"/>
  <c r="B130" i="2"/>
  <c r="B133" i="2" s="1"/>
  <c r="B138" i="2" s="1"/>
  <c r="E131" i="2"/>
  <c r="F31" i="2"/>
  <c r="E32" i="2"/>
  <c r="D32" i="2"/>
  <c r="B121" i="2"/>
  <c r="B137" i="2" l="1"/>
  <c r="B141" i="2"/>
  <c r="B19" i="8"/>
  <c r="B20" i="8" s="1"/>
  <c r="B31" i="8"/>
  <c r="B36" i="8" s="1"/>
  <c r="B30" i="8"/>
  <c r="B35" i="8" s="1"/>
  <c r="F131" i="2"/>
  <c r="H31" i="2"/>
  <c r="H32" i="2" s="1"/>
  <c r="F32" i="2"/>
  <c r="B122" i="2"/>
  <c r="B37" i="8" l="1"/>
  <c r="B139" i="2"/>
  <c r="D57" i="2" s="1"/>
  <c r="D62" i="2" s="1"/>
  <c r="O28" i="5"/>
  <c r="O24" i="5"/>
  <c r="K7" i="5"/>
  <c r="M7" i="5" s="1"/>
  <c r="J11" i="5"/>
  <c r="H12" i="5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59" i="5" s="1"/>
  <c r="H60" i="5" s="1"/>
  <c r="H61" i="5" s="1"/>
  <c r="H62" i="5" s="1"/>
  <c r="H63" i="5" s="1"/>
  <c r="H64" i="5" s="1"/>
  <c r="H65" i="5" s="1"/>
  <c r="H66" i="5" s="1"/>
  <c r="H67" i="5" s="1"/>
  <c r="H68" i="5" s="1"/>
  <c r="H69" i="5" s="1"/>
  <c r="H70" i="5" s="1"/>
  <c r="H71" i="5" s="1"/>
  <c r="H72" i="5" s="1"/>
  <c r="H73" i="5" s="1"/>
  <c r="H74" i="5" s="1"/>
  <c r="H75" i="5" s="1"/>
  <c r="H76" i="5" s="1"/>
  <c r="H77" i="5" s="1"/>
  <c r="H78" i="5" s="1"/>
  <c r="H79" i="5" s="1"/>
  <c r="H80" i="5" s="1"/>
  <c r="H81" i="5" s="1"/>
  <c r="H82" i="5" s="1"/>
  <c r="H83" i="5" s="1"/>
  <c r="H84" i="5" s="1"/>
  <c r="H85" i="5" s="1"/>
  <c r="H86" i="5" s="1"/>
  <c r="H87" i="5" s="1"/>
  <c r="H88" i="5" s="1"/>
  <c r="H89" i="5" s="1"/>
  <c r="H90" i="5" s="1"/>
  <c r="H91" i="5" s="1"/>
  <c r="H92" i="5" s="1"/>
  <c r="H93" i="5" s="1"/>
  <c r="H94" i="5" s="1"/>
  <c r="H95" i="5" s="1"/>
  <c r="H96" i="5" s="1"/>
  <c r="H97" i="5" s="1"/>
  <c r="H98" i="5" s="1"/>
  <c r="H99" i="5" s="1"/>
  <c r="H100" i="5" s="1"/>
  <c r="H101" i="5" s="1"/>
  <c r="H102" i="5" s="1"/>
  <c r="H103" i="5" s="1"/>
  <c r="H104" i="5" s="1"/>
  <c r="H105" i="5" s="1"/>
  <c r="H106" i="5" s="1"/>
  <c r="H107" i="5" s="1"/>
  <c r="H108" i="5" s="1"/>
  <c r="H109" i="5" s="1"/>
  <c r="H110" i="5" s="1"/>
  <c r="H111" i="5" s="1"/>
  <c r="H112" i="5" s="1"/>
  <c r="H113" i="5" s="1"/>
  <c r="H114" i="5" s="1"/>
  <c r="H115" i="5" s="1"/>
  <c r="H116" i="5" s="1"/>
  <c r="H117" i="5" s="1"/>
  <c r="H118" i="5" s="1"/>
  <c r="H119" i="5" s="1"/>
  <c r="H120" i="5" s="1"/>
  <c r="H121" i="5" s="1"/>
  <c r="H122" i="5" s="1"/>
  <c r="H123" i="5" s="1"/>
  <c r="H124" i="5" s="1"/>
  <c r="H125" i="5" s="1"/>
  <c r="H126" i="5" s="1"/>
  <c r="H127" i="5" s="1"/>
  <c r="H128" i="5" s="1"/>
  <c r="H129" i="5" s="1"/>
  <c r="H130" i="5" s="1"/>
  <c r="H131" i="5" s="1"/>
  <c r="D36" i="7"/>
  <c r="E36" i="7" s="1"/>
  <c r="D32" i="7"/>
  <c r="E32" i="7" s="1"/>
  <c r="D28" i="7"/>
  <c r="E28" i="7" s="1"/>
  <c r="D27" i="7"/>
  <c r="E27" i="7" s="1"/>
  <c r="D26" i="7"/>
  <c r="E26" i="7" s="1"/>
  <c r="D25" i="7"/>
  <c r="E25" i="7" s="1"/>
  <c r="D24" i="7"/>
  <c r="E24" i="7" s="1"/>
  <c r="B21" i="2" s="1"/>
  <c r="D23" i="7"/>
  <c r="E23" i="7" s="1"/>
  <c r="B23" i="2" s="1"/>
  <c r="D22" i="7"/>
  <c r="E22" i="7" s="1"/>
  <c r="B24" i="2" s="1"/>
  <c r="D24" i="2" s="1"/>
  <c r="D21" i="7"/>
  <c r="E21" i="7" s="1"/>
  <c r="B8" i="2" s="1"/>
  <c r="D8" i="2" s="1"/>
  <c r="D20" i="7"/>
  <c r="E20" i="7" s="1"/>
  <c r="B16" i="2" s="1"/>
  <c r="D16" i="2" s="1"/>
  <c r="D19" i="7"/>
  <c r="E19" i="7" s="1"/>
  <c r="B26" i="2" s="1"/>
  <c r="D26" i="2" s="1"/>
  <c r="D18" i="7"/>
  <c r="E18" i="7" s="1"/>
  <c r="B40" i="2" s="1"/>
  <c r="D40" i="2" s="1"/>
  <c r="D17" i="7"/>
  <c r="E17" i="7" s="1"/>
  <c r="B13" i="2" s="1"/>
  <c r="D16" i="7"/>
  <c r="E16" i="7" s="1"/>
  <c r="B22" i="2" s="1"/>
  <c r="D22" i="2" s="1"/>
  <c r="D15" i="7"/>
  <c r="E15" i="7" s="1"/>
  <c r="D14" i="7"/>
  <c r="E14" i="7" s="1"/>
  <c r="B15" i="2" s="1"/>
  <c r="D15" i="2" s="1"/>
  <c r="D13" i="7"/>
  <c r="E13" i="7" s="1"/>
  <c r="D11" i="7"/>
  <c r="E11" i="7" s="1"/>
  <c r="B11" i="2" s="1"/>
  <c r="D10" i="7"/>
  <c r="E10" i="7" s="1"/>
  <c r="B9" i="2" s="1"/>
  <c r="D9" i="2" s="1"/>
  <c r="D9" i="7"/>
  <c r="E9" i="7" s="1"/>
  <c r="B12" i="2" s="1"/>
  <c r="D8" i="7"/>
  <c r="E8" i="7" s="1"/>
  <c r="B7" i="2" s="1"/>
  <c r="D7" i="2" s="1"/>
  <c r="D7" i="7"/>
  <c r="B14" i="2" l="1"/>
  <c r="B17" i="2"/>
  <c r="D17" i="2" s="1"/>
  <c r="E7" i="7"/>
  <c r="E33" i="7" s="1"/>
  <c r="D33" i="7"/>
  <c r="I5" i="5"/>
  <c r="B5" i="2"/>
  <c r="D14" i="2"/>
  <c r="B6" i="2" l="1"/>
  <c r="C88" i="5"/>
  <c r="O5" i="5"/>
  <c r="D5" i="2"/>
  <c r="E5" i="2" s="1"/>
  <c r="B18" i="2"/>
  <c r="B39" i="7"/>
  <c r="B5" i="5"/>
  <c r="C87" i="5" s="1"/>
  <c r="O31" i="5"/>
  <c r="M11" i="5"/>
  <c r="K12" i="5" s="1"/>
  <c r="I8" i="5"/>
  <c r="L99" i="5" s="1"/>
  <c r="I11" i="5"/>
  <c r="I12" i="5"/>
  <c r="F5" i="2" l="1"/>
  <c r="L29" i="5"/>
  <c r="L46" i="5"/>
  <c r="L15" i="5"/>
  <c r="L58" i="5"/>
  <c r="L64" i="5"/>
  <c r="L26" i="5"/>
  <c r="L19" i="5"/>
  <c r="L40" i="5"/>
  <c r="L72" i="5"/>
  <c r="L131" i="5"/>
  <c r="L28" i="5"/>
  <c r="L66" i="5"/>
  <c r="L24" i="5"/>
  <c r="L68" i="5"/>
  <c r="L21" i="5"/>
  <c r="L44" i="5"/>
  <c r="L76" i="5"/>
  <c r="L14" i="5"/>
  <c r="L30" i="5"/>
  <c r="L74" i="5"/>
  <c r="L31" i="5"/>
  <c r="L60" i="5"/>
  <c r="L22" i="5"/>
  <c r="L32" i="5"/>
  <c r="L50" i="5"/>
  <c r="L124" i="5"/>
  <c r="L23" i="5"/>
  <c r="L48" i="5"/>
  <c r="L84" i="5"/>
  <c r="L16" i="5"/>
  <c r="L34" i="5"/>
  <c r="L88" i="5"/>
  <c r="L86" i="5"/>
  <c r="L12" i="5"/>
  <c r="L108" i="5"/>
  <c r="L36" i="5"/>
  <c r="L25" i="5"/>
  <c r="L52" i="5"/>
  <c r="L92" i="5"/>
  <c r="L18" i="5"/>
  <c r="L38" i="5"/>
  <c r="L104" i="5"/>
  <c r="L122" i="5"/>
  <c r="L116" i="5"/>
  <c r="L17" i="5"/>
  <c r="L27" i="5"/>
  <c r="L56" i="5"/>
  <c r="L100" i="5"/>
  <c r="L20" i="5"/>
  <c r="L42" i="5"/>
  <c r="L37" i="5"/>
  <c r="L83" i="5"/>
  <c r="L77" i="5"/>
  <c r="D40" i="7"/>
  <c r="L120" i="5"/>
  <c r="L53" i="5"/>
  <c r="L63" i="5"/>
  <c r="L126" i="5"/>
  <c r="L109" i="5"/>
  <c r="L59" i="5"/>
  <c r="L54" i="5"/>
  <c r="L62" i="5"/>
  <c r="L70" i="5"/>
  <c r="L80" i="5"/>
  <c r="L96" i="5"/>
  <c r="L112" i="5"/>
  <c r="L128" i="5"/>
  <c r="L45" i="5"/>
  <c r="L61" i="5"/>
  <c r="L47" i="5"/>
  <c r="L73" i="5"/>
  <c r="L102" i="5"/>
  <c r="L67" i="5"/>
  <c r="L93" i="5"/>
  <c r="L125" i="5"/>
  <c r="L111" i="5"/>
  <c r="L123" i="5"/>
  <c r="L130" i="5"/>
  <c r="L41" i="5"/>
  <c r="L49" i="5"/>
  <c r="L57" i="5"/>
  <c r="L65" i="5"/>
  <c r="L39" i="5"/>
  <c r="L55" i="5"/>
  <c r="L69" i="5"/>
  <c r="L78" i="5"/>
  <c r="L94" i="5"/>
  <c r="L110" i="5"/>
  <c r="L35" i="5"/>
  <c r="L90" i="5"/>
  <c r="L85" i="5"/>
  <c r="L101" i="5"/>
  <c r="L117" i="5"/>
  <c r="L71" i="5"/>
  <c r="L95" i="5"/>
  <c r="L127" i="5"/>
  <c r="L91" i="5"/>
  <c r="L33" i="5"/>
  <c r="L115" i="5"/>
  <c r="L118" i="5"/>
  <c r="L79" i="5"/>
  <c r="L51" i="5"/>
  <c r="L75" i="5"/>
  <c r="L106" i="5"/>
  <c r="L81" i="5"/>
  <c r="L89" i="5"/>
  <c r="L97" i="5"/>
  <c r="L105" i="5"/>
  <c r="L113" i="5"/>
  <c r="L121" i="5"/>
  <c r="L43" i="5"/>
  <c r="L98" i="5"/>
  <c r="L87" i="5"/>
  <c r="L103" i="5"/>
  <c r="L119" i="5"/>
  <c r="L13" i="5"/>
  <c r="L114" i="5"/>
  <c r="L107" i="5"/>
  <c r="L82" i="5"/>
  <c r="L129" i="5"/>
  <c r="O13" i="5" l="1"/>
  <c r="O14" i="5"/>
  <c r="O20" i="5"/>
  <c r="O19" i="5"/>
  <c r="J12" i="5"/>
  <c r="M12" i="5" s="1"/>
  <c r="K13" i="5" s="1"/>
  <c r="O11" i="5"/>
  <c r="O15" i="5"/>
  <c r="O18" i="5"/>
  <c r="O17" i="5"/>
  <c r="O12" i="5"/>
  <c r="O16" i="5"/>
  <c r="G5" i="2"/>
  <c r="I13" i="5"/>
  <c r="H5" i="2" l="1"/>
  <c r="J13" i="5"/>
  <c r="M13" i="5" l="1"/>
  <c r="I14" i="5" l="1"/>
  <c r="K14" i="5"/>
  <c r="J14" i="5" l="1"/>
  <c r="M14" i="5" s="1"/>
  <c r="K15" i="5" l="1"/>
  <c r="I15" i="5"/>
  <c r="J15" i="5" l="1"/>
  <c r="M15" i="5" s="1"/>
  <c r="K16" i="5" l="1"/>
  <c r="J16" i="5" s="1"/>
  <c r="I16" i="5"/>
  <c r="B74" i="5"/>
  <c r="O22" i="5" s="1"/>
  <c r="O26" i="5" s="1"/>
  <c r="O30" i="5" s="1"/>
  <c r="C74" i="5"/>
  <c r="P22" i="5" s="1"/>
  <c r="P26" i="5" s="1"/>
  <c r="P30" i="5" s="1"/>
  <c r="D74" i="5"/>
  <c r="Q22" i="5" s="1"/>
  <c r="Q26" i="5" s="1"/>
  <c r="Q30" i="5" s="1"/>
  <c r="E74" i="5"/>
  <c r="R22" i="5" s="1"/>
  <c r="R26" i="5" s="1"/>
  <c r="R30" i="5" s="1"/>
  <c r="F74" i="5"/>
  <c r="S22" i="5" s="1"/>
  <c r="S26" i="5" s="1"/>
  <c r="S30" i="5" s="1"/>
  <c r="B75" i="5"/>
  <c r="G22" i="1"/>
  <c r="M16" i="5" l="1"/>
  <c r="I17" i="5" s="1"/>
  <c r="K17" i="5" l="1"/>
  <c r="J17" i="5" s="1"/>
  <c r="M17" i="5" s="1"/>
  <c r="C78" i="5"/>
  <c r="C82" i="5" s="1"/>
  <c r="D28" i="1"/>
  <c r="E28" i="1" s="1"/>
  <c r="C42" i="4"/>
  <c r="D42" i="4"/>
  <c r="E42" i="4"/>
  <c r="F42" i="4"/>
  <c r="G42" i="4"/>
  <c r="C35" i="4"/>
  <c r="D35" i="4"/>
  <c r="E35" i="4"/>
  <c r="F35" i="4"/>
  <c r="G35" i="4"/>
  <c r="D29" i="4"/>
  <c r="D37" i="4" s="1"/>
  <c r="E29" i="4"/>
  <c r="E37" i="4" s="1"/>
  <c r="F29" i="4"/>
  <c r="F37" i="4" s="1"/>
  <c r="G29" i="4"/>
  <c r="G37" i="4" s="1"/>
  <c r="C29" i="4"/>
  <c r="B28" i="4"/>
  <c r="B29" i="4" s="1"/>
  <c r="B32" i="1"/>
  <c r="B23" i="4"/>
  <c r="B79" i="5"/>
  <c r="B46" i="4" s="1"/>
  <c r="H51" i="2"/>
  <c r="G51" i="2"/>
  <c r="F51" i="2"/>
  <c r="E51" i="2"/>
  <c r="D78" i="5"/>
  <c r="D82" i="5" s="1"/>
  <c r="E78" i="5"/>
  <c r="E82" i="5" s="1"/>
  <c r="F78" i="5"/>
  <c r="F82" i="5" s="1"/>
  <c r="G74" i="5"/>
  <c r="D51" i="2"/>
  <c r="C37" i="4" l="1"/>
  <c r="G78" i="5"/>
  <c r="G82" i="5" s="1"/>
  <c r="T22" i="5"/>
  <c r="T26" i="5" s="1"/>
  <c r="T30" i="5" s="1"/>
  <c r="K18" i="5"/>
  <c r="J18" i="5" s="1"/>
  <c r="I18" i="5"/>
  <c r="B78" i="5"/>
  <c r="B82" i="5" s="1"/>
  <c r="B80" i="5"/>
  <c r="B76" i="5"/>
  <c r="F28" i="1"/>
  <c r="M18" i="5" l="1"/>
  <c r="K19" i="5" s="1"/>
  <c r="J19" i="5" s="1"/>
  <c r="B45" i="4"/>
  <c r="B47" i="4" s="1"/>
  <c r="G28" i="1"/>
  <c r="I19" i="5" l="1"/>
  <c r="M19" i="5" s="1"/>
  <c r="K20" i="5" s="1"/>
  <c r="J20" i="5" s="1"/>
  <c r="I20" i="5" l="1"/>
  <c r="M20" i="5" s="1"/>
  <c r="I21" i="5" s="1"/>
  <c r="K21" i="5" l="1"/>
  <c r="J21" i="5" s="1"/>
  <c r="M21" i="5" s="1"/>
  <c r="I22" i="5" s="1"/>
  <c r="K22" i="5" l="1"/>
  <c r="J22" i="5" s="1"/>
  <c r="M22" i="5" s="1"/>
  <c r="K23" i="5" s="1"/>
  <c r="E55" i="2"/>
  <c r="F55" i="2" s="1"/>
  <c r="G55" i="2" s="1"/>
  <c r="H55" i="2" s="1"/>
  <c r="B46" i="2"/>
  <c r="E4" i="3"/>
  <c r="F4" i="3" s="1"/>
  <c r="G4" i="3" s="1"/>
  <c r="C17" i="3"/>
  <c r="D17" i="3" s="1"/>
  <c r="B45" i="2"/>
  <c r="C19" i="3"/>
  <c r="D19" i="3" s="1"/>
  <c r="D18" i="4" s="1"/>
  <c r="B41" i="2"/>
  <c r="D43" i="7" s="1"/>
  <c r="C26" i="3"/>
  <c r="C20" i="4" s="1"/>
  <c r="C18" i="3"/>
  <c r="D18" i="3" s="1"/>
  <c r="C15" i="4"/>
  <c r="D3" i="3"/>
  <c r="E3" i="3" s="1"/>
  <c r="F3" i="3" s="1"/>
  <c r="G3" i="3" s="1"/>
  <c r="C27" i="3"/>
  <c r="C21" i="4" s="1"/>
  <c r="D16" i="3"/>
  <c r="D15" i="4" s="1"/>
  <c r="D25" i="2"/>
  <c r="E25" i="2" s="1"/>
  <c r="F25" i="2" s="1"/>
  <c r="G25" i="2" s="1"/>
  <c r="H25" i="2" s="1"/>
  <c r="D23" i="2"/>
  <c r="E23" i="2" s="1"/>
  <c r="E24" i="2"/>
  <c r="E26" i="2"/>
  <c r="F26" i="2" s="1"/>
  <c r="H26" i="2" s="1"/>
  <c r="B27" i="2"/>
  <c r="D13" i="2"/>
  <c r="C14" i="4"/>
  <c r="D15" i="3"/>
  <c r="D14" i="4" s="1"/>
  <c r="C13" i="4"/>
  <c r="D14" i="3"/>
  <c r="E14" i="3" s="1"/>
  <c r="B8" i="4"/>
  <c r="B25" i="4" s="1"/>
  <c r="E9" i="2"/>
  <c r="G9" i="2" s="1"/>
  <c r="H9" i="2" s="1"/>
  <c r="F10" i="2"/>
  <c r="G10" i="2" s="1"/>
  <c r="D11" i="2"/>
  <c r="D12" i="2"/>
  <c r="E12" i="2" s="1"/>
  <c r="F12" i="2" s="1"/>
  <c r="G12" i="2" s="1"/>
  <c r="H12" i="2" s="1"/>
  <c r="E20" i="2"/>
  <c r="E34" i="2" s="1"/>
  <c r="E39" i="2" s="1"/>
  <c r="E48" i="2" s="1"/>
  <c r="E60" i="2" s="1"/>
  <c r="E67" i="2" s="1"/>
  <c r="E96" i="2" s="1"/>
  <c r="F20" i="2"/>
  <c r="F34" i="2" s="1"/>
  <c r="F39" i="2" s="1"/>
  <c r="F48" i="2" s="1"/>
  <c r="F60" i="2" s="1"/>
  <c r="F67" i="2" s="1"/>
  <c r="F96" i="2" s="1"/>
  <c r="G20" i="2"/>
  <c r="G34" i="2" s="1"/>
  <c r="G39" i="2" s="1"/>
  <c r="G48" i="2" s="1"/>
  <c r="G60" i="2" s="1"/>
  <c r="G67" i="2" s="1"/>
  <c r="G96" i="2" s="1"/>
  <c r="H20" i="2"/>
  <c r="H34" i="2" s="1"/>
  <c r="H39" i="2" s="1"/>
  <c r="H48" i="2" s="1"/>
  <c r="H60" i="2" s="1"/>
  <c r="H67" i="2" s="1"/>
  <c r="H96" i="2" s="1"/>
  <c r="D20" i="2"/>
  <c r="D34" i="2" s="1"/>
  <c r="D39" i="2" s="1"/>
  <c r="D48" i="2" s="1"/>
  <c r="D60" i="2" s="1"/>
  <c r="D67" i="2" s="1"/>
  <c r="D96" i="2" s="1"/>
  <c r="D21" i="2"/>
  <c r="D6" i="2"/>
  <c r="D18" i="2" l="1"/>
  <c r="D41" i="7"/>
  <c r="B33" i="4"/>
  <c r="F40" i="7" s="1"/>
  <c r="B34" i="4"/>
  <c r="F43" i="7" s="1"/>
  <c r="B36" i="2"/>
  <c r="I23" i="5"/>
  <c r="D27" i="2"/>
  <c r="J23" i="5"/>
  <c r="P11" i="5" s="1"/>
  <c r="Q11" i="5"/>
  <c r="D41" i="2"/>
  <c r="C22" i="3" s="1"/>
  <c r="B12" i="1"/>
  <c r="D27" i="3"/>
  <c r="D21" i="4" s="1"/>
  <c r="E16" i="3"/>
  <c r="F16" i="3" s="1"/>
  <c r="G16" i="3" s="1"/>
  <c r="G15" i="4" s="1"/>
  <c r="C18" i="4"/>
  <c r="D26" i="3"/>
  <c r="E26" i="3" s="1"/>
  <c r="E20" i="4" s="1"/>
  <c r="E17" i="3"/>
  <c r="D16" i="4"/>
  <c r="D17" i="4"/>
  <c r="E18" i="3"/>
  <c r="C16" i="4"/>
  <c r="E19" i="3"/>
  <c r="C17" i="4"/>
  <c r="E27" i="2"/>
  <c r="E6" i="2"/>
  <c r="E18" i="2" s="1"/>
  <c r="E13" i="4"/>
  <c r="F14" i="3"/>
  <c r="D13" i="4"/>
  <c r="E15" i="3"/>
  <c r="H10" i="2"/>
  <c r="D21" i="3" l="1"/>
  <c r="C21" i="3"/>
  <c r="F15" i="4"/>
  <c r="D35" i="2"/>
  <c r="D36" i="2" s="1"/>
  <c r="E35" i="2"/>
  <c r="D49" i="2"/>
  <c r="C12" i="1"/>
  <c r="P23" i="5"/>
  <c r="P24" i="5" s="1"/>
  <c r="M23" i="5"/>
  <c r="P27" i="5"/>
  <c r="R11" i="5"/>
  <c r="E15" i="4"/>
  <c r="E27" i="3"/>
  <c r="F27" i="3" s="1"/>
  <c r="F26" i="3"/>
  <c r="G26" i="3" s="1"/>
  <c r="G20" i="4" s="1"/>
  <c r="D20" i="4"/>
  <c r="D44" i="7"/>
  <c r="D45" i="7" s="1"/>
  <c r="E18" i="4"/>
  <c r="F19" i="3"/>
  <c r="F17" i="3"/>
  <c r="E16" i="4"/>
  <c r="F18" i="3"/>
  <c r="E17" i="4"/>
  <c r="E41" i="2"/>
  <c r="D22" i="3" s="1"/>
  <c r="F40" i="2"/>
  <c r="B11" i="1"/>
  <c r="G24" i="2"/>
  <c r="F27" i="2"/>
  <c r="F6" i="2"/>
  <c r="F18" i="2" s="1"/>
  <c r="E21" i="3" s="1"/>
  <c r="E14" i="4"/>
  <c r="F15" i="3"/>
  <c r="F13" i="4"/>
  <c r="G14" i="3"/>
  <c r="G13" i="4" s="1"/>
  <c r="F35" i="2" l="1"/>
  <c r="D12" i="1"/>
  <c r="P28" i="5"/>
  <c r="P31" i="5" s="1"/>
  <c r="K24" i="5"/>
  <c r="I24" i="5"/>
  <c r="C11" i="1"/>
  <c r="F20" i="4"/>
  <c r="E21" i="4"/>
  <c r="F44" i="7"/>
  <c r="F45" i="7" s="1"/>
  <c r="F17" i="4"/>
  <c r="G18" i="3"/>
  <c r="G17" i="4" s="1"/>
  <c r="F18" i="4"/>
  <c r="G19" i="3"/>
  <c r="G18" i="4" s="1"/>
  <c r="G27" i="3"/>
  <c r="G21" i="4" s="1"/>
  <c r="F21" i="4"/>
  <c r="G17" i="3"/>
  <c r="G16" i="4" s="1"/>
  <c r="F16" i="4"/>
  <c r="G40" i="2"/>
  <c r="F41" i="2"/>
  <c r="E22" i="3" s="1"/>
  <c r="H24" i="2"/>
  <c r="H27" i="2" s="1"/>
  <c r="G27" i="2"/>
  <c r="G6" i="2"/>
  <c r="G18" i="2" s="1"/>
  <c r="F21" i="3" s="1"/>
  <c r="G15" i="3"/>
  <c r="G14" i="4" s="1"/>
  <c r="F14" i="4"/>
  <c r="E36" i="2"/>
  <c r="G35" i="2" l="1"/>
  <c r="E12" i="1"/>
  <c r="J24" i="5"/>
  <c r="M24" i="5" s="1"/>
  <c r="B35" i="4"/>
  <c r="B6" i="10" s="1"/>
  <c r="B14" i="1"/>
  <c r="H40" i="2"/>
  <c r="H41" i="2" s="1"/>
  <c r="G22" i="3" s="1"/>
  <c r="G41" i="2"/>
  <c r="D11" i="1"/>
  <c r="H6" i="2"/>
  <c r="F36" i="2"/>
  <c r="B37" i="4" l="1"/>
  <c r="H18" i="2"/>
  <c r="C14" i="1"/>
  <c r="I25" i="5"/>
  <c r="K25" i="5"/>
  <c r="F12" i="1"/>
  <c r="G12" i="1" s="1"/>
  <c r="F22" i="3"/>
  <c r="D14" i="1"/>
  <c r="E11" i="1"/>
  <c r="E14" i="1" s="1"/>
  <c r="G36" i="2"/>
  <c r="H35" i="2" l="1"/>
  <c r="H36" i="2" s="1"/>
  <c r="G21" i="3"/>
  <c r="B9" i="10"/>
  <c r="J25" i="5"/>
  <c r="M25" i="5" s="1"/>
  <c r="F11" i="1"/>
  <c r="K26" i="5" l="1"/>
  <c r="I26" i="5"/>
  <c r="G11" i="1"/>
  <c r="G14" i="1" s="1"/>
  <c r="F14" i="1"/>
  <c r="J26" i="5" l="1"/>
  <c r="M26" i="5" s="1"/>
  <c r="I27" i="5" l="1"/>
  <c r="K27" i="5"/>
  <c r="J27" i="5" l="1"/>
  <c r="M27" i="5" s="1"/>
  <c r="K28" i="5" l="1"/>
  <c r="I28" i="5"/>
  <c r="C10" i="3"/>
  <c r="B32" i="11" s="1"/>
  <c r="D63" i="2"/>
  <c r="D70" i="2" s="1"/>
  <c r="D69" i="2"/>
  <c r="D61" i="2"/>
  <c r="K29" i="3" l="1"/>
  <c r="K19" i="3"/>
  <c r="K15" i="3"/>
  <c r="K22" i="3"/>
  <c r="K18" i="3"/>
  <c r="K14" i="3"/>
  <c r="K26" i="3"/>
  <c r="K17" i="3"/>
  <c r="K10" i="3"/>
  <c r="K27" i="3"/>
  <c r="K21" i="3"/>
  <c r="K16" i="3"/>
  <c r="K12" i="3"/>
  <c r="C25" i="3"/>
  <c r="J28" i="5"/>
  <c r="M28" i="5" s="1"/>
  <c r="C7" i="4"/>
  <c r="C20" i="3"/>
  <c r="D64" i="2"/>
  <c r="D68" i="2"/>
  <c r="C13" i="3" l="1"/>
  <c r="K13" i="3" s="1"/>
  <c r="K20" i="3"/>
  <c r="C24" i="3"/>
  <c r="K25" i="3"/>
  <c r="D100" i="2"/>
  <c r="C6" i="4"/>
  <c r="C8" i="4" s="1"/>
  <c r="D72" i="2"/>
  <c r="D74" i="2" s="1"/>
  <c r="C8" i="1" s="1"/>
  <c r="B21" i="11" s="1"/>
  <c r="I29" i="5"/>
  <c r="K29" i="5"/>
  <c r="J29" i="5" s="1"/>
  <c r="C19" i="4"/>
  <c r="C11" i="3"/>
  <c r="D50" i="2" l="1"/>
  <c r="K24" i="3"/>
  <c r="C23" i="3"/>
  <c r="K11" i="3"/>
  <c r="M29" i="5"/>
  <c r="D97" i="2"/>
  <c r="E73" i="2"/>
  <c r="D98" i="2" l="1"/>
  <c r="D12" i="4" s="1"/>
  <c r="B5" i="11"/>
  <c r="K23" i="3"/>
  <c r="C28" i="3"/>
  <c r="K30" i="5"/>
  <c r="J30" i="5" s="1"/>
  <c r="I30" i="5"/>
  <c r="D99" i="2"/>
  <c r="C11" i="4" s="1"/>
  <c r="C23" i="4" l="1"/>
  <c r="C25" i="4" s="1"/>
  <c r="C6" i="10" s="1"/>
  <c r="C9" i="10" s="1"/>
  <c r="K28" i="3"/>
  <c r="B17" i="11"/>
  <c r="B6" i="11"/>
  <c r="M30" i="5"/>
  <c r="K31" i="5" s="1"/>
  <c r="J31" i="5" s="1"/>
  <c r="C20" i="1"/>
  <c r="I31" i="5" l="1"/>
  <c r="M31" i="5" s="1"/>
  <c r="K32" i="5" l="1"/>
  <c r="J32" i="5" s="1"/>
  <c r="I32" i="5"/>
  <c r="M32" i="5" l="1"/>
  <c r="I33" i="5" s="1"/>
  <c r="K33" i="5" l="1"/>
  <c r="J33" i="5" s="1"/>
  <c r="M33" i="5" s="1"/>
  <c r="I34" i="5" s="1"/>
  <c r="K34" i="5" l="1"/>
  <c r="J34" i="5" s="1"/>
  <c r="M34" i="5" s="1"/>
  <c r="K35" i="5" l="1"/>
  <c r="I35" i="5"/>
  <c r="J35" i="5" l="1"/>
  <c r="P12" i="5" s="1"/>
  <c r="Q12" i="5"/>
  <c r="M35" i="5" l="1"/>
  <c r="I36" i="5" s="1"/>
  <c r="Q23" i="5"/>
  <c r="Q24" i="5" s="1"/>
  <c r="Q27" i="5"/>
  <c r="R12" i="5"/>
  <c r="K36" i="5" l="1"/>
  <c r="J36" i="5" s="1"/>
  <c r="M36" i="5" s="1"/>
  <c r="Q28" i="5"/>
  <c r="Q31" i="5" s="1"/>
  <c r="K37" i="5" l="1"/>
  <c r="I37" i="5"/>
  <c r="J37" i="5" l="1"/>
  <c r="M37" i="5" s="1"/>
  <c r="I38" i="5" l="1"/>
  <c r="K38" i="5"/>
  <c r="J38" i="5" l="1"/>
  <c r="M38" i="5" s="1"/>
  <c r="K39" i="5" l="1"/>
  <c r="I39" i="5"/>
  <c r="J39" i="5" l="1"/>
  <c r="M39" i="5" s="1"/>
  <c r="K40" i="5" l="1"/>
  <c r="I40" i="5"/>
  <c r="J40" i="5" l="1"/>
  <c r="M40" i="5" s="1"/>
  <c r="I41" i="5" l="1"/>
  <c r="K41" i="5"/>
  <c r="J41" i="5" s="1"/>
  <c r="M41" i="5" l="1"/>
  <c r="K42" i="5" l="1"/>
  <c r="J42" i="5" s="1"/>
  <c r="I42" i="5"/>
  <c r="M42" i="5" l="1"/>
  <c r="I43" i="5" s="1"/>
  <c r="K43" i="5" l="1"/>
  <c r="J43" i="5" s="1"/>
  <c r="M43" i="5" s="1"/>
  <c r="I44" i="5" l="1"/>
  <c r="K44" i="5"/>
  <c r="J44" i="5" s="1"/>
  <c r="M44" i="5" l="1"/>
  <c r="K45" i="5" l="1"/>
  <c r="J45" i="5" s="1"/>
  <c r="I45" i="5"/>
  <c r="M45" i="5" l="1"/>
  <c r="I46" i="5" s="1"/>
  <c r="K46" i="5" l="1"/>
  <c r="J46" i="5" s="1"/>
  <c r="M46" i="5" s="1"/>
  <c r="I47" i="5" l="1"/>
  <c r="K47" i="5"/>
  <c r="J47" i="5" l="1"/>
  <c r="P13" i="5" s="1"/>
  <c r="Q13" i="5"/>
  <c r="M47" i="5" l="1"/>
  <c r="K48" i="5" s="1"/>
  <c r="R23" i="5"/>
  <c r="R24" i="5" s="1"/>
  <c r="R27" i="5"/>
  <c r="R13" i="5"/>
  <c r="I48" i="5" l="1"/>
  <c r="R28" i="5"/>
  <c r="R31" i="5" s="1"/>
  <c r="J48" i="5"/>
  <c r="M48" i="5" l="1"/>
  <c r="I49" i="5" s="1"/>
  <c r="K49" i="5" l="1"/>
  <c r="J49" i="5" s="1"/>
  <c r="M49" i="5" s="1"/>
  <c r="K50" i="5" l="1"/>
  <c r="I50" i="5"/>
  <c r="J50" i="5" l="1"/>
  <c r="M50" i="5" s="1"/>
  <c r="K51" i="5" l="1"/>
  <c r="I51" i="5"/>
  <c r="J51" i="5" l="1"/>
  <c r="M51" i="5" s="1"/>
  <c r="K52" i="5" l="1"/>
  <c r="I52" i="5"/>
  <c r="J52" i="5" l="1"/>
  <c r="M52" i="5" s="1"/>
  <c r="I53" i="5" l="1"/>
  <c r="K53" i="5"/>
  <c r="J53" i="5" s="1"/>
  <c r="M53" i="5" l="1"/>
  <c r="I54" i="5" l="1"/>
  <c r="K54" i="5"/>
  <c r="J54" i="5" s="1"/>
  <c r="M54" i="5" l="1"/>
  <c r="I55" i="5" l="1"/>
  <c r="K55" i="5"/>
  <c r="J55" i="5" s="1"/>
  <c r="M55" i="5" l="1"/>
  <c r="K56" i="5" l="1"/>
  <c r="J56" i="5" s="1"/>
  <c r="I56" i="5"/>
  <c r="M56" i="5" l="1"/>
  <c r="I57" i="5" s="1"/>
  <c r="K57" i="5" l="1"/>
  <c r="J57" i="5" s="1"/>
  <c r="M57" i="5" s="1"/>
  <c r="K58" i="5" l="1"/>
  <c r="J58" i="5" s="1"/>
  <c r="I58" i="5"/>
  <c r="M58" i="5" l="1"/>
  <c r="I59" i="5" s="1"/>
  <c r="K59" i="5" l="1"/>
  <c r="J59" i="5" s="1"/>
  <c r="Q14" i="5" l="1"/>
  <c r="S23" i="5" s="1"/>
  <c r="S24" i="5" s="1"/>
  <c r="P14" i="5"/>
  <c r="S27" i="5" s="1"/>
  <c r="M59" i="5"/>
  <c r="I60" i="5" s="1"/>
  <c r="K60" i="5" l="1"/>
  <c r="J60" i="5" s="1"/>
  <c r="M60" i="5" s="1"/>
  <c r="R14" i="5"/>
  <c r="S28" i="5"/>
  <c r="S31" i="5" s="1"/>
  <c r="K61" i="5" l="1"/>
  <c r="I61" i="5"/>
  <c r="J61" i="5" l="1"/>
  <c r="M61" i="5" s="1"/>
  <c r="I62" i="5" l="1"/>
  <c r="K62" i="5"/>
  <c r="J62" i="5" l="1"/>
  <c r="M62" i="5" s="1"/>
  <c r="I63" i="5" l="1"/>
  <c r="K63" i="5"/>
  <c r="J63" i="5" l="1"/>
  <c r="M63" i="5" s="1"/>
  <c r="K64" i="5" l="1"/>
  <c r="I64" i="5"/>
  <c r="J64" i="5" l="1"/>
  <c r="M64" i="5" s="1"/>
  <c r="K65" i="5" l="1"/>
  <c r="J65" i="5" s="1"/>
  <c r="I65" i="5"/>
  <c r="M65" i="5" l="1"/>
  <c r="I66" i="5" s="1"/>
  <c r="K66" i="5" l="1"/>
  <c r="J66" i="5" s="1"/>
  <c r="M66" i="5" s="1"/>
  <c r="I67" i="5" l="1"/>
  <c r="K67" i="5"/>
  <c r="J67" i="5" s="1"/>
  <c r="M67" i="5" l="1"/>
  <c r="K68" i="5" l="1"/>
  <c r="J68" i="5" s="1"/>
  <c r="I68" i="5"/>
  <c r="M68" i="5" l="1"/>
  <c r="I69" i="5" s="1"/>
  <c r="K69" i="5" l="1"/>
  <c r="J69" i="5" s="1"/>
  <c r="M69" i="5" s="1"/>
  <c r="K70" i="5" l="1"/>
  <c r="J70" i="5" s="1"/>
  <c r="I70" i="5"/>
  <c r="M70" i="5" l="1"/>
  <c r="I71" i="5" s="1"/>
  <c r="K71" i="5" l="1"/>
  <c r="J71" i="5" s="1"/>
  <c r="Q15" i="5" l="1"/>
  <c r="T23" i="5" s="1"/>
  <c r="T24" i="5" s="1"/>
  <c r="P15" i="5"/>
  <c r="R15" i="5" s="1"/>
  <c r="M71" i="5"/>
  <c r="I72" i="5" s="1"/>
  <c r="T27" i="5" l="1"/>
  <c r="K72" i="5"/>
  <c r="J72" i="5" s="1"/>
  <c r="T28" i="5"/>
  <c r="T31" i="5" s="1"/>
  <c r="M72" i="5" l="1"/>
  <c r="I73" i="5" l="1"/>
  <c r="K73" i="5"/>
  <c r="J73" i="5" l="1"/>
  <c r="M73" i="5" s="1"/>
  <c r="K74" i="5" l="1"/>
  <c r="I74" i="5"/>
  <c r="J74" i="5" l="1"/>
  <c r="M74" i="5" s="1"/>
  <c r="I75" i="5" l="1"/>
  <c r="K75" i="5"/>
  <c r="J75" i="5" l="1"/>
  <c r="M75" i="5" s="1"/>
  <c r="I76" i="5" l="1"/>
  <c r="K76" i="5"/>
  <c r="J76" i="5" l="1"/>
  <c r="M76" i="5" s="1"/>
  <c r="I77" i="5" l="1"/>
  <c r="K77" i="5"/>
  <c r="J77" i="5" s="1"/>
  <c r="M77" i="5" l="1"/>
  <c r="K78" i="5" l="1"/>
  <c r="J78" i="5" s="1"/>
  <c r="I78" i="5"/>
  <c r="M78" i="5" l="1"/>
  <c r="K79" i="5" l="1"/>
  <c r="J79" i="5" s="1"/>
  <c r="I79" i="5"/>
  <c r="M79" i="5" l="1"/>
  <c r="K80" i="5" s="1"/>
  <c r="J80" i="5" s="1"/>
  <c r="I80" i="5" l="1"/>
  <c r="M80" i="5" s="1"/>
  <c r="I81" i="5" s="1"/>
  <c r="K81" i="5" l="1"/>
  <c r="J81" i="5" s="1"/>
  <c r="M81" i="5" s="1"/>
  <c r="K82" i="5" l="1"/>
  <c r="J82" i="5" s="1"/>
  <c r="I82" i="5"/>
  <c r="M82" i="5" l="1"/>
  <c r="I83" i="5" s="1"/>
  <c r="K83" i="5" l="1"/>
  <c r="J83" i="5" s="1"/>
  <c r="Q16" i="5" l="1"/>
  <c r="P16" i="5"/>
  <c r="R16" i="5" s="1"/>
  <c r="M83" i="5"/>
  <c r="I84" i="5" s="1"/>
  <c r="K84" i="5" l="1"/>
  <c r="J84" i="5" s="1"/>
  <c r="M84" i="5" s="1"/>
  <c r="I85" i="5" l="1"/>
  <c r="K85" i="5"/>
  <c r="J85" i="5" l="1"/>
  <c r="M85" i="5" s="1"/>
  <c r="I86" i="5" l="1"/>
  <c r="K86" i="5"/>
  <c r="J86" i="5" l="1"/>
  <c r="M86" i="5" s="1"/>
  <c r="I87" i="5" l="1"/>
  <c r="K87" i="5"/>
  <c r="J87" i="5" l="1"/>
  <c r="M87" i="5" s="1"/>
  <c r="I88" i="5" l="1"/>
  <c r="K88" i="5"/>
  <c r="J88" i="5" l="1"/>
  <c r="M88" i="5" s="1"/>
  <c r="I89" i="5" l="1"/>
  <c r="K89" i="5"/>
  <c r="J89" i="5" s="1"/>
  <c r="M89" i="5" l="1"/>
  <c r="K90" i="5" l="1"/>
  <c r="J90" i="5" s="1"/>
  <c r="I90" i="5"/>
  <c r="M90" i="5" l="1"/>
  <c r="K91" i="5" s="1"/>
  <c r="J91" i="5" s="1"/>
  <c r="I91" i="5" l="1"/>
  <c r="M91" i="5" s="1"/>
  <c r="I92" i="5" s="1"/>
  <c r="K92" i="5" l="1"/>
  <c r="J92" i="5" s="1"/>
  <c r="M92" i="5" s="1"/>
  <c r="K93" i="5" l="1"/>
  <c r="J93" i="5" s="1"/>
  <c r="I93" i="5"/>
  <c r="M93" i="5" l="1"/>
  <c r="I94" i="5" s="1"/>
  <c r="K94" i="5" l="1"/>
  <c r="J94" i="5" s="1"/>
  <c r="M94" i="5" s="1"/>
  <c r="K95" i="5" l="1"/>
  <c r="I95" i="5"/>
  <c r="J95" i="5" l="1"/>
  <c r="P17" i="5" s="1"/>
  <c r="R17" i="5" s="1"/>
  <c r="Q17" i="5"/>
  <c r="M95" i="5" l="1"/>
  <c r="I96" i="5" s="1"/>
  <c r="K96" i="5" l="1"/>
  <c r="J96" i="5" s="1"/>
  <c r="M96" i="5" s="1"/>
  <c r="I97" i="5" l="1"/>
  <c r="K97" i="5"/>
  <c r="J97" i="5" l="1"/>
  <c r="M97" i="5" s="1"/>
  <c r="I98" i="5" l="1"/>
  <c r="K98" i="5"/>
  <c r="J98" i="5" l="1"/>
  <c r="M98" i="5" l="1"/>
  <c r="I99" i="5" l="1"/>
  <c r="K99" i="5"/>
  <c r="J99" i="5" l="1"/>
  <c r="M99" i="5" s="1"/>
  <c r="I100" i="5" l="1"/>
  <c r="K100" i="5"/>
  <c r="J100" i="5" l="1"/>
  <c r="M100" i="5" s="1"/>
  <c r="I101" i="5" l="1"/>
  <c r="K101" i="5"/>
  <c r="J101" i="5" s="1"/>
  <c r="M101" i="5" l="1"/>
  <c r="I102" i="5" l="1"/>
  <c r="K102" i="5"/>
  <c r="J102" i="5" s="1"/>
  <c r="M102" i="5" l="1"/>
  <c r="I103" i="5" l="1"/>
  <c r="K103" i="5"/>
  <c r="J103" i="5" s="1"/>
  <c r="M103" i="5" l="1"/>
  <c r="K104" i="5" l="1"/>
  <c r="J104" i="5" s="1"/>
  <c r="I104" i="5"/>
  <c r="M104" i="5" l="1"/>
  <c r="I105" i="5" s="1"/>
  <c r="K105" i="5" l="1"/>
  <c r="J105" i="5" s="1"/>
  <c r="M105" i="5" s="1"/>
  <c r="K106" i="5" l="1"/>
  <c r="J106" i="5" s="1"/>
  <c r="I106" i="5"/>
  <c r="M106" i="5" l="1"/>
  <c r="K107" i="5" s="1"/>
  <c r="I107" i="5" l="1"/>
  <c r="J107" i="5"/>
  <c r="P18" i="5" s="1"/>
  <c r="R18" i="5" s="1"/>
  <c r="Q18" i="5"/>
  <c r="M107" i="5" l="1"/>
  <c r="I108" i="5" s="1"/>
  <c r="K108" i="5" l="1"/>
  <c r="J108" i="5" s="1"/>
  <c r="M108" i="5" s="1"/>
  <c r="K109" i="5" l="1"/>
  <c r="I109" i="5"/>
  <c r="J109" i="5" l="1"/>
  <c r="M109" i="5" s="1"/>
  <c r="I110" i="5" l="1"/>
  <c r="K110" i="5"/>
  <c r="J110" i="5" l="1"/>
  <c r="M110" i="5" s="1"/>
  <c r="K111" i="5" l="1"/>
  <c r="I111" i="5"/>
  <c r="J111" i="5" l="1"/>
  <c r="M111" i="5" s="1"/>
  <c r="I112" i="5" l="1"/>
  <c r="K112" i="5"/>
  <c r="J112" i="5" l="1"/>
  <c r="M112" i="5" s="1"/>
  <c r="K113" i="5" l="1"/>
  <c r="J113" i="5" s="1"/>
  <c r="I113" i="5"/>
  <c r="M113" i="5" l="1"/>
  <c r="K114" i="5" s="1"/>
  <c r="J114" i="5" s="1"/>
  <c r="I114" i="5" l="1"/>
  <c r="M114" i="5" s="1"/>
  <c r="K115" i="5" l="1"/>
  <c r="J115" i="5" s="1"/>
  <c r="I115" i="5"/>
  <c r="M115" i="5" l="1"/>
  <c r="I116" i="5" s="1"/>
  <c r="K116" i="5" l="1"/>
  <c r="J116" i="5" s="1"/>
  <c r="M116" i="5" s="1"/>
  <c r="K117" i="5" s="1"/>
  <c r="J117" i="5" s="1"/>
  <c r="I117" i="5" l="1"/>
  <c r="M117" i="5" s="1"/>
  <c r="K118" i="5" s="1"/>
  <c r="J118" i="5" s="1"/>
  <c r="I118" i="5" l="1"/>
  <c r="M118" i="5" s="1"/>
  <c r="I119" i="5" s="1"/>
  <c r="K119" i="5" l="1"/>
  <c r="J119" i="5" s="1"/>
  <c r="P19" i="5" l="1"/>
  <c r="R19" i="5" s="1"/>
  <c r="M119" i="5"/>
  <c r="K120" i="5" s="1"/>
  <c r="Q19" i="5"/>
  <c r="I120" i="5" l="1"/>
  <c r="J120" i="5"/>
  <c r="M120" i="5" l="1"/>
  <c r="I121" i="5" s="1"/>
  <c r="K121" i="5" l="1"/>
  <c r="J121" i="5" s="1"/>
  <c r="M121" i="5" s="1"/>
  <c r="K122" i="5" l="1"/>
  <c r="I122" i="5"/>
  <c r="J122" i="5" l="1"/>
  <c r="M122" i="5" s="1"/>
  <c r="I123" i="5" l="1"/>
  <c r="K123" i="5"/>
  <c r="J123" i="5" l="1"/>
  <c r="M123" i="5" s="1"/>
  <c r="I124" i="5" l="1"/>
  <c r="K124" i="5"/>
  <c r="J124" i="5" l="1"/>
  <c r="M124" i="5" s="1"/>
  <c r="K125" i="5" l="1"/>
  <c r="J125" i="5" s="1"/>
  <c r="I125" i="5"/>
  <c r="M125" i="5" l="1"/>
  <c r="I126" i="5" s="1"/>
  <c r="K126" i="5" l="1"/>
  <c r="J126" i="5" s="1"/>
  <c r="M126" i="5" s="1"/>
  <c r="K127" i="5" l="1"/>
  <c r="J127" i="5" s="1"/>
  <c r="I127" i="5"/>
  <c r="M127" i="5" l="1"/>
  <c r="K128" i="5" s="1"/>
  <c r="J128" i="5" s="1"/>
  <c r="I128" i="5" l="1"/>
  <c r="M128" i="5" s="1"/>
  <c r="K129" i="5" l="1"/>
  <c r="J129" i="5" s="1"/>
  <c r="I129" i="5"/>
  <c r="M129" i="5" l="1"/>
  <c r="I130" i="5" s="1"/>
  <c r="K130" i="5" l="1"/>
  <c r="J130" i="5" s="1"/>
  <c r="M130" i="5" s="1"/>
  <c r="K131" i="5" l="1"/>
  <c r="Q20" i="5" s="1"/>
  <c r="I131" i="5"/>
  <c r="J131" i="5"/>
  <c r="P20" i="5" s="1"/>
  <c r="M131" i="5" l="1"/>
  <c r="R20" i="5"/>
  <c r="B8" i="5" l="1"/>
  <c r="E12" i="5" s="1"/>
  <c r="E13" i="5" l="1"/>
  <c r="C89" i="5"/>
  <c r="B40" i="4" s="1"/>
  <c r="B42" i="4" s="1"/>
  <c r="B49" i="4" s="1"/>
  <c r="B51" i="4" s="1"/>
  <c r="B53" i="4" s="1"/>
  <c r="B7" i="1" s="1"/>
  <c r="B9" i="1" s="1"/>
  <c r="B16" i="1" s="1"/>
  <c r="B11" i="5"/>
  <c r="F11" i="5" s="1"/>
  <c r="C52" i="4" l="1"/>
  <c r="B12" i="5"/>
  <c r="B83" i="5"/>
  <c r="D12" i="5"/>
  <c r="E14" i="5"/>
  <c r="E15" i="5" l="1"/>
  <c r="C75" i="5"/>
  <c r="C12" i="5"/>
  <c r="C79" i="5" s="1"/>
  <c r="C76" i="5" l="1"/>
  <c r="C45" i="4"/>
  <c r="C31" i="3"/>
  <c r="K31" i="3" s="1"/>
  <c r="F12" i="5"/>
  <c r="C46" i="4"/>
  <c r="C80" i="5"/>
  <c r="B22" i="1"/>
  <c r="E16" i="5"/>
  <c r="C30" i="3" l="1"/>
  <c r="K30" i="3" s="1"/>
  <c r="B16" i="11"/>
  <c r="B23" i="1"/>
  <c r="B25" i="1"/>
  <c r="D52" i="2"/>
  <c r="D53" i="2" s="1"/>
  <c r="C83" i="5"/>
  <c r="B13" i="5"/>
  <c r="D13" i="5"/>
  <c r="C47" i="4"/>
  <c r="C49" i="4" s="1"/>
  <c r="C51" i="4" s="1"/>
  <c r="C53" i="4" l="1"/>
  <c r="B34" i="11"/>
  <c r="C32" i="3"/>
  <c r="K32" i="3" s="1"/>
  <c r="B26" i="1"/>
  <c r="B34" i="1" s="1"/>
  <c r="B36" i="1" s="1"/>
  <c r="D52" i="4"/>
  <c r="C7" i="1"/>
  <c r="C9" i="1" s="1"/>
  <c r="D75" i="5"/>
  <c r="C13" i="5"/>
  <c r="D79" i="5" s="1"/>
  <c r="C33" i="3"/>
  <c r="K33" i="3" s="1"/>
  <c r="C34" i="3" l="1"/>
  <c r="K34" i="3" s="1"/>
  <c r="C16" i="1"/>
  <c r="F13" i="5"/>
  <c r="B14" i="5" s="1"/>
  <c r="C21" i="1"/>
  <c r="D22" i="4" s="1"/>
  <c r="D76" i="5"/>
  <c r="D45" i="4"/>
  <c r="D31" i="3"/>
  <c r="C35" i="3"/>
  <c r="C22" i="1"/>
  <c r="C25" i="1" s="1"/>
  <c r="D46" i="4"/>
  <c r="D80" i="5"/>
  <c r="K35" i="3" l="1"/>
  <c r="B33" i="11"/>
  <c r="D30" i="3"/>
  <c r="B7" i="11"/>
  <c r="D83" i="5"/>
  <c r="D14" i="5"/>
  <c r="E75" i="5" s="1"/>
  <c r="C37" i="3"/>
  <c r="C29" i="1"/>
  <c r="C23" i="1"/>
  <c r="D47" i="4"/>
  <c r="D49" i="4" s="1"/>
  <c r="E52" i="2"/>
  <c r="C26" i="1" l="1"/>
  <c r="B14" i="11" s="1"/>
  <c r="B12" i="11"/>
  <c r="B11" i="11"/>
  <c r="C14" i="5"/>
  <c r="E79" i="5" s="1"/>
  <c r="D22" i="1" s="1"/>
  <c r="D25" i="1" s="1"/>
  <c r="E45" i="4"/>
  <c r="E76" i="5"/>
  <c r="E31" i="3"/>
  <c r="C32" i="1"/>
  <c r="D31" i="1"/>
  <c r="B20" i="11" l="1"/>
  <c r="B29" i="11"/>
  <c r="C34" i="1"/>
  <c r="B9" i="11"/>
  <c r="E30" i="3"/>
  <c r="E46" i="4"/>
  <c r="E47" i="4" s="1"/>
  <c r="E49" i="4" s="1"/>
  <c r="E80" i="5"/>
  <c r="F14" i="5"/>
  <c r="E83" i="5" s="1"/>
  <c r="F52" i="2"/>
  <c r="D30" i="1"/>
  <c r="C36" i="1" l="1"/>
  <c r="B19" i="11"/>
  <c r="B8" i="11"/>
  <c r="B15" i="5"/>
  <c r="D15" i="5"/>
  <c r="F75" i="5" s="1"/>
  <c r="F31" i="3" s="1"/>
  <c r="F76" i="5" l="1"/>
  <c r="F30" i="3"/>
  <c r="G52" i="2" s="1"/>
  <c r="F45" i="4"/>
  <c r="C15" i="5"/>
  <c r="F79" i="5" l="1"/>
  <c r="F80" i="5" s="1"/>
  <c r="F15" i="5"/>
  <c r="F83" i="5" s="1"/>
  <c r="F46" i="4" l="1"/>
  <c r="F47" i="4" s="1"/>
  <c r="F49" i="4" s="1"/>
  <c r="E22" i="1"/>
  <c r="E25" i="1" s="1"/>
  <c r="D16" i="5"/>
  <c r="B16" i="5"/>
  <c r="G75" i="5" l="1"/>
  <c r="C16" i="5"/>
  <c r="G76" i="5" l="1"/>
  <c r="G31" i="3"/>
  <c r="G45" i="4"/>
  <c r="G79" i="5"/>
  <c r="F16" i="5"/>
  <c r="G83" i="5" s="1"/>
  <c r="G25" i="1" s="1"/>
  <c r="G30" i="3" l="1"/>
  <c r="G80" i="5"/>
  <c r="G46" i="4"/>
  <c r="G47" i="4" s="1"/>
  <c r="G49" i="4" s="1"/>
  <c r="F22" i="1"/>
  <c r="H52" i="2"/>
  <c r="F25" i="1" l="1"/>
  <c r="B128" i="2" l="1"/>
  <c r="C128" i="2" l="1"/>
  <c r="B26" i="8"/>
  <c r="C26" i="8" s="1"/>
  <c r="D26" i="8" l="1"/>
  <c r="E26" i="8" s="1"/>
  <c r="F26" i="8" s="1"/>
  <c r="C28" i="8"/>
  <c r="C27" i="8"/>
  <c r="D128" i="2"/>
  <c r="E128" i="2" s="1"/>
  <c r="F128" i="2" s="1"/>
  <c r="C130" i="2"/>
  <c r="C129" i="2"/>
  <c r="C31" i="8" l="1"/>
  <c r="C36" i="8" s="1"/>
  <c r="D28" i="8"/>
  <c r="C30" i="8"/>
  <c r="C35" i="8" s="1"/>
  <c r="D27" i="8"/>
  <c r="C132" i="2"/>
  <c r="D129" i="2"/>
  <c r="C133" i="2"/>
  <c r="C138" i="2" s="1"/>
  <c r="D130" i="2"/>
  <c r="C37" i="8" l="1"/>
  <c r="D133" i="2"/>
  <c r="D138" i="2" s="1"/>
  <c r="E130" i="2"/>
  <c r="E27" i="8"/>
  <c r="D30" i="8"/>
  <c r="D35" i="8" s="1"/>
  <c r="D132" i="2"/>
  <c r="E129" i="2"/>
  <c r="D31" i="8"/>
  <c r="D36" i="8" s="1"/>
  <c r="E28" i="8"/>
  <c r="C137" i="2"/>
  <c r="C139" i="2" s="1"/>
  <c r="E57" i="2" s="1"/>
  <c r="C141" i="2"/>
  <c r="C142" i="2" s="1"/>
  <c r="D12" i="3" s="1"/>
  <c r="D37" i="8" l="1"/>
  <c r="E30" i="8"/>
  <c r="E35" i="8" s="1"/>
  <c r="F27" i="8"/>
  <c r="F30" i="8" s="1"/>
  <c r="F35" i="8" s="1"/>
  <c r="E49" i="2"/>
  <c r="F129" i="2"/>
  <c r="F132" i="2" s="1"/>
  <c r="E132" i="2"/>
  <c r="E133" i="2"/>
  <c r="E138" i="2" s="1"/>
  <c r="F130" i="2"/>
  <c r="F133" i="2" s="1"/>
  <c r="F138" i="2" s="1"/>
  <c r="E31" i="8"/>
  <c r="E36" i="8" s="1"/>
  <c r="F28" i="8"/>
  <c r="F31" i="8" s="1"/>
  <c r="F36" i="8" s="1"/>
  <c r="E61" i="2"/>
  <c r="D10" i="3"/>
  <c r="C32" i="11" s="1"/>
  <c r="E62" i="2"/>
  <c r="E69" i="2" s="1"/>
  <c r="E63" i="2"/>
  <c r="E70" i="2" s="1"/>
  <c r="D141" i="2"/>
  <c r="D142" i="2" s="1"/>
  <c r="E12" i="3" s="1"/>
  <c r="D137" i="2"/>
  <c r="D139" i="2" s="1"/>
  <c r="F57" i="2" s="1"/>
  <c r="E37" i="8" l="1"/>
  <c r="E137" i="2"/>
  <c r="E139" i="2" s="1"/>
  <c r="G57" i="2" s="1"/>
  <c r="E141" i="2"/>
  <c r="E142" i="2" s="1"/>
  <c r="F12" i="3" s="1"/>
  <c r="F49" i="2"/>
  <c r="D7" i="4"/>
  <c r="F141" i="2"/>
  <c r="F137" i="2"/>
  <c r="F139" i="2" s="1"/>
  <c r="H57" i="2" s="1"/>
  <c r="F63" i="2"/>
  <c r="F70" i="2" s="1"/>
  <c r="E10" i="3"/>
  <c r="F61" i="2"/>
  <c r="F62" i="2"/>
  <c r="F69" i="2" s="1"/>
  <c r="L29" i="3"/>
  <c r="L19" i="3"/>
  <c r="L30" i="3"/>
  <c r="L15" i="3"/>
  <c r="C23" i="11"/>
  <c r="L16" i="3"/>
  <c r="L17" i="3"/>
  <c r="L26" i="3"/>
  <c r="L22" i="3"/>
  <c r="L27" i="3"/>
  <c r="L31" i="3"/>
  <c r="L10" i="3"/>
  <c r="L18" i="3"/>
  <c r="D20" i="3"/>
  <c r="L14" i="3"/>
  <c r="D25" i="3"/>
  <c r="L21" i="3"/>
  <c r="L12" i="3"/>
  <c r="E64" i="2"/>
  <c r="E68" i="2"/>
  <c r="F37" i="8"/>
  <c r="M12" i="3" l="1"/>
  <c r="D32" i="11"/>
  <c r="F142" i="2"/>
  <c r="G12" i="3" s="1"/>
  <c r="F64" i="2"/>
  <c r="F68" i="2"/>
  <c r="M30" i="3"/>
  <c r="M26" i="3"/>
  <c r="M16" i="3"/>
  <c r="E25" i="3"/>
  <c r="M14" i="3"/>
  <c r="M31" i="3"/>
  <c r="M19" i="3"/>
  <c r="M27" i="3"/>
  <c r="M21" i="3"/>
  <c r="M22" i="3"/>
  <c r="M10" i="3"/>
  <c r="M29" i="3"/>
  <c r="D23" i="11"/>
  <c r="M17" i="3"/>
  <c r="M18" i="3"/>
  <c r="E20" i="3"/>
  <c r="M15" i="3"/>
  <c r="L20" i="3"/>
  <c r="D13" i="3"/>
  <c r="D19" i="4"/>
  <c r="G49" i="2"/>
  <c r="E72" i="2"/>
  <c r="E74" i="2" s="1"/>
  <c r="D6" i="4"/>
  <c r="D8" i="4" s="1"/>
  <c r="E7" i="4"/>
  <c r="H63" i="2"/>
  <c r="H70" i="2" s="1"/>
  <c r="G10" i="3"/>
  <c r="F32" i="11" s="1"/>
  <c r="H61" i="2"/>
  <c r="H62" i="2"/>
  <c r="H69" i="2" s="1"/>
  <c r="D24" i="3"/>
  <c r="L25" i="3"/>
  <c r="E100" i="2"/>
  <c r="G62" i="2"/>
  <c r="G69" i="2" s="1"/>
  <c r="G63" i="2"/>
  <c r="G70" i="2" s="1"/>
  <c r="F10" i="3"/>
  <c r="G61" i="2"/>
  <c r="N12" i="3" l="1"/>
  <c r="E32" i="11"/>
  <c r="F7" i="4"/>
  <c r="L13" i="3"/>
  <c r="D11" i="3"/>
  <c r="E50" i="2"/>
  <c r="E53" i="2" s="1"/>
  <c r="L24" i="3"/>
  <c r="O31" i="3"/>
  <c r="O26" i="3"/>
  <c r="O27" i="3"/>
  <c r="O14" i="3"/>
  <c r="O10" i="3"/>
  <c r="O30" i="3"/>
  <c r="O22" i="3"/>
  <c r="O17" i="3"/>
  <c r="G25" i="3"/>
  <c r="H100" i="2" s="1"/>
  <c r="O29" i="3"/>
  <c r="O18" i="3"/>
  <c r="O19" i="3"/>
  <c r="O15" i="3"/>
  <c r="O21" i="3"/>
  <c r="F23" i="11"/>
  <c r="G20" i="3"/>
  <c r="O16" i="3"/>
  <c r="E24" i="3"/>
  <c r="M25" i="3"/>
  <c r="F100" i="2"/>
  <c r="E6" i="4"/>
  <c r="E8" i="4" s="1"/>
  <c r="F72" i="2"/>
  <c r="N16" i="3"/>
  <c r="N30" i="3"/>
  <c r="N17" i="3"/>
  <c r="N19" i="3"/>
  <c r="N15" i="3"/>
  <c r="E23" i="11"/>
  <c r="N21" i="3"/>
  <c r="N31" i="3"/>
  <c r="N26" i="3"/>
  <c r="N18" i="3"/>
  <c r="N14" i="3"/>
  <c r="N29" i="3"/>
  <c r="F20" i="3"/>
  <c r="F25" i="3"/>
  <c r="N27" i="3"/>
  <c r="N22" i="3"/>
  <c r="N10" i="3"/>
  <c r="H64" i="2"/>
  <c r="H68" i="2"/>
  <c r="G64" i="2"/>
  <c r="G68" i="2"/>
  <c r="E97" i="2"/>
  <c r="G7" i="4"/>
  <c r="M20" i="3"/>
  <c r="E19" i="4"/>
  <c r="E13" i="3"/>
  <c r="O12" i="3"/>
  <c r="H49" i="2"/>
  <c r="D8" i="1"/>
  <c r="C21" i="11" s="1"/>
  <c r="F73" i="2"/>
  <c r="F74" i="2" l="1"/>
  <c r="G73" i="2" s="1"/>
  <c r="H97" i="2"/>
  <c r="N25" i="3"/>
  <c r="F24" i="3"/>
  <c r="G100" i="2"/>
  <c r="E98" i="2"/>
  <c r="H72" i="2"/>
  <c r="G6" i="4"/>
  <c r="G8" i="4" s="1"/>
  <c r="N20" i="3"/>
  <c r="F19" i="4"/>
  <c r="F13" i="3"/>
  <c r="F97" i="2"/>
  <c r="O20" i="3"/>
  <c r="G19" i="4"/>
  <c r="G13" i="3"/>
  <c r="L11" i="3"/>
  <c r="D23" i="3"/>
  <c r="M13" i="3"/>
  <c r="E11" i="3"/>
  <c r="G72" i="2"/>
  <c r="F6" i="4"/>
  <c r="F8" i="4" s="1"/>
  <c r="F50" i="2"/>
  <c r="F53" i="2" s="1"/>
  <c r="M24" i="3"/>
  <c r="O25" i="3"/>
  <c r="G24" i="3"/>
  <c r="E8" i="1" l="1"/>
  <c r="D21" i="11" s="1"/>
  <c r="G74" i="2"/>
  <c r="F8" i="1" s="1"/>
  <c r="E21" i="11" s="1"/>
  <c r="O13" i="3"/>
  <c r="G11" i="3"/>
  <c r="N24" i="3"/>
  <c r="G50" i="2"/>
  <c r="G53" i="2" s="1"/>
  <c r="O24" i="3"/>
  <c r="H50" i="2"/>
  <c r="H53" i="2" s="1"/>
  <c r="M11" i="3"/>
  <c r="E23" i="3"/>
  <c r="N13" i="3"/>
  <c r="F11" i="3"/>
  <c r="C5" i="11"/>
  <c r="L23" i="3"/>
  <c r="D28" i="3"/>
  <c r="E12" i="4"/>
  <c r="E99" i="2"/>
  <c r="D11" i="4" s="1"/>
  <c r="H98" i="2"/>
  <c r="H99" i="2" s="1"/>
  <c r="G11" i="4" s="1"/>
  <c r="F98" i="2"/>
  <c r="F12" i="4" s="1"/>
  <c r="G97" i="2"/>
  <c r="H73" i="2" l="1"/>
  <c r="H74" i="2" s="1"/>
  <c r="G8" i="1" s="1"/>
  <c r="F21" i="11" s="1"/>
  <c r="O11" i="3"/>
  <c r="G23" i="3"/>
  <c r="M23" i="3"/>
  <c r="D5" i="11"/>
  <c r="E28" i="3"/>
  <c r="D23" i="4"/>
  <c r="D25" i="4" s="1"/>
  <c r="D20" i="1"/>
  <c r="G98" i="2"/>
  <c r="G12" i="4" s="1"/>
  <c r="C17" i="11"/>
  <c r="D32" i="3"/>
  <c r="C6" i="11"/>
  <c r="L28" i="3"/>
  <c r="C16" i="11"/>
  <c r="N11" i="3"/>
  <c r="F23" i="3"/>
  <c r="F99" i="2"/>
  <c r="E11" i="4" s="1"/>
  <c r="G99" i="2" l="1"/>
  <c r="F11" i="4" s="1"/>
  <c r="L32" i="3"/>
  <c r="D34" i="3"/>
  <c r="L34" i="3" s="1"/>
  <c r="D33" i="3"/>
  <c r="D6" i="10"/>
  <c r="D51" i="4"/>
  <c r="F5" i="11"/>
  <c r="G28" i="3"/>
  <c r="O23" i="3"/>
  <c r="E20" i="1"/>
  <c r="E5" i="11"/>
  <c r="N23" i="3"/>
  <c r="F28" i="3"/>
  <c r="D17" i="11"/>
  <c r="M28" i="3"/>
  <c r="D16" i="11"/>
  <c r="D6" i="11"/>
  <c r="E32" i="3"/>
  <c r="D53" i="4" l="1"/>
  <c r="C34" i="11"/>
  <c r="D9" i="10"/>
  <c r="F16" i="11"/>
  <c r="F6" i="11"/>
  <c r="F17" i="11"/>
  <c r="O28" i="3"/>
  <c r="G32" i="3"/>
  <c r="E52" i="4"/>
  <c r="D7" i="1"/>
  <c r="D9" i="1" s="1"/>
  <c r="M32" i="3"/>
  <c r="E34" i="3"/>
  <c r="M34" i="3" s="1"/>
  <c r="E33" i="3"/>
  <c r="L33" i="3"/>
  <c r="D21" i="1"/>
  <c r="E17" i="11"/>
  <c r="E6" i="11"/>
  <c r="E16" i="11"/>
  <c r="N28" i="3"/>
  <c r="F32" i="3"/>
  <c r="F20" i="1"/>
  <c r="D35" i="3"/>
  <c r="C33" i="11" s="1"/>
  <c r="E35" i="3" l="1"/>
  <c r="D33" i="11" s="1"/>
  <c r="G20" i="1"/>
  <c r="N32" i="3"/>
  <c r="F33" i="3"/>
  <c r="F34" i="3"/>
  <c r="N34" i="3" s="1"/>
  <c r="E37" i="3"/>
  <c r="M35" i="3"/>
  <c r="E29" i="1"/>
  <c r="D7" i="11"/>
  <c r="C7" i="11"/>
  <c r="D37" i="3"/>
  <c r="D29" i="1"/>
  <c r="L35" i="3"/>
  <c r="E22" i="4"/>
  <c r="E23" i="4" s="1"/>
  <c r="E25" i="4" s="1"/>
  <c r="D23" i="1"/>
  <c r="D26" i="1" s="1"/>
  <c r="G33" i="3"/>
  <c r="O32" i="3"/>
  <c r="G34" i="3"/>
  <c r="O34" i="3" s="1"/>
  <c r="M33" i="3"/>
  <c r="E21" i="1"/>
  <c r="D16" i="1"/>
  <c r="C12" i="11" l="1"/>
  <c r="G35" i="3"/>
  <c r="F21" i="1"/>
  <c r="N33" i="3"/>
  <c r="F22" i="4"/>
  <c r="F23" i="4" s="1"/>
  <c r="F25" i="4" s="1"/>
  <c r="E23" i="1"/>
  <c r="E26" i="1" s="1"/>
  <c r="C25" i="11"/>
  <c r="F35" i="3"/>
  <c r="E33" i="11" s="1"/>
  <c r="C26" i="11"/>
  <c r="C14" i="11"/>
  <c r="E51" i="4"/>
  <c r="E6" i="10"/>
  <c r="C11" i="11"/>
  <c r="G21" i="1"/>
  <c r="G23" i="1" s="1"/>
  <c r="G26" i="1" s="1"/>
  <c r="O33" i="3"/>
  <c r="E31" i="1"/>
  <c r="F31" i="1" s="1"/>
  <c r="D32" i="1"/>
  <c r="D34" i="1" s="1"/>
  <c r="E30" i="1"/>
  <c r="F30" i="1" s="1"/>
  <c r="E53" i="4" l="1"/>
  <c r="D34" i="11"/>
  <c r="O35" i="3"/>
  <c r="F33" i="11"/>
  <c r="G37" i="3"/>
  <c r="G29" i="1"/>
  <c r="F7" i="11"/>
  <c r="C19" i="11"/>
  <c r="C8" i="11"/>
  <c r="D36" i="1"/>
  <c r="E9" i="10"/>
  <c r="F52" i="4"/>
  <c r="E7" i="1"/>
  <c r="E9" i="1" s="1"/>
  <c r="E32" i="1"/>
  <c r="E34" i="1" s="1"/>
  <c r="G22" i="4"/>
  <c r="G23" i="4" s="1"/>
  <c r="G25" i="4" s="1"/>
  <c r="F23" i="1"/>
  <c r="F26" i="1" s="1"/>
  <c r="F26" i="11" s="1"/>
  <c r="N35" i="3"/>
  <c r="F37" i="3"/>
  <c r="F29" i="1"/>
  <c r="F32" i="1" s="1"/>
  <c r="E27" i="11" s="1"/>
  <c r="E7" i="11"/>
  <c r="D26" i="11"/>
  <c r="C27" i="11"/>
  <c r="C9" i="11"/>
  <c r="C24" i="11"/>
  <c r="C29" i="11"/>
  <c r="C20" i="11"/>
  <c r="F51" i="4"/>
  <c r="E34" i="11" s="1"/>
  <c r="F6" i="10"/>
  <c r="F9" i="10" s="1"/>
  <c r="F53" i="4" l="1"/>
  <c r="F7" i="1" s="1"/>
  <c r="F9" i="1" s="1"/>
  <c r="D27" i="11"/>
  <c r="D9" i="11"/>
  <c r="G30" i="1"/>
  <c r="G52" i="4"/>
  <c r="E9" i="11"/>
  <c r="G31" i="1"/>
  <c r="D12" i="11"/>
  <c r="E16" i="1"/>
  <c r="D11" i="11"/>
  <c r="G6" i="10"/>
  <c r="G51" i="4"/>
  <c r="D19" i="11"/>
  <c r="D8" i="11"/>
  <c r="E26" i="11"/>
  <c r="F34" i="1"/>
  <c r="G53" i="4" l="1"/>
  <c r="G7" i="1" s="1"/>
  <c r="G9" i="1" s="1"/>
  <c r="F34" i="11"/>
  <c r="G32" i="1"/>
  <c r="G34" i="1" s="1"/>
  <c r="D24" i="11"/>
  <c r="D29" i="11"/>
  <c r="D20" i="11"/>
  <c r="E19" i="11"/>
  <c r="E8" i="11"/>
  <c r="D25" i="11"/>
  <c r="E36" i="1"/>
  <c r="D14" i="11"/>
  <c r="F16" i="1"/>
  <c r="E12" i="11"/>
  <c r="E11" i="11"/>
  <c r="G16" i="1"/>
  <c r="F11" i="11"/>
  <c r="F12" i="11"/>
  <c r="B11" i="10"/>
  <c r="F9" i="11" l="1"/>
  <c r="F27" i="11"/>
  <c r="G36" i="1"/>
  <c r="F25" i="11"/>
  <c r="F14" i="11"/>
  <c r="E24" i="11"/>
  <c r="E29" i="11"/>
  <c r="E20" i="11"/>
  <c r="F19" i="11"/>
  <c r="F8" i="11"/>
  <c r="F24" i="11"/>
  <c r="F29" i="11"/>
  <c r="F20" i="11"/>
  <c r="F36" i="1"/>
  <c r="E25" i="11"/>
  <c r="E14" i="11"/>
  <c r="B7" i="10"/>
  <c r="G9" i="10" s="1"/>
  <c r="B10" i="10" s="1"/>
  <c r="B20" i="10" s="1"/>
</calcChain>
</file>

<file path=xl/sharedStrings.xml><?xml version="1.0" encoding="utf-8"?>
<sst xmlns="http://schemas.openxmlformats.org/spreadsheetml/2006/main" count="798" uniqueCount="521">
  <si>
    <t>Cifras $ Millones</t>
  </si>
  <si>
    <t>Activo</t>
  </si>
  <si>
    <t>Pasivo</t>
  </si>
  <si>
    <t>Patrimonio</t>
  </si>
  <si>
    <t>Cifras en $ Millones</t>
  </si>
  <si>
    <t>Electrodomésticos de Cafetería</t>
  </si>
  <si>
    <t>Año 1</t>
  </si>
  <si>
    <t>Año 2</t>
  </si>
  <si>
    <t>Año 3</t>
  </si>
  <si>
    <t>Año 4</t>
  </si>
  <si>
    <t>Año 5</t>
  </si>
  <si>
    <t>Compra de Activos Fijos para Operaciones</t>
  </si>
  <si>
    <t>Total Depreciación Operaciones</t>
  </si>
  <si>
    <t>Total Depreciación Administración</t>
  </si>
  <si>
    <t>Propiedad, Planta y Equipo</t>
  </si>
  <si>
    <t>ESTADO DE RESULTADOS</t>
  </si>
  <si>
    <t>Ingresos</t>
  </si>
  <si>
    <t>Costo de Ventas</t>
  </si>
  <si>
    <t>Utilidad Bruta</t>
  </si>
  <si>
    <t>Mano de Obra</t>
  </si>
  <si>
    <t>Gastos de Administración</t>
  </si>
  <si>
    <t>Gastos de Ventas</t>
  </si>
  <si>
    <t>Utilidad Operacional</t>
  </si>
  <si>
    <t>Ingresos No Operacionales</t>
  </si>
  <si>
    <t>Gastos No Operacionales</t>
  </si>
  <si>
    <t>Intereses</t>
  </si>
  <si>
    <t>Utilidad Antes de Impuesto</t>
  </si>
  <si>
    <t>Provisión Renta (25%)</t>
  </si>
  <si>
    <t>Provisión CREE (9%)</t>
  </si>
  <si>
    <t>Utilidad Neta</t>
  </si>
  <si>
    <t>Total Depreciado</t>
  </si>
  <si>
    <t>Total Afectación Balance</t>
  </si>
  <si>
    <t>Balance Inicial</t>
  </si>
  <si>
    <t>Depreciación</t>
  </si>
  <si>
    <t>Amortizaciones</t>
  </si>
  <si>
    <t>3 Basculas Pequeñas 50 Kilos Con Ruedas 2 Grandes  Max 1 Ton</t>
  </si>
  <si>
    <t>Montacargas</t>
  </si>
  <si>
    <t>Alarmas de Evacuación</t>
  </si>
  <si>
    <t>Alarma de Intrusión</t>
  </si>
  <si>
    <t>Control de Acceso</t>
  </si>
  <si>
    <t>Flujo de Caja</t>
  </si>
  <si>
    <t>Ingresos Operacionales</t>
  </si>
  <si>
    <t>Recaudo Ventas de Contado</t>
  </si>
  <si>
    <t>Recaudo Ventas a Crédito</t>
  </si>
  <si>
    <t>Total Ingresos Operacionales</t>
  </si>
  <si>
    <t>Año 0</t>
  </si>
  <si>
    <t>Dotaciones</t>
  </si>
  <si>
    <t>Total Gastos Operacionales</t>
  </si>
  <si>
    <t>Dotación</t>
  </si>
  <si>
    <t>IPC</t>
  </si>
  <si>
    <t>Exámen Para Trabajo en Alturas</t>
  </si>
  <si>
    <t>Extintores</t>
  </si>
  <si>
    <t>Gastos de Personal</t>
  </si>
  <si>
    <t>Licencias (Software)</t>
  </si>
  <si>
    <t>Acces Point para Radio Frecuencia WiFi</t>
  </si>
  <si>
    <t>Computadores</t>
  </si>
  <si>
    <t>Total Software</t>
  </si>
  <si>
    <t>Servicios Públicos</t>
  </si>
  <si>
    <t>Capacitación Personal</t>
  </si>
  <si>
    <t>Aseo y Cafetería</t>
  </si>
  <si>
    <t>Papelería</t>
  </si>
  <si>
    <t>Guardas de Seguridad</t>
  </si>
  <si>
    <t>Diferidos</t>
  </si>
  <si>
    <t>Amortización</t>
  </si>
  <si>
    <t>Control de Plagas</t>
  </si>
  <si>
    <t>Seguros (Amparos Contractuales)</t>
  </si>
  <si>
    <t>Incremento Salarial</t>
  </si>
  <si>
    <t>Carga Prestacional</t>
  </si>
  <si>
    <t>Costos y Gastos Variables</t>
  </si>
  <si>
    <t>Seguros y Amparos Contractuales</t>
  </si>
  <si>
    <t>Gastos de Personal Ventas</t>
  </si>
  <si>
    <t>Disponible</t>
  </si>
  <si>
    <t>Total Activo Corriente</t>
  </si>
  <si>
    <t>Total Costos y Gastos Fijos</t>
  </si>
  <si>
    <t>Costos y Gastos Fijos</t>
  </si>
  <si>
    <t>Carga Impositiva</t>
  </si>
  <si>
    <t>ROS</t>
  </si>
  <si>
    <t>Costo de Ventas-Seguros</t>
  </si>
  <si>
    <t>Seguros</t>
  </si>
  <si>
    <t>Ingresos de Inversión</t>
  </si>
  <si>
    <t>Total Ingresos de Inversión</t>
  </si>
  <si>
    <t>Egresos de Inversión</t>
  </si>
  <si>
    <t>Gastos Preoperativos</t>
  </si>
  <si>
    <t>Software</t>
  </si>
  <si>
    <t>Flujo de Inversión</t>
  </si>
  <si>
    <t>Flujo Operacional</t>
  </si>
  <si>
    <t>Ingresos Financieros</t>
  </si>
  <si>
    <t>Préstamos Moneda Nacional</t>
  </si>
  <si>
    <t>Préstamos Moneda Extranjera</t>
  </si>
  <si>
    <t>Total Ingresos Financieros</t>
  </si>
  <si>
    <t>Egresos Financieros</t>
  </si>
  <si>
    <t>Servicio de la Deuda</t>
  </si>
  <si>
    <t>Total Egresos Financieros</t>
  </si>
  <si>
    <t>Valor</t>
  </si>
  <si>
    <t>Plazo</t>
  </si>
  <si>
    <t>Años</t>
  </si>
  <si>
    <t>Tasa</t>
  </si>
  <si>
    <t>E.A.</t>
  </si>
  <si>
    <t>Cuota Fija</t>
  </si>
  <si>
    <t>Año</t>
  </si>
  <si>
    <t>Saldo Inicial</t>
  </si>
  <si>
    <t>Flujo Financiero</t>
  </si>
  <si>
    <t>Flujo de Caja Neto</t>
  </si>
  <si>
    <t>Saldo Final</t>
  </si>
  <si>
    <t>Cuota</t>
  </si>
  <si>
    <t>Capital</t>
  </si>
  <si>
    <t>Obligaciones Financieras</t>
  </si>
  <si>
    <t>Pago de Intereses</t>
  </si>
  <si>
    <t>Crédito 1</t>
  </si>
  <si>
    <t>Total Pago de Intereses</t>
  </si>
  <si>
    <t>Política de Recaudo de Cartera</t>
  </si>
  <si>
    <t>Ventas de Contado</t>
  </si>
  <si>
    <t>Ventas a 30 días</t>
  </si>
  <si>
    <t>Ventas a 60 días</t>
  </si>
  <si>
    <t>Pago de Amortizaciones</t>
  </si>
  <si>
    <t>Recaudo de Cartera</t>
  </si>
  <si>
    <t>Ventas</t>
  </si>
  <si>
    <t>Total Ventas</t>
  </si>
  <si>
    <t>Total Activo Fijo</t>
  </si>
  <si>
    <t>Total Activo</t>
  </si>
  <si>
    <t>Clientes</t>
  </si>
  <si>
    <t>Total Recaudado</t>
  </si>
  <si>
    <t>Cuentas Por Cobrar Período Anterior</t>
  </si>
  <si>
    <t>Cuenta Por Cobrar</t>
  </si>
  <si>
    <t>Nómina</t>
  </si>
  <si>
    <t>Cesantías</t>
  </si>
  <si>
    <t>Obligaciones Laborales</t>
  </si>
  <si>
    <t>Impuestos por Pagar</t>
  </si>
  <si>
    <t>Impuestos</t>
  </si>
  <si>
    <t>Capital Social</t>
  </si>
  <si>
    <t>Utilidades del Ejercicio</t>
  </si>
  <si>
    <t>Utilidades Acumuladas</t>
  </si>
  <si>
    <t>Reserva Legal (10%)</t>
  </si>
  <si>
    <t>Total Pasivo</t>
  </si>
  <si>
    <t>Total Pasivo + Patrimonio</t>
  </si>
  <si>
    <t>Total Pasivo Corriente</t>
  </si>
  <si>
    <t>Costos Indirectos de Fabricación</t>
  </si>
  <si>
    <t>meses</t>
  </si>
  <si>
    <t>mes vencido</t>
  </si>
  <si>
    <t>Crédito Bodega</t>
  </si>
  <si>
    <t>Pago Amortizaciones</t>
  </si>
  <si>
    <t>Saldo Deuda</t>
  </si>
  <si>
    <t>MILLONES DE US$ CIF</t>
  </si>
  <si>
    <t>MILLONES</t>
  </si>
  <si>
    <t>Importaciones Colombia año 2014</t>
  </si>
  <si>
    <t>Importaciones por Buenaventura</t>
  </si>
  <si>
    <t>Participación Puerto de Buenaventura</t>
  </si>
  <si>
    <t>Número de Empresas Potenciales</t>
  </si>
  <si>
    <t>Toneladas movilizadas Enero-Octubre 2014 Puerto Buenaventura</t>
  </si>
  <si>
    <t>Proyección lineal 2014 Toneladas movilizadas Puerto Buenaventura</t>
  </si>
  <si>
    <t>Importaciones Colombia año 2013</t>
  </si>
  <si>
    <t>Participación Contenedores de 40 pies</t>
  </si>
  <si>
    <t>Participación Contenedores de 20 pies</t>
  </si>
  <si>
    <t>Capacidad Toneladas por contenedor de 40 pies</t>
  </si>
  <si>
    <t>Capacidad Toneladas por contenedor de 20 pies</t>
  </si>
  <si>
    <t>Número de contenedores potenciales a desconsolidar</t>
  </si>
  <si>
    <t>Tarifa promedio por desconsolidación de contenedores de 40 Toneladas año 2014</t>
  </si>
  <si>
    <t>Tarifa promedio por desconsolidación de contenedores de 20 Toneladas año 2014</t>
  </si>
  <si>
    <t>Incremento porcentual en número de Contenedores</t>
  </si>
  <si>
    <t>Incremento en la tarifa de desconsolidación por contenedor</t>
  </si>
  <si>
    <t>Tarifa proyectada de desconsolidación contenedor de 40 pies</t>
  </si>
  <si>
    <t>Tarifa proyectada de desconsolidación contenedor de 20 pies</t>
  </si>
  <si>
    <t>Total ingresos por desconsolidación contenedor de 40 pies</t>
  </si>
  <si>
    <t>Total ingresos por desconsolidación contenedor de 20 pies</t>
  </si>
  <si>
    <t>Proyección de Ingresos</t>
  </si>
  <si>
    <t xml:space="preserve"> 1Circuito Cerrado de TV</t>
  </si>
  <si>
    <t>Sensores</t>
  </si>
  <si>
    <t>Estaciones Manuales con luz Estroboscopica</t>
  </si>
  <si>
    <t>15 Computadores</t>
  </si>
  <si>
    <t>3 Impresora Cebra</t>
  </si>
  <si>
    <t>1 Impresora Láser</t>
  </si>
  <si>
    <t>Muebles y enseres</t>
  </si>
  <si>
    <t>Muebles y Enseres</t>
  </si>
  <si>
    <t>Total Depreciación Ventas</t>
  </si>
  <si>
    <t>Costo de Ventas y Gastos Operacionales</t>
  </si>
  <si>
    <t>Gastos de personal de operaciones</t>
  </si>
  <si>
    <t>Director de Operaciones</t>
  </si>
  <si>
    <t>Conductores de Montacargas</t>
  </si>
  <si>
    <t>Ingerniero de Sistemas</t>
  </si>
  <si>
    <t>Técnico en Sistemas</t>
  </si>
  <si>
    <t>Valor Nómina  Anual de Operaciones</t>
  </si>
  <si>
    <t>Valor Nómina  Mensual de Operaciones</t>
  </si>
  <si>
    <t>Gastos de Personal de Administración</t>
  </si>
  <si>
    <t>de ventas</t>
  </si>
  <si>
    <t>Gastos de Personal de Ventas</t>
  </si>
  <si>
    <t>Gastos de Personal Admón</t>
  </si>
  <si>
    <t>RESUMEN PRÉSTAMOS INICIALES</t>
  </si>
  <si>
    <t>MODALIDAD</t>
  </si>
  <si>
    <t>VALOR $ MM</t>
  </si>
  <si>
    <t>PLAZO AÑOS</t>
  </si>
  <si>
    <t>COMPRA INMUEBLE</t>
  </si>
  <si>
    <t>TOTAL PRÉSTAMOS</t>
  </si>
  <si>
    <t>Aporte de Capital</t>
  </si>
  <si>
    <t>PREOPERATIVOS Y A.F.</t>
  </si>
  <si>
    <t>Compra Bodega</t>
  </si>
  <si>
    <t>VENTAS</t>
  </si>
  <si>
    <t>Construcción Plataforma de Maniobras de Cross Docking 60X12 mts2</t>
  </si>
  <si>
    <t>Lamparas</t>
  </si>
  <si>
    <t>Reja Divisoria</t>
  </si>
  <si>
    <t>Otros Menores</t>
  </si>
  <si>
    <t>Cantidad</t>
  </si>
  <si>
    <t>Sueldo básico ($mill)</t>
  </si>
  <si>
    <t>Total</t>
  </si>
  <si>
    <t>Cargo</t>
  </si>
  <si>
    <t>Proyección Importación por contenedores de 40 pies para desconsolidar</t>
  </si>
  <si>
    <t xml:space="preserve">Proyección Importación por contenedores de 20 pies para desconsolidar </t>
  </si>
  <si>
    <t xml:space="preserve"> ESTADOS FINANCIEROS HISTÓRICOS</t>
  </si>
  <si>
    <t>BALANCE GENERAL HISTÓRICO</t>
  </si>
  <si>
    <t>BALANCE GENERAL PROYECTADO</t>
  </si>
  <si>
    <t>Año ==&gt;</t>
  </si>
  <si>
    <t>ACTIVO</t>
  </si>
  <si>
    <t>Inversiones temporales</t>
  </si>
  <si>
    <t>Cuentas por cobrar</t>
  </si>
  <si>
    <t>ACTIVO CORRIENTE</t>
  </si>
  <si>
    <t>Activo fijo bruto</t>
  </si>
  <si>
    <t>Depreciación acumulada</t>
  </si>
  <si>
    <t>Activo fijo neto</t>
  </si>
  <si>
    <t>Otros Activos</t>
  </si>
  <si>
    <t>ACTIVO NO CORRIENTE</t>
  </si>
  <si>
    <t>TOTAL ACTIVO</t>
  </si>
  <si>
    <t>PASIVO Y PATRIMONIO</t>
  </si>
  <si>
    <t>Crédito de tesorería</t>
  </si>
  <si>
    <t>Obligaciones financieras CP</t>
  </si>
  <si>
    <t>Proveedores (Ctas por pagar)</t>
  </si>
  <si>
    <t>Impuestos por pagar</t>
  </si>
  <si>
    <t>Obligaciones Laborales CP</t>
  </si>
  <si>
    <t>PASIVO CORRIENTE</t>
  </si>
  <si>
    <t>Obligaciones financieras LP</t>
  </si>
  <si>
    <t>Obligaciones Laborales LP</t>
  </si>
  <si>
    <t>Otros acreedores LP</t>
  </si>
  <si>
    <t>TOTAL PASIVO LARGO PLAZO</t>
  </si>
  <si>
    <t>TOTAL PASIVO</t>
  </si>
  <si>
    <t>Reservas</t>
  </si>
  <si>
    <t>Utilidades del ejercicio</t>
  </si>
  <si>
    <t>Utilidades retenidas</t>
  </si>
  <si>
    <t>TOTAL PATRIMONIO</t>
  </si>
  <si>
    <t>TOTAL PASIVO Y PATRIMONIO</t>
  </si>
  <si>
    <t>PRUEBA: ACTIVO - PASIVO</t>
  </si>
  <si>
    <t>ESTADO DE RESULTADOS HISTÓRICO</t>
  </si>
  <si>
    <t>AÑO ==&gt;</t>
  </si>
  <si>
    <t>Menos costo de ventas sin depreciación</t>
  </si>
  <si>
    <t>Menos depreciación planta</t>
  </si>
  <si>
    <t>UTILIDAD BRUTA EN VENTAS</t>
  </si>
  <si>
    <t>Gastos de administración</t>
  </si>
  <si>
    <t>Gastos de ventas</t>
  </si>
  <si>
    <t>Depreciación admón. y ventas</t>
  </si>
  <si>
    <t>TOTAL COSTOS DE ADMÓN. Y VENTAS</t>
  </si>
  <si>
    <t>UTILIDAD OPERACIONAL</t>
  </si>
  <si>
    <t>Gasto financiero</t>
  </si>
  <si>
    <t>Otros gastos no operacionales</t>
  </si>
  <si>
    <t>Ingresos financieros</t>
  </si>
  <si>
    <t>TOTAL OTROS INGRESOS Y EGRESOS</t>
  </si>
  <si>
    <t>UTILIDAD ANTES DE IMPUESTOS</t>
  </si>
  <si>
    <t>Impuestos CAUSADOS</t>
  </si>
  <si>
    <t>UTILIDAD DESPUÉS DE IMPUESTOS</t>
  </si>
  <si>
    <t>DATOS HISTORICOS</t>
  </si>
  <si>
    <t>DATOS PROYECTADOS</t>
  </si>
  <si>
    <t>CIFRAS MACROECONÓMICAS</t>
  </si>
  <si>
    <t>Inflación en Colombia</t>
  </si>
  <si>
    <t>Variación PIB real</t>
  </si>
  <si>
    <t>DTF real</t>
  </si>
  <si>
    <t>DTF nominal (EA)</t>
  </si>
  <si>
    <t>DATOS HISTORICOS VENTAS</t>
  </si>
  <si>
    <t>BASES PROYECIÓN VENTAS</t>
  </si>
  <si>
    <t>Kilos Transportadas</t>
  </si>
  <si>
    <t>Precio Promedio Por Kilo</t>
  </si>
  <si>
    <t>Variación Real Kilos vendidos</t>
  </si>
  <si>
    <t>N.D.</t>
  </si>
  <si>
    <t>PROMEDIO DE 2012 Y 2014 A EXCEPCIÓN DEL 2015</t>
  </si>
  <si>
    <t xml:space="preserve">Variación de Precios </t>
  </si>
  <si>
    <t>VARIACIÓN POR LA INFLACIÓN EXCEPCIÓN DEL 2015</t>
  </si>
  <si>
    <t>Variación Total</t>
  </si>
  <si>
    <t>DATOS HISTORICOS COSTO DE VENTAS</t>
  </si>
  <si>
    <t>BASES PROYECCIÓN COSTO DE VENTAS</t>
  </si>
  <si>
    <t>COSTOS DE VENTAS</t>
  </si>
  <si>
    <t>COSTO DE VENTAS</t>
  </si>
  <si>
    <t>Participación Costo de Ventas</t>
  </si>
  <si>
    <t>DATOS HISTORICOS GASTOS OPERACIONALES</t>
  </si>
  <si>
    <t>BASES PROYECCIÓN GASTOS OPERACIONALES</t>
  </si>
  <si>
    <t>GASTOS OPERACIONALES</t>
  </si>
  <si>
    <t>Participación Gastos de Admón</t>
  </si>
  <si>
    <t>Incremento Gastos de Admón</t>
  </si>
  <si>
    <t>N.A.</t>
  </si>
  <si>
    <t>SE INCREMENTAN POR LA INFLACIÓN</t>
  </si>
  <si>
    <t>Participación Gastos de Ventas</t>
  </si>
  <si>
    <t>PROMEDIO DE PARTICIPACIÓN</t>
  </si>
  <si>
    <t>Inversiones</t>
  </si>
  <si>
    <t>Valores en millones de pesos</t>
  </si>
  <si>
    <t>Vehiculos</t>
  </si>
  <si>
    <t>Bodega</t>
  </si>
  <si>
    <t>DATOS HISTORICOS OTROS GASTOS NO  OPERACIONALES</t>
  </si>
  <si>
    <t>BASES PROYECCIÓN GASTOS NO  OPERACIONALES</t>
  </si>
  <si>
    <t>OTROS GASTOS NO  OPERACIONALES</t>
  </si>
  <si>
    <t>Participación Otros Gastos No Operacionales</t>
  </si>
  <si>
    <t>Se proyectan en el 2% del Ingreso</t>
  </si>
  <si>
    <t>DATOS HISTORICOS OTROS INGRESOS</t>
  </si>
  <si>
    <t>BASES PROYECCIÓN OTROS INGRESOS</t>
  </si>
  <si>
    <t>Se proyectan en el 0,1%</t>
  </si>
  <si>
    <t>DATOS HISTORICOS PROVISIÓN DE IMPUESTOS</t>
  </si>
  <si>
    <t>BASES PROYECCIÓN IMPUESTOS</t>
  </si>
  <si>
    <t>CUENTAS POR COBRAR</t>
  </si>
  <si>
    <t>VENTA ANUAL</t>
  </si>
  <si>
    <t>RECAUDO VENTAS DEL AÑO</t>
  </si>
  <si>
    <t>RECAUDO CTAS POR COBRAR AÑO ANTERIOR</t>
  </si>
  <si>
    <t>SALDO CUENTAS POR COBRAR</t>
  </si>
  <si>
    <t>ROTACION CUENTAS POR COBRAR</t>
  </si>
  <si>
    <t>CUENTAS POR PAGAR</t>
  </si>
  <si>
    <t>COMPRAS ANUALES</t>
  </si>
  <si>
    <t>PAGO PROVEEDORES</t>
  </si>
  <si>
    <t>PAGO PROVEEDORES DEUDA AÑO ANTERIOR</t>
  </si>
  <si>
    <t>SALDO CUENTAS POR PAGAR</t>
  </si>
  <si>
    <t>APORTES</t>
  </si>
  <si>
    <t>Capital Pagado</t>
  </si>
  <si>
    <t>Aportes</t>
  </si>
  <si>
    <t>Precio estimado de la acción - PESOS</t>
  </si>
  <si>
    <t>Número de acciones</t>
  </si>
  <si>
    <t>Emisión de acciones</t>
  </si>
  <si>
    <t>Acciones totales de le empresa</t>
  </si>
  <si>
    <t>Valor Intrinseco de las Acciones</t>
  </si>
  <si>
    <t>Costo de capital</t>
  </si>
  <si>
    <t>La inversión se hace en el sector de TRANSPORTE DE CARGA TERRESTRE</t>
  </si>
  <si>
    <t>con las siguientes características de riesgo</t>
  </si>
  <si>
    <t>Beta desapalancado</t>
  </si>
  <si>
    <t>Promedio últimos 10 años (2005-14)</t>
  </si>
  <si>
    <t>ESTADOS FINANCIEROS PROYECTADOS</t>
  </si>
  <si>
    <t>UTILIDAD POR ACCION (UPA ó EPS)     en pesos</t>
  </si>
  <si>
    <t>MARGEN NETO</t>
  </si>
  <si>
    <t>BALANCE GENERAL</t>
  </si>
  <si>
    <t>Activo diferido</t>
  </si>
  <si>
    <t>FLUJO DE TESORERÍA ó PRESUPUESTO DE TESORERÍA</t>
  </si>
  <si>
    <t>SALDO INICIAL</t>
  </si>
  <si>
    <t>INGRESOS</t>
  </si>
  <si>
    <t>Ventas de contado</t>
  </si>
  <si>
    <t>Recaudo cartera</t>
  </si>
  <si>
    <t>Créditos recibidos</t>
  </si>
  <si>
    <t>TOTAL INGRESOS</t>
  </si>
  <si>
    <t>DISPONIBLE BRUTO</t>
  </si>
  <si>
    <t>EGRESOS</t>
  </si>
  <si>
    <t>Pago Proveedores del año</t>
  </si>
  <si>
    <t>Pago de ctas por pagar</t>
  </si>
  <si>
    <t>Compra activos</t>
  </si>
  <si>
    <t>Abono capital</t>
  </si>
  <si>
    <t>Gastos Financieros</t>
  </si>
  <si>
    <t>Egresos o Operacionales</t>
  </si>
  <si>
    <t>Pago de impuestos</t>
  </si>
  <si>
    <t>Pago Obligaciones Laborales Corto  y Largo Plazo</t>
  </si>
  <si>
    <t>Otros Acreedores Largo Plazo</t>
  </si>
  <si>
    <t>TOTAL EGRESOS</t>
  </si>
  <si>
    <t>FLUJO DEL PERIODO</t>
  </si>
  <si>
    <t>SALDO FINAL EN CAJA</t>
  </si>
  <si>
    <t>SALDO FINAL</t>
  </si>
  <si>
    <t>CALCULO DEL EBITDA</t>
  </si>
  <si>
    <t>Utilidad neta</t>
  </si>
  <si>
    <t xml:space="preserve">(+) Impuestos </t>
  </si>
  <si>
    <t>(+) Intereses (gasto financiero)</t>
  </si>
  <si>
    <t>EBIT</t>
  </si>
  <si>
    <t>(+) Depreciaciones</t>
  </si>
  <si>
    <t>(+) Amortizaciones</t>
  </si>
  <si>
    <t>EBITDA</t>
  </si>
  <si>
    <t>Margen EBITDA</t>
  </si>
  <si>
    <t>ESTRUCTURA DE CAPITAL</t>
  </si>
  <si>
    <t>CALCULO DEL COSTO DE LA DEUDA</t>
  </si>
  <si>
    <t>Ver nota</t>
  </si>
  <si>
    <t>CALCULO DEL COSTO DEL CAPITAL</t>
  </si>
  <si>
    <t>CALCULO DEL COSTO DE LOS RECURSOS PROPIOS</t>
  </si>
  <si>
    <t>Rentabilidad Bonos del Tesoro USA</t>
  </si>
  <si>
    <t>Inflación USA</t>
  </si>
  <si>
    <t>Inflación Colombia</t>
  </si>
  <si>
    <t>RIESGO PAÍS</t>
  </si>
  <si>
    <t>PRIMA MERCADO</t>
  </si>
  <si>
    <t>Fuente: www.damodaran.com</t>
  </si>
  <si>
    <t>Inflación en USA</t>
  </si>
  <si>
    <t>&lt;==</t>
  </si>
  <si>
    <t>Inflación COLOMBIA</t>
  </si>
  <si>
    <t>Riesgo país Colombia</t>
  </si>
  <si>
    <t>este procedimiento es para pasar de la tasa libre de riesgo de USA a Colombia</t>
  </si>
  <si>
    <t>se toma el 0,62 de uno de los archivos</t>
  </si>
  <si>
    <t>Riesgo operativo</t>
  </si>
  <si>
    <t>Prueba</t>
  </si>
  <si>
    <t>COSTO PROMEDIO PONDERADO DE CAPITAL (CPC ó WACC)</t>
  </si>
  <si>
    <t>COSTO DE CAPITAL - WACC</t>
  </si>
  <si>
    <r>
      <t>(</t>
    </r>
    <r>
      <rPr>
        <b/>
        <i/>
        <sz val="8"/>
        <rFont val="Arial"/>
        <family val="2"/>
      </rPr>
      <t>E</t>
    </r>
    <r>
      <rPr>
        <b/>
        <i/>
        <sz val="8"/>
        <color indexed="10"/>
        <rFont val="Arial"/>
        <family val="2"/>
      </rPr>
      <t xml:space="preserve">arnings </t>
    </r>
    <r>
      <rPr>
        <b/>
        <i/>
        <sz val="8"/>
        <rFont val="Arial"/>
        <family val="2"/>
      </rPr>
      <t>B</t>
    </r>
    <r>
      <rPr>
        <b/>
        <i/>
        <sz val="8"/>
        <color indexed="10"/>
        <rFont val="Arial"/>
        <family val="2"/>
      </rPr>
      <t xml:space="preserve">efore </t>
    </r>
    <r>
      <rPr>
        <b/>
        <i/>
        <sz val="8"/>
        <rFont val="Arial"/>
        <family val="2"/>
      </rPr>
      <t>I</t>
    </r>
    <r>
      <rPr>
        <b/>
        <i/>
        <sz val="8"/>
        <color indexed="10"/>
        <rFont val="Arial"/>
        <family val="2"/>
      </rPr>
      <t xml:space="preserve">nterest, </t>
    </r>
    <r>
      <rPr>
        <b/>
        <i/>
        <sz val="8"/>
        <rFont val="Arial"/>
        <family val="2"/>
      </rPr>
      <t>T</t>
    </r>
    <r>
      <rPr>
        <b/>
        <i/>
        <sz val="8"/>
        <color indexed="10"/>
        <rFont val="Arial"/>
        <family val="2"/>
      </rPr>
      <t xml:space="preserve">axes, </t>
    </r>
    <r>
      <rPr>
        <b/>
        <i/>
        <sz val="8"/>
        <rFont val="Arial"/>
        <family val="2"/>
      </rPr>
      <t>D</t>
    </r>
    <r>
      <rPr>
        <b/>
        <i/>
        <sz val="8"/>
        <color indexed="10"/>
        <rFont val="Arial"/>
        <family val="2"/>
      </rPr>
      <t xml:space="preserve">epreciation and </t>
    </r>
    <r>
      <rPr>
        <b/>
        <i/>
        <sz val="8"/>
        <rFont val="Arial"/>
        <family val="2"/>
      </rPr>
      <t>A</t>
    </r>
    <r>
      <rPr>
        <b/>
        <i/>
        <sz val="8"/>
        <color indexed="10"/>
        <rFont val="Arial"/>
        <family val="2"/>
      </rPr>
      <t>mortization</t>
    </r>
    <r>
      <rPr>
        <b/>
        <sz val="8"/>
        <color indexed="10"/>
        <rFont val="Arial"/>
        <family val="2"/>
      </rPr>
      <t>)</t>
    </r>
  </si>
  <si>
    <r>
      <t xml:space="preserve">WACC: </t>
    </r>
    <r>
      <rPr>
        <b/>
        <sz val="8"/>
        <color indexed="10"/>
        <rFont val="Arial"/>
        <family val="2"/>
      </rPr>
      <t>W</t>
    </r>
    <r>
      <rPr>
        <b/>
        <sz val="8"/>
        <rFont val="Arial"/>
        <family val="2"/>
      </rPr>
      <t xml:space="preserve">eighted </t>
    </r>
    <r>
      <rPr>
        <b/>
        <sz val="8"/>
        <color indexed="10"/>
        <rFont val="Arial"/>
        <family val="2"/>
      </rPr>
      <t>A</t>
    </r>
    <r>
      <rPr>
        <b/>
        <sz val="8"/>
        <rFont val="Arial"/>
        <family val="2"/>
      </rPr>
      <t xml:space="preserve">verage </t>
    </r>
    <r>
      <rPr>
        <b/>
        <sz val="8"/>
        <color indexed="10"/>
        <rFont val="Arial"/>
        <family val="2"/>
      </rPr>
      <t>C</t>
    </r>
    <r>
      <rPr>
        <b/>
        <sz val="8"/>
        <rFont val="Arial"/>
        <family val="2"/>
      </rPr>
      <t xml:space="preserve">ost of </t>
    </r>
    <r>
      <rPr>
        <b/>
        <sz val="8"/>
        <color indexed="10"/>
        <rFont val="Arial"/>
        <family val="2"/>
      </rPr>
      <t>C</t>
    </r>
    <r>
      <rPr>
        <b/>
        <sz val="8"/>
        <rFont val="Arial"/>
        <family val="2"/>
      </rPr>
      <t>apital</t>
    </r>
  </si>
  <si>
    <r>
      <t xml:space="preserve">Deuda financiera                     </t>
    </r>
    <r>
      <rPr>
        <b/>
        <sz val="8"/>
        <rFont val="Arial"/>
        <family val="2"/>
      </rPr>
      <t>D</t>
    </r>
  </si>
  <si>
    <r>
      <t xml:space="preserve">Recursos propios                     </t>
    </r>
    <r>
      <rPr>
        <b/>
        <sz val="8"/>
        <rFont val="Arial"/>
        <family val="2"/>
      </rPr>
      <t>K</t>
    </r>
  </si>
  <si>
    <t>Recursos totales                    D + K</t>
  </si>
  <si>
    <r>
      <t xml:space="preserve">Participación de la deuda        </t>
    </r>
    <r>
      <rPr>
        <b/>
        <sz val="8"/>
        <rFont val="Arial"/>
        <family val="2"/>
      </rPr>
      <t>D / (D + K)</t>
    </r>
  </si>
  <si>
    <r>
      <t xml:space="preserve">Participación de los recursos propios    </t>
    </r>
    <r>
      <rPr>
        <b/>
        <sz val="8"/>
        <rFont val="Arial"/>
        <family val="2"/>
      </rPr>
      <t>K /  (D + K)</t>
    </r>
  </si>
  <si>
    <r>
      <t xml:space="preserve">Gasto financiero                                 </t>
    </r>
    <r>
      <rPr>
        <b/>
        <sz val="8"/>
        <rFont val="Arial"/>
        <family val="2"/>
      </rPr>
      <t>I</t>
    </r>
  </si>
  <si>
    <r>
      <t xml:space="preserve">Saldo promedio de la deuda           </t>
    </r>
    <r>
      <rPr>
        <b/>
        <sz val="8"/>
        <rFont val="Arial"/>
        <family val="2"/>
      </rPr>
      <t>D</t>
    </r>
  </si>
  <si>
    <r>
      <t>Costo de la deuda                          i</t>
    </r>
    <r>
      <rPr>
        <b/>
        <vertAlign val="subscript"/>
        <sz val="8"/>
        <rFont val="Arial"/>
        <family val="2"/>
      </rPr>
      <t xml:space="preserve">d </t>
    </r>
  </si>
  <si>
    <r>
      <t>Costo deuda después de impuestos     i</t>
    </r>
    <r>
      <rPr>
        <b/>
        <vertAlign val="subscript"/>
        <sz val="8"/>
        <rFont val="Arial"/>
        <family val="2"/>
      </rPr>
      <t>d</t>
    </r>
    <r>
      <rPr>
        <b/>
        <sz val="8"/>
        <rFont val="Arial"/>
        <family val="2"/>
      </rPr>
      <t>(1 - t</t>
    </r>
    <r>
      <rPr>
        <b/>
        <vertAlign val="subscript"/>
        <sz val="8"/>
        <rFont val="Arial"/>
        <family val="2"/>
      </rPr>
      <t>x</t>
    </r>
    <r>
      <rPr>
        <b/>
        <sz val="8"/>
        <rFont val="Arial"/>
        <family val="2"/>
      </rPr>
      <t xml:space="preserve">) </t>
    </r>
  </si>
  <si>
    <r>
      <rPr>
        <b/>
        <sz val="8"/>
        <rFont val="Symbol"/>
        <family val="1"/>
        <charset val="2"/>
      </rPr>
      <t>b</t>
    </r>
    <r>
      <rPr>
        <b/>
        <vertAlign val="subscript"/>
        <sz val="8"/>
        <rFont val="Arial"/>
        <family val="2"/>
      </rPr>
      <t>U</t>
    </r>
    <r>
      <rPr>
        <b/>
        <sz val="8"/>
        <rFont val="Arial"/>
        <family val="2"/>
      </rPr>
      <t xml:space="preserve">       
Transporte Processing</t>
    </r>
  </si>
  <si>
    <r>
      <t xml:space="preserve">Tasa libre de riesgo </t>
    </r>
    <r>
      <rPr>
        <b/>
        <u/>
        <sz val="8"/>
        <color indexed="10"/>
        <rFont val="Arial"/>
        <family val="2"/>
      </rPr>
      <t>nominal</t>
    </r>
    <r>
      <rPr>
        <sz val="8"/>
        <rFont val="Arial"/>
        <family val="2"/>
      </rPr>
      <t xml:space="preserve"> en dólares      </t>
    </r>
    <r>
      <rPr>
        <b/>
        <sz val="8"/>
        <rFont val="Arial"/>
        <family val="2"/>
      </rPr>
      <t>R</t>
    </r>
    <r>
      <rPr>
        <b/>
        <vertAlign val="subscript"/>
        <sz val="8"/>
        <rFont val="Arial"/>
        <family val="2"/>
      </rPr>
      <t>f  USA</t>
    </r>
  </si>
  <si>
    <r>
      <t xml:space="preserve">Tasa libre de riesgo </t>
    </r>
    <r>
      <rPr>
        <b/>
        <u/>
        <sz val="8"/>
        <color indexed="10"/>
        <rFont val="Arial"/>
        <family val="2"/>
      </rPr>
      <t>real</t>
    </r>
    <r>
      <rPr>
        <sz val="8"/>
        <rFont val="Arial"/>
        <family val="2"/>
      </rPr>
      <t xml:space="preserve"> en dólares</t>
    </r>
  </si>
  <si>
    <r>
      <t xml:space="preserve">Tasa libre de riesgo  </t>
    </r>
    <r>
      <rPr>
        <b/>
        <u/>
        <sz val="8"/>
        <color indexed="10"/>
        <rFont val="Arial"/>
        <family val="2"/>
      </rPr>
      <t>nominal</t>
    </r>
    <r>
      <rPr>
        <sz val="8"/>
        <rFont val="Arial"/>
        <family val="2"/>
      </rPr>
      <t xml:space="preserve"> COLOMBIA</t>
    </r>
  </si>
  <si>
    <r>
      <t xml:space="preserve">1 Tasa libre de riesgo  COLOMBIA     </t>
    </r>
    <r>
      <rPr>
        <sz val="8"/>
        <color indexed="17"/>
        <rFont val="Arial"/>
        <family val="2"/>
      </rPr>
      <t xml:space="preserve">           </t>
    </r>
    <r>
      <rPr>
        <b/>
        <sz val="8"/>
        <color indexed="17"/>
        <rFont val="Arial"/>
        <family val="2"/>
      </rPr>
      <t>R</t>
    </r>
    <r>
      <rPr>
        <b/>
        <vertAlign val="subscript"/>
        <sz val="8"/>
        <color indexed="17"/>
        <rFont val="Arial"/>
        <family val="2"/>
      </rPr>
      <t>f  COL</t>
    </r>
  </si>
  <si>
    <r>
      <t xml:space="preserve">Prima de riesgo del mercado                </t>
    </r>
    <r>
      <rPr>
        <b/>
        <sz val="8"/>
        <rFont val="Arial"/>
        <family val="2"/>
      </rPr>
      <t>(R</t>
    </r>
    <r>
      <rPr>
        <b/>
        <vertAlign val="subscript"/>
        <sz val="8"/>
        <rFont val="Arial"/>
        <family val="2"/>
      </rPr>
      <t>m</t>
    </r>
    <r>
      <rPr>
        <b/>
        <sz val="8"/>
        <rFont val="Arial"/>
        <family val="2"/>
      </rPr>
      <t xml:space="preserve"> - R</t>
    </r>
    <r>
      <rPr>
        <b/>
        <vertAlign val="subscript"/>
        <sz val="8"/>
        <rFont val="Arial"/>
        <family val="2"/>
      </rPr>
      <t>f</t>
    </r>
    <r>
      <rPr>
        <b/>
        <sz val="8"/>
        <rFont val="Arial"/>
        <family val="2"/>
      </rPr>
      <t>)</t>
    </r>
  </si>
  <si>
    <r>
      <t>b</t>
    </r>
    <r>
      <rPr>
        <b/>
        <vertAlign val="subscript"/>
        <sz val="8"/>
        <rFont val="Arial"/>
        <family val="2"/>
      </rPr>
      <t xml:space="preserve">u </t>
    </r>
    <r>
      <rPr>
        <b/>
        <sz val="8"/>
        <rFont val="Arial"/>
        <family val="2"/>
      </rPr>
      <t>(beta desapalancada)</t>
    </r>
  </si>
  <si>
    <r>
      <t xml:space="preserve">Prima de riesgo del sector               </t>
    </r>
    <r>
      <rPr>
        <b/>
        <sz val="8"/>
        <color indexed="10"/>
        <rFont val="Arial"/>
        <family val="2"/>
      </rPr>
      <t xml:space="preserve"> </t>
    </r>
    <r>
      <rPr>
        <b/>
        <sz val="8"/>
        <color indexed="10"/>
        <rFont val="Symbol"/>
        <family val="1"/>
        <charset val="2"/>
      </rPr>
      <t>b</t>
    </r>
    <r>
      <rPr>
        <b/>
        <vertAlign val="subscript"/>
        <sz val="8"/>
        <color indexed="10"/>
        <rFont val="Arial"/>
        <family val="2"/>
      </rPr>
      <t>U</t>
    </r>
    <r>
      <rPr>
        <b/>
        <sz val="8"/>
        <color indexed="10"/>
        <rFont val="Arial"/>
        <family val="2"/>
      </rPr>
      <t>(R</t>
    </r>
    <r>
      <rPr>
        <b/>
        <vertAlign val="subscript"/>
        <sz val="8"/>
        <color indexed="10"/>
        <rFont val="Arial"/>
        <family val="2"/>
      </rPr>
      <t>m</t>
    </r>
    <r>
      <rPr>
        <b/>
        <sz val="8"/>
        <color indexed="10"/>
        <rFont val="Arial"/>
        <family val="2"/>
      </rPr>
      <t xml:space="preserve"> - R</t>
    </r>
    <r>
      <rPr>
        <b/>
        <vertAlign val="subscript"/>
        <sz val="8"/>
        <color indexed="10"/>
        <rFont val="Arial"/>
        <family val="2"/>
      </rPr>
      <t>f</t>
    </r>
    <r>
      <rPr>
        <b/>
        <sz val="8"/>
        <color indexed="10"/>
        <rFont val="Arial"/>
        <family val="2"/>
      </rPr>
      <t>)</t>
    </r>
  </si>
  <si>
    <r>
      <t xml:space="preserve">Endeudamiento de la empresa           </t>
    </r>
    <r>
      <rPr>
        <b/>
        <sz val="8"/>
        <rFont val="Arial"/>
        <family val="2"/>
      </rPr>
      <t>D / K</t>
    </r>
  </si>
  <si>
    <r>
      <t>b</t>
    </r>
    <r>
      <rPr>
        <b/>
        <vertAlign val="subscript"/>
        <sz val="8"/>
        <rFont val="Arial"/>
        <family val="2"/>
      </rPr>
      <t xml:space="preserve">L </t>
    </r>
    <r>
      <rPr>
        <b/>
        <sz val="8"/>
        <rFont val="Arial"/>
        <family val="2"/>
      </rPr>
      <t>(beta apalancada)</t>
    </r>
  </si>
  <si>
    <r>
      <t xml:space="preserve">Prima de riesgo financiero               </t>
    </r>
    <r>
      <rPr>
        <b/>
        <sz val="8"/>
        <color indexed="10"/>
        <rFont val="Arial"/>
        <family val="2"/>
      </rPr>
      <t xml:space="preserve"> (</t>
    </r>
    <r>
      <rPr>
        <b/>
        <sz val="8"/>
        <color indexed="10"/>
        <rFont val="Symbol"/>
        <family val="1"/>
        <charset val="2"/>
      </rPr>
      <t>b</t>
    </r>
    <r>
      <rPr>
        <b/>
        <vertAlign val="subscript"/>
        <sz val="8"/>
        <color indexed="10"/>
        <rFont val="Arial"/>
        <family val="2"/>
      </rPr>
      <t>L</t>
    </r>
    <r>
      <rPr>
        <b/>
        <sz val="8"/>
        <color indexed="10"/>
        <rFont val="Arial"/>
        <family val="2"/>
      </rPr>
      <t xml:space="preserve"> - </t>
    </r>
    <r>
      <rPr>
        <b/>
        <sz val="8"/>
        <color indexed="10"/>
        <rFont val="Symbol"/>
        <family val="1"/>
        <charset val="2"/>
      </rPr>
      <t>b</t>
    </r>
    <r>
      <rPr>
        <b/>
        <vertAlign val="subscript"/>
        <sz val="8"/>
        <color indexed="10"/>
        <rFont val="Arial"/>
        <family val="2"/>
      </rPr>
      <t>U</t>
    </r>
    <r>
      <rPr>
        <b/>
        <sz val="8"/>
        <color indexed="10"/>
        <rFont val="Arial"/>
        <family val="2"/>
      </rPr>
      <t>)(R</t>
    </r>
    <r>
      <rPr>
        <b/>
        <vertAlign val="subscript"/>
        <sz val="8"/>
        <color indexed="10"/>
        <rFont val="Arial"/>
        <family val="2"/>
      </rPr>
      <t>m</t>
    </r>
    <r>
      <rPr>
        <b/>
        <sz val="8"/>
        <color indexed="10"/>
        <rFont val="Arial"/>
        <family val="2"/>
      </rPr>
      <t xml:space="preserve"> - R</t>
    </r>
    <r>
      <rPr>
        <b/>
        <vertAlign val="subscript"/>
        <sz val="8"/>
        <color indexed="10"/>
        <rFont val="Arial"/>
        <family val="2"/>
      </rPr>
      <t>f</t>
    </r>
    <r>
      <rPr>
        <b/>
        <sz val="8"/>
        <color indexed="10"/>
        <rFont val="Arial"/>
        <family val="2"/>
      </rPr>
      <t>)</t>
    </r>
  </si>
  <si>
    <r>
      <t xml:space="preserve">2 Prima de riesgo de la empresa      </t>
    </r>
    <r>
      <rPr>
        <sz val="8"/>
        <color indexed="17"/>
        <rFont val="Arial"/>
        <family val="2"/>
      </rPr>
      <t xml:space="preserve"> </t>
    </r>
    <r>
      <rPr>
        <b/>
        <sz val="8"/>
        <color indexed="17"/>
        <rFont val="Symbol"/>
        <family val="1"/>
        <charset val="2"/>
      </rPr>
      <t>b</t>
    </r>
    <r>
      <rPr>
        <b/>
        <vertAlign val="subscript"/>
        <sz val="8"/>
        <color indexed="17"/>
        <rFont val="Arial"/>
        <family val="2"/>
      </rPr>
      <t>L</t>
    </r>
    <r>
      <rPr>
        <b/>
        <sz val="8"/>
        <color indexed="17"/>
        <rFont val="Arial"/>
        <family val="2"/>
      </rPr>
      <t>(R</t>
    </r>
    <r>
      <rPr>
        <b/>
        <vertAlign val="subscript"/>
        <sz val="8"/>
        <color indexed="17"/>
        <rFont val="Arial"/>
        <family val="2"/>
      </rPr>
      <t>m</t>
    </r>
    <r>
      <rPr>
        <b/>
        <sz val="8"/>
        <color indexed="17"/>
        <rFont val="Arial"/>
        <family val="2"/>
      </rPr>
      <t xml:space="preserve"> - R</t>
    </r>
    <r>
      <rPr>
        <b/>
        <vertAlign val="subscript"/>
        <sz val="8"/>
        <color indexed="17"/>
        <rFont val="Arial"/>
        <family val="2"/>
      </rPr>
      <t>f</t>
    </r>
    <r>
      <rPr>
        <b/>
        <sz val="8"/>
        <color indexed="17"/>
        <rFont val="Arial"/>
        <family val="2"/>
      </rPr>
      <t>)</t>
    </r>
  </si>
  <si>
    <r>
      <t>Costo de los recursos propios (1 + 2 )         i</t>
    </r>
    <r>
      <rPr>
        <b/>
        <vertAlign val="subscript"/>
        <sz val="8"/>
        <rFont val="Arial"/>
        <family val="2"/>
      </rPr>
      <t>k</t>
    </r>
  </si>
  <si>
    <r>
      <t>Costo de los recursos propios    i</t>
    </r>
    <r>
      <rPr>
        <b/>
        <vertAlign val="subscript"/>
        <sz val="8"/>
        <rFont val="Arial"/>
        <family val="2"/>
      </rPr>
      <t>k</t>
    </r>
  </si>
  <si>
    <t>VPN</t>
  </si>
  <si>
    <t>TIR</t>
  </si>
  <si>
    <t>Servicio al Cliente</t>
  </si>
  <si>
    <t>Jefe de Operaciones</t>
  </si>
  <si>
    <t>Operarios</t>
  </si>
  <si>
    <t>Asistente de Operaciones</t>
  </si>
  <si>
    <t>Meses</t>
  </si>
  <si>
    <t>Cuota Fija Mes Vencido</t>
  </si>
  <si>
    <t>RedetransS.A.</t>
  </si>
  <si>
    <t>Participan de acuerdo con la composición actual de RedetransS.A</t>
  </si>
  <si>
    <t xml:space="preserve">Valor Importaciones  clientes potenciales de RedetransS.A </t>
  </si>
  <si>
    <t>Participación Potencial Redetranspor Toneladas movilizadas</t>
  </si>
  <si>
    <t>Número de contenedores potenciales a desconsolidar de 40 pies por parte de RedetransS.A</t>
  </si>
  <si>
    <t>Número de contenedores potenciales a desconsolidar de 20 pies por parte de RedetransS.A</t>
  </si>
  <si>
    <t xml:space="preserve">Participación esperada por RedetransS.A </t>
  </si>
  <si>
    <t>Número de contenedores de 40 pies  a desconsolidar por RedetransS.A</t>
  </si>
  <si>
    <t>Número de contenedores de 20 pies  a desconsolidar por RedetransS.A</t>
  </si>
  <si>
    <t>Proyecto de Desconsolidación de Contenedores en Puerto de Buenaventura</t>
  </si>
  <si>
    <t>Necesidades de Inversión</t>
  </si>
  <si>
    <t>Concepto</t>
  </si>
  <si>
    <t>Valor Unitario</t>
  </si>
  <si>
    <t>Valor Total</t>
  </si>
  <si>
    <t>$ Millones</t>
  </si>
  <si>
    <t>Plataforma De Maniobras Cross Docking</t>
  </si>
  <si>
    <t>Circuito Cerrado De Tv</t>
  </si>
  <si>
    <t>Alarma De Evacuacion</t>
  </si>
  <si>
    <t>Alarma De Intrusión</t>
  </si>
  <si>
    <t>Sensores De Movimiento</t>
  </si>
  <si>
    <t>Estaciones Manuales Con Luz Estroboscopica</t>
  </si>
  <si>
    <t>Sensores De Humo</t>
  </si>
  <si>
    <t>Controles De Acceso</t>
  </si>
  <si>
    <t>Extintores, Señalizacion Y Articulos De Seguridad</t>
  </si>
  <si>
    <t>Acces Point Para Radiofrecuencia Wifi</t>
  </si>
  <si>
    <t>Rejas Divisorias</t>
  </si>
  <si>
    <t>Basculas Pequeñas 50 Kilos</t>
  </si>
  <si>
    <t>Impresora Laser</t>
  </si>
  <si>
    <t>Impresora Cebra</t>
  </si>
  <si>
    <t>Electrodomesticos De Cafeteria</t>
  </si>
  <si>
    <t>Extensiones Electricas 7 Metros</t>
  </si>
  <si>
    <t>Cuarto De Reciclaje</t>
  </si>
  <si>
    <t>Angeos Pajaros</t>
  </si>
  <si>
    <t>Kit De Derrames</t>
  </si>
  <si>
    <t>Muebles Y Enseres Para Admón</t>
  </si>
  <si>
    <t>Muebles Y Enseres Para Ventas</t>
  </si>
  <si>
    <t>Computadores Para Ventas</t>
  </si>
  <si>
    <t>Zunchadora</t>
  </si>
  <si>
    <t xml:space="preserve">Total Inversion </t>
  </si>
  <si>
    <t/>
  </si>
  <si>
    <t>Compra Bodega En Buenaventura</t>
  </si>
  <si>
    <t>Area En Mts 2</t>
  </si>
  <si>
    <t>Total Inversión</t>
  </si>
  <si>
    <t>Operaciones</t>
  </si>
  <si>
    <t>Administración</t>
  </si>
  <si>
    <t>Sistemas</t>
  </si>
  <si>
    <t>Diferencia</t>
  </si>
  <si>
    <t>RedetransS.A. Desconsolidación</t>
  </si>
  <si>
    <t>Plan de Depreciación</t>
  </si>
  <si>
    <t>Activos Fijos para Administración</t>
  </si>
  <si>
    <t>Activos Fijos Operaciones</t>
  </si>
  <si>
    <t>Activos Fijos para Ventas</t>
  </si>
  <si>
    <t>Total Activos Fijos</t>
  </si>
  <si>
    <t>Inversión en Software para Amortizar</t>
  </si>
  <si>
    <t>Plan para Diferir</t>
  </si>
  <si>
    <t>Proyección Ventas</t>
  </si>
  <si>
    <t>Proyección de Ventas</t>
  </si>
  <si>
    <t>Proyección Ventas Redetrans $ Millones</t>
  </si>
  <si>
    <t>Balance General al 31 de Diciembre</t>
  </si>
  <si>
    <t>Estado de Resultados del 1 de Enero al 31 de Diciembre</t>
  </si>
  <si>
    <t>Plan de Amortización Crédito</t>
  </si>
  <si>
    <t>Plan de Amortización Compra Bodega</t>
  </si>
  <si>
    <t>Redetrans S.A. Desconsolidación de Contenedores en Puerto de Buenaventura</t>
  </si>
  <si>
    <t>Evaluación del Proyecto</t>
  </si>
  <si>
    <t>Período</t>
  </si>
  <si>
    <t xml:space="preserve">Flujo de Caja   </t>
  </si>
  <si>
    <t>WACC</t>
  </si>
  <si>
    <t>Flujo de Caja Descontado</t>
  </si>
  <si>
    <t>Rentabilidad Actual de Redetrans</t>
  </si>
  <si>
    <t>Sensibilización</t>
  </si>
  <si>
    <t>1. Variación de Contenedores</t>
  </si>
  <si>
    <t>Examen para Trabajo en Alturas</t>
  </si>
  <si>
    <t>Indicadores</t>
  </si>
  <si>
    <t>De Rentabilidad</t>
  </si>
  <si>
    <t>Rentabilidad Bruta</t>
  </si>
  <si>
    <t>Rentabilidad Operativa</t>
  </si>
  <si>
    <t>Rentabilidad Neta</t>
  </si>
  <si>
    <t>Rentabilidad del Activo</t>
  </si>
  <si>
    <t>Rentabilidad del Patrimonio</t>
  </si>
  <si>
    <t>De Liquidez</t>
  </si>
  <si>
    <t>Capital de Trabajo</t>
  </si>
  <si>
    <t>Razón Corriente</t>
  </si>
  <si>
    <t>De Endeudamiento</t>
  </si>
  <si>
    <t>Endeudamiento</t>
  </si>
  <si>
    <t>De Cobertura de Intereses</t>
  </si>
  <si>
    <t xml:space="preserve">Cobertura </t>
  </si>
  <si>
    <t>De Actividad</t>
  </si>
  <si>
    <t>Rotación del Activo</t>
  </si>
  <si>
    <t>Rotación del Capital de Trabajo</t>
  </si>
  <si>
    <t>Rotación de Cartera (Días)</t>
  </si>
  <si>
    <t>De Crecimiento (Después de Inflación)</t>
  </si>
  <si>
    <t>Ventas Netas</t>
  </si>
  <si>
    <t>De Quiebra</t>
  </si>
  <si>
    <t>Z-Score</t>
  </si>
  <si>
    <t>Redetrans S.A. particpación porcentual potencial</t>
  </si>
  <si>
    <t>Redetrans S.A Mercado potencial Importaciones</t>
  </si>
  <si>
    <t>Redetrans S.A particpación porcentual potencial</t>
  </si>
  <si>
    <t xml:space="preserve">Valor Importaciones  clientes potenciales de Redetrans S.A </t>
  </si>
  <si>
    <t>Participación Potencial Redetrans por Toneladas movilizadas</t>
  </si>
  <si>
    <t>Gastos Operacionales de Administración y Ventas</t>
  </si>
  <si>
    <t>Cifras en %</t>
  </si>
  <si>
    <t>Crecimiento de Contenedores</t>
  </si>
  <si>
    <t>Rentabilidad Operacional</t>
  </si>
  <si>
    <t>g</t>
  </si>
  <si>
    <t>2. Variación de crecimiento perpetuo</t>
  </si>
  <si>
    <t>Venta</t>
  </si>
  <si>
    <t>Flujo de Caja del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</si>
</sst>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3" formatCode="_(* #,##0.00_);_(* \(#,##0.00\);_(* &quot;-&quot;??_);_(@_)"/>
    <numFmt numFmtId="164" formatCode="#,##0.0"/>
    <numFmt numFmtId="165" formatCode="0.0%"/>
    <numFmt numFmtId="166" formatCode="#,##0.000"/>
    <numFmt numFmtId="167" formatCode="#,##0.00000000"/>
    <numFmt numFmtId="168" formatCode="#,##0.000000000_ ;\(#,##0.000000000\)"/>
    <numFmt numFmtId="169" formatCode="#,##0_ ;\(#,##0\)"/>
    <numFmt numFmtId="170" formatCode="#,##0\ ;\(#,##0\)"/>
    <numFmt numFmtId="171" formatCode="#,##0.0%_ ;\(#,##0.0%\)"/>
    <numFmt numFmtId="172" formatCode="#,##0.0_);\(#,##0.0\)"/>
    <numFmt numFmtId="173" formatCode="&quot;a&quot;\ 0\ &quot;dias&quot;"/>
    <numFmt numFmtId="174" formatCode="0.0%\ ;\(0.0%\)"/>
    <numFmt numFmtId="175" formatCode=";;"/>
    <numFmt numFmtId="176" formatCode="#,##0.0_ ;\(#,##0.0\)"/>
    <numFmt numFmtId="177" formatCode="_ * #,##0.00_ ;_ * \-#,##0.00_ ;_ * &quot;-&quot;??_ ;_ @_ "/>
    <numFmt numFmtId="178" formatCode="_ * #,##0_ ;_ * \-#,##0_ ;_ * &quot;-&quot;??_ ;_ @_ "/>
    <numFmt numFmtId="179" formatCode="#,##0.00%_ ;\(#,##0.00%\)"/>
    <numFmt numFmtId="180" formatCode="#,##0.00_ ;\(#,##0.00\)"/>
    <numFmt numFmtId="181" formatCode="0.000%\ ;\(0.000%\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u/>
      <sz val="8"/>
      <color indexed="17"/>
      <name val="Arial"/>
      <family val="2"/>
    </font>
    <font>
      <b/>
      <u/>
      <sz val="8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57"/>
      <name val="Arial"/>
      <family val="2"/>
    </font>
    <font>
      <b/>
      <sz val="8"/>
      <color indexed="9"/>
      <name val="Arial"/>
      <family val="2"/>
    </font>
    <font>
      <b/>
      <sz val="8"/>
      <color indexed="17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i/>
      <sz val="8"/>
      <name val="Arial"/>
      <family val="2"/>
    </font>
    <font>
      <b/>
      <i/>
      <sz val="8"/>
      <color indexed="10"/>
      <name val="Arial"/>
      <family val="2"/>
    </font>
    <font>
      <sz val="8"/>
      <color indexed="10"/>
      <name val="Arial"/>
      <family val="2"/>
    </font>
    <font>
      <b/>
      <vertAlign val="subscript"/>
      <sz val="8"/>
      <name val="Arial"/>
      <family val="2"/>
    </font>
    <font>
      <b/>
      <sz val="8"/>
      <name val="Symbol"/>
      <family val="1"/>
      <charset val="2"/>
    </font>
    <font>
      <b/>
      <u/>
      <sz val="8"/>
      <color indexed="10"/>
      <name val="Arial"/>
      <family val="2"/>
    </font>
    <font>
      <sz val="8"/>
      <color indexed="17"/>
      <name val="Arial"/>
      <family val="2"/>
    </font>
    <font>
      <b/>
      <vertAlign val="subscript"/>
      <sz val="8"/>
      <color indexed="17"/>
      <name val="Arial"/>
      <family val="2"/>
    </font>
    <font>
      <b/>
      <sz val="8"/>
      <color indexed="10"/>
      <name val="Symbol"/>
      <family val="1"/>
      <charset val="2"/>
    </font>
    <font>
      <b/>
      <vertAlign val="subscript"/>
      <sz val="8"/>
      <color indexed="10"/>
      <name val="Arial"/>
      <family val="2"/>
    </font>
    <font>
      <b/>
      <sz val="8"/>
      <color indexed="17"/>
      <name val="Symbol"/>
      <family val="1"/>
      <charset val="2"/>
    </font>
    <font>
      <b/>
      <sz val="8"/>
      <color theme="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</cellStyleXfs>
  <cellXfs count="664">
    <xf numFmtId="0" fontId="0" fillId="0" borderId="0" xfId="0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9" fontId="2" fillId="0" borderId="0" xfId="1" applyFont="1" applyAlignment="1">
      <alignment horizontal="center"/>
    </xf>
    <xf numFmtId="165" fontId="2" fillId="0" borderId="0" xfId="1" applyNumberFormat="1" applyFont="1" applyAlignment="1">
      <alignment horizontal="center"/>
    </xf>
    <xf numFmtId="164" fontId="3" fillId="0" borderId="0" xfId="0" applyNumberFormat="1" applyFont="1" applyAlignment="1"/>
    <xf numFmtId="165" fontId="3" fillId="0" borderId="0" xfId="1" applyNumberFormat="1" applyFont="1" applyAlignment="1">
      <alignment horizontal="center"/>
    </xf>
    <xf numFmtId="0" fontId="3" fillId="0" borderId="3" xfId="0" applyFont="1" applyBorder="1"/>
    <xf numFmtId="164" fontId="3" fillId="0" borderId="4" xfId="0" applyNumberFormat="1" applyFont="1" applyBorder="1" applyAlignment="1">
      <alignment horizontal="center"/>
    </xf>
    <xf numFmtId="0" fontId="2" fillId="0" borderId="6" xfId="0" applyFont="1" applyBorder="1"/>
    <xf numFmtId="164" fontId="2" fillId="0" borderId="0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2" fillId="0" borderId="6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3" fontId="2" fillId="0" borderId="0" xfId="0" applyNumberFormat="1" applyFont="1" applyBorder="1" applyAlignment="1">
      <alignment horizontal="center"/>
    </xf>
    <xf numFmtId="9" fontId="2" fillId="0" borderId="0" xfId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3" fillId="0" borderId="3" xfId="0" applyNumberFormat="1" applyFont="1" applyBorder="1"/>
    <xf numFmtId="164" fontId="3" fillId="0" borderId="8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/>
    <xf numFmtId="164" fontId="3" fillId="0" borderId="6" xfId="0" applyNumberFormat="1" applyFont="1" applyBorder="1"/>
    <xf numFmtId="164" fontId="3" fillId="0" borderId="0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2" fillId="0" borderId="8" xfId="0" applyNumberFormat="1" applyFont="1" applyBorder="1"/>
    <xf numFmtId="9" fontId="2" fillId="0" borderId="9" xfId="1" applyFont="1" applyBorder="1" applyAlignment="1">
      <alignment horizontal="center"/>
    </xf>
    <xf numFmtId="164" fontId="2" fillId="0" borderId="9" xfId="0" applyNumberFormat="1" applyFont="1" applyBorder="1"/>
    <xf numFmtId="164" fontId="3" fillId="0" borderId="4" xfId="0" applyNumberFormat="1" applyFont="1" applyBorder="1"/>
    <xf numFmtId="164" fontId="2" fillId="0" borderId="5" xfId="0" applyNumberFormat="1" applyFont="1" applyBorder="1" applyAlignment="1">
      <alignment horizontal="center"/>
    </xf>
    <xf numFmtId="9" fontId="2" fillId="2" borderId="0" xfId="1" applyFont="1" applyFill="1" applyAlignment="1">
      <alignment horizontal="center"/>
    </xf>
    <xf numFmtId="3" fontId="2" fillId="0" borderId="0" xfId="0" applyNumberFormat="1" applyFont="1" applyBorder="1"/>
    <xf numFmtId="3" fontId="3" fillId="0" borderId="0" xfId="0" applyNumberFormat="1" applyFont="1" applyBorder="1"/>
    <xf numFmtId="164" fontId="3" fillId="0" borderId="4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 applyFill="1" applyAlignment="1">
      <alignment horizontal="center"/>
    </xf>
    <xf numFmtId="4" fontId="3" fillId="0" borderId="0" xfId="0" applyNumberFormat="1" applyFont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64" fontId="2" fillId="0" borderId="10" xfId="0" applyNumberFormat="1" applyFont="1" applyBorder="1"/>
    <xf numFmtId="164" fontId="2" fillId="0" borderId="3" xfId="0" applyNumberFormat="1" applyFont="1" applyBorder="1" applyAlignment="1">
      <alignment horizontal="left"/>
    </xf>
    <xf numFmtId="164" fontId="2" fillId="2" borderId="4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  <xf numFmtId="9" fontId="2" fillId="2" borderId="0" xfId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left"/>
    </xf>
    <xf numFmtId="164" fontId="2" fillId="2" borderId="0" xfId="0" applyNumberFormat="1" applyFont="1" applyFill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164" fontId="3" fillId="0" borderId="6" xfId="0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center"/>
    </xf>
    <xf numFmtId="167" fontId="2" fillId="0" borderId="0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2" fillId="0" borderId="0" xfId="1" applyNumberFormat="1" applyFont="1" applyBorder="1" applyAlignment="1">
      <alignment horizontal="center"/>
    </xf>
    <xf numFmtId="165" fontId="2" fillId="0" borderId="7" xfId="1" applyNumberFormat="1" applyFont="1" applyBorder="1" applyAlignment="1">
      <alignment horizontal="center"/>
    </xf>
    <xf numFmtId="3" fontId="2" fillId="0" borderId="7" xfId="1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left"/>
    </xf>
    <xf numFmtId="0" fontId="2" fillId="2" borderId="0" xfId="0" applyFont="1" applyFill="1"/>
    <xf numFmtId="3" fontId="2" fillId="0" borderId="0" xfId="0" applyNumberFormat="1" applyFont="1" applyAlignment="1">
      <alignment horizontal="center"/>
    </xf>
    <xf numFmtId="164" fontId="3" fillId="0" borderId="0" xfId="0" applyNumberFormat="1" applyFont="1" applyBorder="1"/>
    <xf numFmtId="4" fontId="2" fillId="0" borderId="0" xfId="0" applyNumberFormat="1" applyFont="1"/>
    <xf numFmtId="164" fontId="2" fillId="3" borderId="0" xfId="0" applyNumberFormat="1" applyFont="1" applyFill="1" applyBorder="1" applyAlignment="1">
      <alignment horizontal="center"/>
    </xf>
    <xf numFmtId="164" fontId="2" fillId="3" borderId="0" xfId="0" applyNumberFormat="1" applyFont="1" applyFill="1" applyAlignment="1">
      <alignment horizontal="center"/>
    </xf>
    <xf numFmtId="3" fontId="3" fillId="3" borderId="0" xfId="0" applyNumberFormat="1" applyFont="1" applyFill="1" applyAlignment="1">
      <alignment horizontal="center"/>
    </xf>
    <xf numFmtId="4" fontId="2" fillId="0" borderId="0" xfId="1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166" fontId="2" fillId="2" borderId="0" xfId="0" applyNumberFormat="1" applyFont="1" applyFill="1" applyBorder="1" applyAlignment="1">
      <alignment horizontal="center"/>
    </xf>
    <xf numFmtId="9" fontId="2" fillId="2" borderId="0" xfId="0" applyNumberFormat="1" applyFont="1" applyFill="1" applyBorder="1" applyAlignment="1">
      <alignment horizontal="center"/>
    </xf>
    <xf numFmtId="9" fontId="2" fillId="2" borderId="7" xfId="0" applyNumberFormat="1" applyFont="1" applyFill="1" applyBorder="1" applyAlignment="1">
      <alignment horizontal="center"/>
    </xf>
    <xf numFmtId="0" fontId="6" fillId="2" borderId="0" xfId="3" applyFont="1" applyFill="1" applyBorder="1" applyAlignment="1"/>
    <xf numFmtId="0" fontId="7" fillId="0" borderId="0" xfId="3" quotePrefix="1" applyFont="1" applyFill="1" applyBorder="1" applyAlignment="1"/>
    <xf numFmtId="0" fontId="8" fillId="0" borderId="0" xfId="0" applyFont="1"/>
    <xf numFmtId="0" fontId="8" fillId="0" borderId="0" xfId="3" applyFont="1"/>
    <xf numFmtId="0" fontId="9" fillId="0" borderId="0" xfId="0" applyFont="1" applyBorder="1" applyAlignment="1">
      <alignment horizontal="left"/>
    </xf>
    <xf numFmtId="0" fontId="8" fillId="0" borderId="0" xfId="0" applyFont="1" applyBorder="1"/>
    <xf numFmtId="168" fontId="8" fillId="0" borderId="0" xfId="0" applyNumberFormat="1" applyFont="1" applyBorder="1"/>
    <xf numFmtId="0" fontId="10" fillId="0" borderId="0" xfId="0" applyFont="1" applyBorder="1"/>
    <xf numFmtId="0" fontId="10" fillId="0" borderId="0" xfId="0" applyFont="1"/>
    <xf numFmtId="0" fontId="11" fillId="0" borderId="0" xfId="0" quotePrefix="1" applyFont="1" applyAlignment="1">
      <alignment horizontal="left"/>
    </xf>
    <xf numFmtId="0" fontId="10" fillId="0" borderId="0" xfId="0" applyFont="1" applyFill="1" applyBorder="1"/>
    <xf numFmtId="0" fontId="9" fillId="0" borderId="11" xfId="0" applyFont="1" applyBorder="1"/>
    <xf numFmtId="0" fontId="9" fillId="4" borderId="11" xfId="0" applyNumberFormat="1" applyFont="1" applyFill="1" applyBorder="1" applyAlignment="1">
      <alignment horizontal="right" vertical="top" wrapText="1"/>
    </xf>
    <xf numFmtId="0" fontId="9" fillId="2" borderId="11" xfId="0" applyNumberFormat="1" applyFont="1" applyFill="1" applyBorder="1" applyAlignment="1">
      <alignment horizontal="right" vertical="top" wrapText="1"/>
    </xf>
    <xf numFmtId="0" fontId="9" fillId="2" borderId="11" xfId="0" applyNumberFormat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/>
    </xf>
    <xf numFmtId="0" fontId="12" fillId="0" borderId="12" xfId="0" applyFont="1" applyBorder="1" applyAlignment="1"/>
    <xf numFmtId="0" fontId="12" fillId="0" borderId="13" xfId="0" applyFont="1" applyBorder="1" applyAlignment="1"/>
    <xf numFmtId="0" fontId="8" fillId="0" borderId="11" xfId="0" applyFont="1" applyBorder="1"/>
    <xf numFmtId="169" fontId="8" fillId="0" borderId="11" xfId="0" applyNumberFormat="1" applyFont="1" applyBorder="1"/>
    <xf numFmtId="169" fontId="8" fillId="2" borderId="11" xfId="0" applyNumberFormat="1" applyFont="1" applyFill="1" applyBorder="1"/>
    <xf numFmtId="0" fontId="8" fillId="0" borderId="0" xfId="0" applyFont="1" applyFill="1" applyBorder="1" applyAlignment="1">
      <alignment horizontal="center"/>
    </xf>
    <xf numFmtId="169" fontId="9" fillId="0" borderId="11" xfId="0" applyNumberFormat="1" applyFont="1" applyBorder="1"/>
    <xf numFmtId="169" fontId="9" fillId="2" borderId="11" xfId="0" applyNumberFormat="1" applyFont="1" applyFill="1" applyBorder="1"/>
    <xf numFmtId="0" fontId="8" fillId="0" borderId="14" xfId="0" applyFont="1" applyBorder="1"/>
    <xf numFmtId="169" fontId="8" fillId="0" borderId="14" xfId="0" applyNumberFormat="1" applyFont="1" applyBorder="1"/>
    <xf numFmtId="169" fontId="8" fillId="2" borderId="14" xfId="0" applyNumberFormat="1" applyFont="1" applyFill="1" applyBorder="1"/>
    <xf numFmtId="0" fontId="9" fillId="0" borderId="14" xfId="0" applyFont="1" applyBorder="1"/>
    <xf numFmtId="169" fontId="9" fillId="0" borderId="14" xfId="0" applyNumberFormat="1" applyFont="1" applyBorder="1"/>
    <xf numFmtId="169" fontId="9" fillId="0" borderId="14" xfId="0" applyNumberFormat="1" applyFont="1" applyFill="1" applyBorder="1"/>
    <xf numFmtId="0" fontId="11" fillId="0" borderId="15" xfId="0" applyFont="1" applyBorder="1"/>
    <xf numFmtId="169" fontId="11" fillId="0" borderId="15" xfId="0" applyNumberFormat="1" applyFont="1" applyFill="1" applyBorder="1"/>
    <xf numFmtId="169" fontId="11" fillId="2" borderId="15" xfId="0" applyNumberFormat="1" applyFont="1" applyFill="1" applyBorder="1"/>
    <xf numFmtId="0" fontId="8" fillId="0" borderId="16" xfId="0" applyFont="1" applyBorder="1"/>
    <xf numFmtId="0" fontId="10" fillId="0" borderId="0" xfId="0" applyFont="1" applyFill="1"/>
    <xf numFmtId="170" fontId="8" fillId="0" borderId="16" xfId="0" applyNumberFormat="1" applyFont="1" applyBorder="1"/>
    <xf numFmtId="170" fontId="8" fillId="2" borderId="11" xfId="0" applyNumberFormat="1" applyFont="1" applyFill="1" applyBorder="1"/>
    <xf numFmtId="0" fontId="8" fillId="0" borderId="11" xfId="0" quotePrefix="1" applyFont="1" applyBorder="1" applyAlignment="1">
      <alignment horizontal="left"/>
    </xf>
    <xf numFmtId="169" fontId="8" fillId="0" borderId="16" xfId="0" applyNumberFormat="1" applyFont="1" applyBorder="1"/>
    <xf numFmtId="169" fontId="8" fillId="2" borderId="16" xfId="0" applyNumberFormat="1" applyFont="1" applyFill="1" applyBorder="1"/>
    <xf numFmtId="0" fontId="8" fillId="0" borderId="11" xfId="0" applyFont="1" applyBorder="1" applyAlignment="1">
      <alignment horizontal="left"/>
    </xf>
    <xf numFmtId="169" fontId="8" fillId="0" borderId="11" xfId="0" applyNumberFormat="1" applyFont="1" applyFill="1" applyBorder="1"/>
    <xf numFmtId="0" fontId="8" fillId="2" borderId="11" xfId="0" applyFont="1" applyFill="1" applyBorder="1"/>
    <xf numFmtId="169" fontId="8" fillId="0" borderId="0" xfId="0" applyNumberFormat="1" applyFont="1" applyFill="1" applyBorder="1" applyAlignment="1">
      <alignment horizontal="center"/>
    </xf>
    <xf numFmtId="170" fontId="8" fillId="0" borderId="11" xfId="0" applyNumberFormat="1" applyFont="1" applyFill="1" applyBorder="1"/>
    <xf numFmtId="0" fontId="11" fillId="0" borderId="15" xfId="0" quotePrefix="1" applyFont="1" applyBorder="1" applyAlignment="1">
      <alignment horizontal="left"/>
    </xf>
    <xf numFmtId="169" fontId="11" fillId="0" borderId="15" xfId="0" applyNumberFormat="1" applyFont="1" applyBorder="1"/>
    <xf numFmtId="0" fontId="9" fillId="0" borderId="0" xfId="0" applyFont="1"/>
    <xf numFmtId="169" fontId="9" fillId="0" borderId="0" xfId="0" applyNumberFormat="1" applyFont="1"/>
    <xf numFmtId="0" fontId="13" fillId="5" borderId="11" xfId="0" applyFont="1" applyFill="1" applyBorder="1"/>
    <xf numFmtId="169" fontId="13" fillId="5" borderId="11" xfId="0" applyNumberFormat="1" applyFont="1" applyFill="1" applyBorder="1"/>
    <xf numFmtId="169" fontId="8" fillId="0" borderId="0" xfId="0" applyNumberFormat="1" applyFont="1"/>
    <xf numFmtId="169" fontId="10" fillId="0" borderId="0" xfId="0" applyNumberFormat="1" applyFont="1"/>
    <xf numFmtId="169" fontId="10" fillId="0" borderId="0" xfId="0" applyNumberFormat="1" applyFont="1" applyFill="1"/>
    <xf numFmtId="0" fontId="11" fillId="0" borderId="0" xfId="0" applyFont="1"/>
    <xf numFmtId="0" fontId="9" fillId="0" borderId="12" xfId="0" quotePrefix="1" applyFont="1" applyFill="1" applyBorder="1" applyAlignment="1">
      <alignment vertical="top" wrapText="1"/>
    </xf>
    <xf numFmtId="0" fontId="9" fillId="0" borderId="12" xfId="0" applyFont="1" applyBorder="1" applyAlignment="1"/>
    <xf numFmtId="0" fontId="8" fillId="0" borderId="12" xfId="0" quotePrefix="1" applyFont="1" applyBorder="1" applyAlignment="1">
      <alignment horizontal="left"/>
    </xf>
    <xf numFmtId="9" fontId="8" fillId="0" borderId="0" xfId="1" applyFont="1" applyFill="1" applyBorder="1"/>
    <xf numFmtId="0" fontId="8" fillId="0" borderId="12" xfId="0" applyFont="1" applyBorder="1" applyAlignment="1">
      <alignment horizontal="left"/>
    </xf>
    <xf numFmtId="0" fontId="8" fillId="0" borderId="12" xfId="0" applyFont="1" applyBorder="1" applyAlignment="1"/>
    <xf numFmtId="0" fontId="9" fillId="0" borderId="12" xfId="0" applyFont="1" applyBorder="1" applyAlignment="1">
      <alignment horizontal="left"/>
    </xf>
    <xf numFmtId="0" fontId="8" fillId="6" borderId="12" xfId="0" applyFont="1" applyFill="1" applyBorder="1" applyAlignment="1">
      <alignment horizontal="left"/>
    </xf>
    <xf numFmtId="169" fontId="8" fillId="6" borderId="11" xfId="0" applyNumberFormat="1" applyFont="1" applyFill="1" applyBorder="1"/>
    <xf numFmtId="0" fontId="8" fillId="0" borderId="12" xfId="0" quotePrefix="1" applyFont="1" applyBorder="1" applyAlignment="1"/>
    <xf numFmtId="0" fontId="9" fillId="0" borderId="17" xfId="0" applyFont="1" applyBorder="1" applyAlignment="1"/>
    <xf numFmtId="169" fontId="9" fillId="0" borderId="15" xfId="0" applyNumberFormat="1" applyFont="1" applyBorder="1"/>
    <xf numFmtId="165" fontId="9" fillId="0" borderId="0" xfId="1" applyNumberFormat="1" applyFont="1"/>
    <xf numFmtId="0" fontId="9" fillId="0" borderId="8" xfId="0" applyFont="1" applyBorder="1" applyAlignment="1">
      <alignment horizontal="left"/>
    </xf>
    <xf numFmtId="0" fontId="8" fillId="0" borderId="9" xfId="0" applyFont="1" applyBorder="1"/>
    <xf numFmtId="0" fontId="8" fillId="0" borderId="10" xfId="0" applyFont="1" applyBorder="1"/>
    <xf numFmtId="0" fontId="9" fillId="0" borderId="6" xfId="0" applyFont="1" applyBorder="1" applyAlignment="1">
      <alignment horizontal="left"/>
    </xf>
    <xf numFmtId="0" fontId="10" fillId="0" borderId="7" xfId="0" applyFont="1" applyBorder="1"/>
    <xf numFmtId="0" fontId="9" fillId="4" borderId="18" xfId="0" quotePrefix="1" applyFont="1" applyFill="1" applyBorder="1" applyAlignment="1">
      <alignment vertical="top" wrapText="1"/>
    </xf>
    <xf numFmtId="0" fontId="9" fillId="4" borderId="16" xfId="0" applyNumberFormat="1" applyFont="1" applyFill="1" applyBorder="1" applyAlignment="1">
      <alignment horizontal="right" vertical="top" wrapText="1"/>
    </xf>
    <xf numFmtId="0" fontId="9" fillId="4" borderId="18" xfId="0" applyNumberFormat="1" applyFont="1" applyFill="1" applyBorder="1" applyAlignment="1">
      <alignment horizontal="right" vertical="top" wrapText="1"/>
    </xf>
    <xf numFmtId="0" fontId="9" fillId="2" borderId="19" xfId="0" applyNumberFormat="1" applyFont="1" applyFill="1" applyBorder="1" applyAlignment="1">
      <alignment horizontal="right" vertical="top" wrapText="1"/>
    </xf>
    <xf numFmtId="0" fontId="9" fillId="2" borderId="20" xfId="0" applyNumberFormat="1" applyFont="1" applyFill="1" applyBorder="1" applyAlignment="1">
      <alignment horizontal="right" vertical="top" wrapText="1"/>
    </xf>
    <xf numFmtId="169" fontId="8" fillId="4" borderId="12" xfId="0" quotePrefix="1" applyNumberFormat="1" applyFont="1" applyFill="1" applyBorder="1" applyAlignment="1"/>
    <xf numFmtId="171" fontId="9" fillId="4" borderId="11" xfId="0" applyNumberFormat="1" applyFont="1" applyFill="1" applyBorder="1"/>
    <xf numFmtId="171" fontId="9" fillId="4" borderId="12" xfId="0" applyNumberFormat="1" applyFont="1" applyFill="1" applyBorder="1"/>
    <xf numFmtId="171" fontId="9" fillId="2" borderId="19" xfId="0" applyNumberFormat="1" applyFont="1" applyFill="1" applyBorder="1"/>
    <xf numFmtId="171" fontId="9" fillId="2" borderId="11" xfId="0" applyNumberFormat="1" applyFont="1" applyFill="1" applyBorder="1"/>
    <xf numFmtId="171" fontId="9" fillId="2" borderId="20" xfId="0" applyNumberFormat="1" applyFont="1" applyFill="1" applyBorder="1"/>
    <xf numFmtId="169" fontId="8" fillId="4" borderId="12" xfId="0" applyNumberFormat="1" applyFont="1" applyFill="1" applyBorder="1" applyAlignment="1"/>
    <xf numFmtId="171" fontId="8" fillId="7" borderId="11" xfId="0" applyNumberFormat="1" applyFont="1" applyFill="1" applyBorder="1"/>
    <xf numFmtId="171" fontId="9" fillId="7" borderId="11" xfId="0" applyNumberFormat="1" applyFont="1" applyFill="1" applyBorder="1"/>
    <xf numFmtId="171" fontId="9" fillId="7" borderId="12" xfId="0" applyNumberFormat="1" applyFont="1" applyFill="1" applyBorder="1"/>
    <xf numFmtId="169" fontId="8" fillId="0" borderId="0" xfId="0" applyNumberFormat="1" applyFont="1" applyFill="1" applyBorder="1" applyAlignment="1"/>
    <xf numFmtId="171" fontId="9" fillId="0" borderId="0" xfId="0" applyNumberFormat="1" applyFont="1" applyFill="1" applyBorder="1"/>
    <xf numFmtId="0" fontId="8" fillId="0" borderId="0" xfId="0" applyFont="1" applyFill="1"/>
    <xf numFmtId="0" fontId="14" fillId="0" borderId="0" xfId="0" applyFont="1" applyBorder="1" applyAlignment="1"/>
    <xf numFmtId="0" fontId="14" fillId="0" borderId="0" xfId="0" applyFont="1" applyFill="1" applyBorder="1" applyAlignment="1"/>
    <xf numFmtId="0" fontId="8" fillId="0" borderId="7" xfId="0" applyFont="1" applyBorder="1"/>
    <xf numFmtId="0" fontId="9" fillId="0" borderId="8" xfId="0" applyFont="1" applyBorder="1"/>
    <xf numFmtId="0" fontId="10" fillId="0" borderId="9" xfId="0" applyFont="1" applyBorder="1"/>
    <xf numFmtId="0" fontId="8" fillId="0" borderId="10" xfId="0" applyFont="1" applyFill="1" applyBorder="1"/>
    <xf numFmtId="0" fontId="9" fillId="4" borderId="24" xfId="0" quotePrefix="1" applyFont="1" applyFill="1" applyBorder="1" applyAlignment="1">
      <alignment vertical="top" wrapText="1"/>
    </xf>
    <xf numFmtId="0" fontId="9" fillId="4" borderId="25" xfId="0" applyNumberFormat="1" applyFont="1" applyFill="1" applyBorder="1" applyAlignment="1">
      <alignment horizontal="right" vertical="top" wrapText="1"/>
    </xf>
    <xf numFmtId="0" fontId="9" fillId="2" borderId="26" xfId="0" applyNumberFormat="1" applyFont="1" applyFill="1" applyBorder="1" applyAlignment="1">
      <alignment horizontal="center" vertical="top" wrapText="1"/>
    </xf>
    <xf numFmtId="0" fontId="9" fillId="2" borderId="16" xfId="0" applyNumberFormat="1" applyFont="1" applyFill="1" applyBorder="1" applyAlignment="1">
      <alignment horizontal="center" vertical="top" wrapText="1"/>
    </xf>
    <xf numFmtId="0" fontId="9" fillId="2" borderId="25" xfId="0" applyNumberFormat="1" applyFont="1" applyFill="1" applyBorder="1" applyAlignment="1">
      <alignment horizontal="center" vertical="top" wrapText="1"/>
    </xf>
    <xf numFmtId="0" fontId="9" fillId="0" borderId="0" xfId="0" applyNumberFormat="1" applyFont="1" applyFill="1" applyBorder="1" applyAlignment="1">
      <alignment horizontal="center" vertical="top" wrapText="1"/>
    </xf>
    <xf numFmtId="169" fontId="8" fillId="4" borderId="27" xfId="0" applyNumberFormat="1" applyFont="1" applyFill="1" applyBorder="1" applyAlignment="1"/>
    <xf numFmtId="172" fontId="9" fillId="4" borderId="11" xfId="0" applyNumberFormat="1" applyFont="1" applyFill="1" applyBorder="1"/>
    <xf numFmtId="172" fontId="9" fillId="4" borderId="20" xfId="0" applyNumberFormat="1" applyFont="1" applyFill="1" applyBorder="1"/>
    <xf numFmtId="172" fontId="9" fillId="2" borderId="19" xfId="0" applyNumberFormat="1" applyFont="1" applyFill="1" applyBorder="1" applyAlignment="1">
      <alignment horizontal="center"/>
    </xf>
    <xf numFmtId="172" fontId="9" fillId="2" borderId="28" xfId="0" applyNumberFormat="1" applyFont="1" applyFill="1" applyBorder="1" applyAlignment="1">
      <alignment horizontal="center"/>
    </xf>
    <xf numFmtId="172" fontId="9" fillId="2" borderId="29" xfId="0" applyNumberFormat="1" applyFont="1" applyFill="1" applyBorder="1" applyAlignment="1">
      <alignment horizontal="center"/>
    </xf>
    <xf numFmtId="172" fontId="9" fillId="0" borderId="0" xfId="0" applyNumberFormat="1" applyFont="1" applyFill="1" applyBorder="1" applyAlignment="1">
      <alignment horizontal="center"/>
    </xf>
    <xf numFmtId="171" fontId="8" fillId="7" borderId="19" xfId="0" applyNumberFormat="1" applyFont="1" applyFill="1" applyBorder="1"/>
    <xf numFmtId="171" fontId="9" fillId="7" borderId="11" xfId="0" applyNumberFormat="1" applyFont="1" applyFill="1" applyBorder="1" applyAlignment="1">
      <alignment horizontal="center"/>
    </xf>
    <xf numFmtId="171" fontId="9" fillId="7" borderId="20" xfId="0" applyNumberFormat="1" applyFont="1" applyFill="1" applyBorder="1"/>
    <xf numFmtId="171" fontId="9" fillId="8" borderId="19" xfId="0" applyNumberFormat="1" applyFont="1" applyFill="1" applyBorder="1" applyAlignment="1">
      <alignment horizontal="center"/>
    </xf>
    <xf numFmtId="171" fontId="9" fillId="8" borderId="28" xfId="0" applyNumberFormat="1" applyFont="1" applyFill="1" applyBorder="1" applyAlignment="1">
      <alignment horizontal="center"/>
    </xf>
    <xf numFmtId="171" fontId="9" fillId="8" borderId="29" xfId="0" applyNumberFormat="1" applyFont="1" applyFill="1" applyBorder="1" applyAlignment="1">
      <alignment horizontal="center"/>
    </xf>
    <xf numFmtId="171" fontId="8" fillId="0" borderId="0" xfId="0" applyNumberFormat="1" applyFont="1" applyFill="1"/>
    <xf numFmtId="169" fontId="8" fillId="4" borderId="21" xfId="0" applyNumberFormat="1" applyFont="1" applyFill="1" applyBorder="1" applyAlignment="1"/>
    <xf numFmtId="171" fontId="9" fillId="7" borderId="22" xfId="0" applyNumberFormat="1" applyFont="1" applyFill="1" applyBorder="1" applyAlignment="1">
      <alignment horizontal="center"/>
    </xf>
    <xf numFmtId="171" fontId="9" fillId="4" borderId="22" xfId="0" applyNumberFormat="1" applyFont="1" applyFill="1" applyBorder="1"/>
    <xf numFmtId="171" fontId="9" fillId="4" borderId="23" xfId="0" applyNumberFormat="1" applyFont="1" applyFill="1" applyBorder="1"/>
    <xf numFmtId="171" fontId="9" fillId="8" borderId="21" xfId="0" applyNumberFormat="1" applyFont="1" applyFill="1" applyBorder="1" applyAlignment="1">
      <alignment horizontal="center"/>
    </xf>
    <xf numFmtId="171" fontId="9" fillId="8" borderId="30" xfId="0" applyNumberFormat="1" applyFont="1" applyFill="1" applyBorder="1" applyAlignment="1">
      <alignment horizontal="center"/>
    </xf>
    <xf numFmtId="171" fontId="9" fillId="8" borderId="31" xfId="0" applyNumberFormat="1" applyFont="1" applyFill="1" applyBorder="1" applyAlignment="1">
      <alignment horizontal="center"/>
    </xf>
    <xf numFmtId="171" fontId="9" fillId="0" borderId="0" xfId="0" applyNumberFormat="1" applyFont="1" applyFill="1" applyBorder="1" applyAlignment="1">
      <alignment horizontal="center"/>
    </xf>
    <xf numFmtId="165" fontId="9" fillId="4" borderId="11" xfId="0" applyNumberFormat="1" applyFont="1" applyFill="1" applyBorder="1" applyAlignment="1">
      <alignment horizontal="center"/>
    </xf>
    <xf numFmtId="165" fontId="9" fillId="2" borderId="19" xfId="0" applyNumberFormat="1" applyFont="1" applyFill="1" applyBorder="1" applyAlignment="1">
      <alignment horizontal="center"/>
    </xf>
    <xf numFmtId="165" fontId="9" fillId="2" borderId="32" xfId="0" applyNumberFormat="1" applyFont="1" applyFill="1" applyBorder="1" applyAlignment="1">
      <alignment horizontal="center"/>
    </xf>
    <xf numFmtId="171" fontId="9" fillId="0" borderId="0" xfId="0" applyNumberFormat="1" applyFont="1" applyFill="1" applyBorder="1" applyAlignment="1">
      <alignment horizontal="left"/>
    </xf>
    <xf numFmtId="169" fontId="8" fillId="4" borderId="33" xfId="0" applyNumberFormat="1" applyFont="1" applyFill="1" applyBorder="1" applyAlignment="1"/>
    <xf numFmtId="172" fontId="9" fillId="4" borderId="22" xfId="0" applyNumberFormat="1" applyFont="1" applyFill="1" applyBorder="1" applyAlignment="1">
      <alignment horizontal="center"/>
    </xf>
    <xf numFmtId="172" fontId="9" fillId="4" borderId="23" xfId="0" applyNumberFormat="1" applyFont="1" applyFill="1" applyBorder="1" applyAlignment="1">
      <alignment horizontal="center"/>
    </xf>
    <xf numFmtId="172" fontId="9" fillId="2" borderId="21" xfId="0" applyNumberFormat="1" applyFont="1" applyFill="1" applyBorder="1" applyAlignment="1">
      <alignment horizontal="center"/>
    </xf>
    <xf numFmtId="172" fontId="9" fillId="2" borderId="30" xfId="0" applyNumberFormat="1" applyFont="1" applyFill="1" applyBorder="1" applyAlignment="1">
      <alignment horizontal="center"/>
    </xf>
    <xf numFmtId="172" fontId="9" fillId="2" borderId="31" xfId="0" applyNumberFormat="1" applyFont="1" applyFill="1" applyBorder="1" applyAlignment="1">
      <alignment horizontal="center"/>
    </xf>
    <xf numFmtId="0" fontId="9" fillId="4" borderId="16" xfId="0" applyNumberFormat="1" applyFont="1" applyFill="1" applyBorder="1" applyAlignment="1">
      <alignment horizontal="center" vertical="top" wrapText="1"/>
    </xf>
    <xf numFmtId="0" fontId="9" fillId="4" borderId="25" xfId="0" applyNumberFormat="1" applyFont="1" applyFill="1" applyBorder="1" applyAlignment="1">
      <alignment horizontal="center" vertical="top" wrapText="1"/>
    </xf>
    <xf numFmtId="172" fontId="9" fillId="4" borderId="11" xfId="0" applyNumberFormat="1" applyFont="1" applyFill="1" applyBorder="1" applyAlignment="1">
      <alignment horizontal="center"/>
    </xf>
    <xf numFmtId="165" fontId="9" fillId="4" borderId="11" xfId="1" applyNumberFormat="1" applyFont="1" applyFill="1" applyBorder="1" applyAlignment="1">
      <alignment horizontal="center"/>
    </xf>
    <xf numFmtId="0" fontId="9" fillId="0" borderId="0" xfId="0" applyFont="1" applyBorder="1"/>
    <xf numFmtId="0" fontId="9" fillId="4" borderId="12" xfId="0" quotePrefix="1" applyFont="1" applyFill="1" applyBorder="1" applyAlignment="1">
      <alignment vertical="top" wrapText="1"/>
    </xf>
    <xf numFmtId="0" fontId="9" fillId="0" borderId="0" xfId="0" applyNumberFormat="1" applyFont="1" applyFill="1" applyBorder="1" applyAlignment="1">
      <alignment horizontal="right" vertical="top" wrapText="1"/>
    </xf>
    <xf numFmtId="169" fontId="8" fillId="9" borderId="14" xfId="0" applyNumberFormat="1" applyFont="1" applyFill="1" applyBorder="1" applyAlignment="1">
      <alignment horizontal="left"/>
    </xf>
    <xf numFmtId="169" fontId="8" fillId="4" borderId="11" xfId="0" applyNumberFormat="1" applyFont="1" applyFill="1" applyBorder="1"/>
    <xf numFmtId="169" fontId="8" fillId="0" borderId="0" xfId="0" applyNumberFormat="1" applyFont="1" applyFill="1" applyBorder="1"/>
    <xf numFmtId="169" fontId="8" fillId="9" borderId="16" xfId="0" applyNumberFormat="1" applyFont="1" applyFill="1" applyBorder="1" applyAlignment="1">
      <alignment horizontal="left"/>
    </xf>
    <xf numFmtId="0" fontId="8" fillId="0" borderId="0" xfId="0" quotePrefix="1" applyFont="1" applyAlignment="1">
      <alignment horizontal="left"/>
    </xf>
    <xf numFmtId="9" fontId="10" fillId="0" borderId="0" xfId="0" applyNumberFormat="1" applyFont="1"/>
    <xf numFmtId="169" fontId="8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center"/>
    </xf>
    <xf numFmtId="0" fontId="9" fillId="0" borderId="0" xfId="0" applyFont="1" applyAlignment="1"/>
    <xf numFmtId="171" fontId="8" fillId="0" borderId="0" xfId="0" applyNumberFormat="1" applyFont="1"/>
    <xf numFmtId="169" fontId="10" fillId="0" borderId="0" xfId="0" applyNumberFormat="1" applyFont="1" applyFill="1" applyBorder="1" applyAlignment="1">
      <alignment horizontal="center"/>
    </xf>
    <xf numFmtId="0" fontId="9" fillId="4" borderId="12" xfId="0" applyFont="1" applyFill="1" applyBorder="1" applyAlignment="1">
      <alignment vertical="top" wrapText="1"/>
    </xf>
    <xf numFmtId="0" fontId="8" fillId="9" borderId="14" xfId="0" applyFont="1" applyFill="1" applyBorder="1"/>
    <xf numFmtId="0" fontId="9" fillId="4" borderId="11" xfId="0" applyNumberFormat="1" applyFont="1" applyFill="1" applyBorder="1" applyAlignment="1">
      <alignment horizontal="center" vertical="top" wrapText="1"/>
    </xf>
    <xf numFmtId="173" fontId="8" fillId="4" borderId="12" xfId="0" applyNumberFormat="1" applyFont="1" applyFill="1" applyBorder="1" applyAlignment="1">
      <alignment horizontal="left"/>
    </xf>
    <xf numFmtId="0" fontId="8" fillId="9" borderId="34" xfId="0" applyFont="1" applyFill="1" applyBorder="1"/>
    <xf numFmtId="172" fontId="8" fillId="4" borderId="11" xfId="0" applyNumberFormat="1" applyFont="1" applyFill="1" applyBorder="1" applyAlignment="1">
      <alignment horizontal="center"/>
    </xf>
    <xf numFmtId="0" fontId="9" fillId="7" borderId="12" xfId="0" applyFont="1" applyFill="1" applyBorder="1" applyAlignment="1">
      <alignment horizontal="left"/>
    </xf>
    <xf numFmtId="0" fontId="8" fillId="9" borderId="16" xfId="0" applyFont="1" applyFill="1" applyBorder="1"/>
    <xf numFmtId="172" fontId="8" fillId="7" borderId="11" xfId="0" applyNumberFormat="1" applyFont="1" applyFill="1" applyBorder="1" applyAlignment="1">
      <alignment horizontal="center"/>
    </xf>
    <xf numFmtId="37" fontId="8" fillId="4" borderId="11" xfId="0" applyNumberFormat="1" applyFont="1" applyFill="1" applyBorder="1" applyAlignment="1">
      <alignment horizontal="center"/>
    </xf>
    <xf numFmtId="173" fontId="8" fillId="4" borderId="0" xfId="0" applyNumberFormat="1" applyFont="1" applyFill="1" applyBorder="1" applyAlignment="1">
      <alignment horizontal="left"/>
    </xf>
    <xf numFmtId="0" fontId="8" fillId="9" borderId="0" xfId="0" applyFont="1" applyFill="1" applyBorder="1"/>
    <xf numFmtId="172" fontId="8" fillId="4" borderId="0" xfId="0" applyNumberFormat="1" applyFont="1" applyFill="1" applyBorder="1" applyAlignment="1">
      <alignment horizontal="center"/>
    </xf>
    <xf numFmtId="37" fontId="8" fillId="4" borderId="0" xfId="0" applyNumberFormat="1" applyFont="1" applyFill="1" applyBorder="1" applyAlignment="1">
      <alignment horizontal="center"/>
    </xf>
    <xf numFmtId="169" fontId="8" fillId="0" borderId="35" xfId="0" applyNumberFormat="1" applyFont="1" applyBorder="1" applyAlignment="1">
      <alignment horizontal="left"/>
    </xf>
    <xf numFmtId="169" fontId="8" fillId="0" borderId="35" xfId="0" applyNumberFormat="1" applyFont="1" applyBorder="1"/>
    <xf numFmtId="0" fontId="9" fillId="0" borderId="39" xfId="0" applyFont="1" applyBorder="1"/>
    <xf numFmtId="0" fontId="8" fillId="0" borderId="37" xfId="0" applyFont="1" applyBorder="1"/>
    <xf numFmtId="0" fontId="10" fillId="0" borderId="5" xfId="0" applyFont="1" applyBorder="1"/>
    <xf numFmtId="0" fontId="9" fillId="4" borderId="27" xfId="0" quotePrefix="1" applyFont="1" applyFill="1" applyBorder="1" applyAlignment="1">
      <alignment vertical="top" wrapText="1"/>
    </xf>
    <xf numFmtId="0" fontId="9" fillId="4" borderId="20" xfId="0" applyNumberFormat="1" applyFont="1" applyFill="1" applyBorder="1" applyAlignment="1">
      <alignment horizontal="right" vertical="top" wrapText="1"/>
    </xf>
    <xf numFmtId="169" fontId="9" fillId="7" borderId="19" xfId="0" applyNumberFormat="1" applyFont="1" applyFill="1" applyBorder="1" applyAlignment="1">
      <alignment horizontal="left"/>
    </xf>
    <xf numFmtId="169" fontId="9" fillId="9" borderId="11" xfId="0" applyNumberFormat="1" applyFont="1" applyFill="1" applyBorder="1" applyAlignment="1">
      <alignment vertical="center"/>
    </xf>
    <xf numFmtId="169" fontId="15" fillId="0" borderId="0" xfId="0" applyNumberFormat="1" applyFont="1" applyBorder="1" applyAlignment="1">
      <alignment vertical="center"/>
    </xf>
    <xf numFmtId="169" fontId="15" fillId="0" borderId="7" xfId="0" applyNumberFormat="1" applyFont="1" applyBorder="1" applyAlignment="1">
      <alignment vertical="center"/>
    </xf>
    <xf numFmtId="169" fontId="9" fillId="7" borderId="11" xfId="0" applyNumberFormat="1" applyFont="1" applyFill="1" applyBorder="1"/>
    <xf numFmtId="169" fontId="16" fillId="9" borderId="11" xfId="0" applyNumberFormat="1" applyFont="1" applyFill="1" applyBorder="1" applyAlignment="1">
      <alignment vertical="center"/>
    </xf>
    <xf numFmtId="169" fontId="16" fillId="9" borderId="20" xfId="0" applyNumberFormat="1" applyFont="1" applyFill="1" applyBorder="1" applyAlignment="1">
      <alignment vertical="center"/>
    </xf>
    <xf numFmtId="169" fontId="9" fillId="0" borderId="0" xfId="0" applyNumberFormat="1" applyFont="1" applyBorder="1"/>
    <xf numFmtId="169" fontId="9" fillId="7" borderId="19" xfId="0" quotePrefix="1" applyNumberFormat="1" applyFont="1" applyFill="1" applyBorder="1" applyAlignment="1">
      <alignment horizontal="left"/>
    </xf>
    <xf numFmtId="169" fontId="10" fillId="0" borderId="0" xfId="0" applyNumberFormat="1" applyFont="1" applyBorder="1" applyAlignment="1">
      <alignment vertical="center"/>
    </xf>
    <xf numFmtId="169" fontId="10" fillId="0" borderId="7" xfId="0" applyNumberFormat="1" applyFont="1" applyBorder="1" applyAlignment="1">
      <alignment vertical="center"/>
    </xf>
    <xf numFmtId="169" fontId="9" fillId="7" borderId="21" xfId="0" quotePrefix="1" applyNumberFormat="1" applyFont="1" applyFill="1" applyBorder="1" applyAlignment="1">
      <alignment horizontal="left"/>
    </xf>
    <xf numFmtId="0" fontId="8" fillId="9" borderId="40" xfId="0" applyFont="1" applyFill="1" applyBorder="1"/>
    <xf numFmtId="169" fontId="9" fillId="9" borderId="22" xfId="0" applyNumberFormat="1" applyFont="1" applyFill="1" applyBorder="1" applyAlignment="1">
      <alignment vertical="center"/>
    </xf>
    <xf numFmtId="169" fontId="16" fillId="9" borderId="22" xfId="0" applyNumberFormat="1" applyFont="1" applyFill="1" applyBorder="1" applyAlignment="1">
      <alignment vertical="center"/>
    </xf>
    <xf numFmtId="169" fontId="16" fillId="9" borderId="23" xfId="0" applyNumberFormat="1" applyFont="1" applyFill="1" applyBorder="1" applyAlignment="1">
      <alignment vertical="center"/>
    </xf>
    <xf numFmtId="169" fontId="9" fillId="7" borderId="0" xfId="0" applyNumberFormat="1" applyFont="1" applyFill="1" applyBorder="1" applyAlignment="1">
      <alignment horizontal="left"/>
    </xf>
    <xf numFmtId="169" fontId="9" fillId="9" borderId="0" xfId="0" applyNumberFormat="1" applyFont="1" applyFill="1" applyBorder="1" applyAlignment="1">
      <alignment horizontal="center" vertical="center"/>
    </xf>
    <xf numFmtId="37" fontId="9" fillId="9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70" fontId="8" fillId="0" borderId="0" xfId="0" applyNumberFormat="1" applyFont="1"/>
    <xf numFmtId="0" fontId="11" fillId="0" borderId="0" xfId="0" applyFont="1" applyAlignment="1">
      <alignment horizontal="left"/>
    </xf>
    <xf numFmtId="0" fontId="9" fillId="0" borderId="0" xfId="0" quotePrefix="1" applyFont="1" applyAlignment="1">
      <alignment horizontal="left"/>
    </xf>
    <xf numFmtId="9" fontId="8" fillId="0" borderId="0" xfId="1" applyFont="1"/>
    <xf numFmtId="9" fontId="10" fillId="0" borderId="0" xfId="1" applyFont="1"/>
    <xf numFmtId="0" fontId="9" fillId="4" borderId="11" xfId="0" applyFont="1" applyFill="1" applyBorder="1" applyAlignment="1">
      <alignment horizontal="left"/>
    </xf>
    <xf numFmtId="2" fontId="9" fillId="4" borderId="11" xfId="0" applyNumberFormat="1" applyFont="1" applyFill="1" applyBorder="1"/>
    <xf numFmtId="0" fontId="8" fillId="0" borderId="0" xfId="0" quotePrefix="1" applyFont="1" applyFill="1" applyAlignment="1">
      <alignment horizontal="left"/>
    </xf>
    <xf numFmtId="0" fontId="7" fillId="0" borderId="0" xfId="0" applyFont="1"/>
    <xf numFmtId="165" fontId="10" fillId="0" borderId="0" xfId="1" applyNumberFormat="1" applyFont="1"/>
    <xf numFmtId="174" fontId="10" fillId="0" borderId="0" xfId="0" applyNumberFormat="1" applyFont="1"/>
    <xf numFmtId="174" fontId="14" fillId="0" borderId="0" xfId="0" applyNumberFormat="1" applyFont="1"/>
    <xf numFmtId="0" fontId="9" fillId="0" borderId="36" xfId="0" quotePrefix="1" applyFont="1" applyFill="1" applyBorder="1" applyAlignment="1">
      <alignment vertical="top" wrapText="1"/>
    </xf>
    <xf numFmtId="0" fontId="9" fillId="4" borderId="41" xfId="0" applyNumberFormat="1" applyFont="1" applyFill="1" applyBorder="1" applyAlignment="1">
      <alignment horizontal="right" vertical="top" wrapText="1"/>
    </xf>
    <xf numFmtId="0" fontId="9" fillId="4" borderId="42" xfId="0" applyNumberFormat="1" applyFont="1" applyFill="1" applyBorder="1" applyAlignment="1">
      <alignment horizontal="right" vertical="top" wrapText="1"/>
    </xf>
    <xf numFmtId="0" fontId="9" fillId="6" borderId="27" xfId="0" applyFont="1" applyFill="1" applyBorder="1" applyAlignment="1"/>
    <xf numFmtId="169" fontId="9" fillId="6" borderId="11" xfId="0" applyNumberFormat="1" applyFont="1" applyFill="1" applyBorder="1"/>
    <xf numFmtId="169" fontId="9" fillId="6" borderId="20" xfId="0" applyNumberFormat="1" applyFont="1" applyFill="1" applyBorder="1"/>
    <xf numFmtId="169" fontId="9" fillId="0" borderId="0" xfId="0" applyNumberFormat="1" applyFont="1" applyFill="1" applyBorder="1"/>
    <xf numFmtId="0" fontId="8" fillId="6" borderId="27" xfId="0" quotePrefix="1" applyFont="1" applyFill="1" applyBorder="1" applyAlignment="1">
      <alignment horizontal="left"/>
    </xf>
    <xf numFmtId="169" fontId="8" fillId="6" borderId="20" xfId="0" applyNumberFormat="1" applyFont="1" applyFill="1" applyBorder="1"/>
    <xf numFmtId="0" fontId="8" fillId="0" borderId="27" xfId="0" applyFont="1" applyBorder="1" applyAlignment="1">
      <alignment horizontal="left"/>
    </xf>
    <xf numFmtId="169" fontId="8" fillId="0" borderId="20" xfId="0" applyNumberFormat="1" applyFont="1" applyBorder="1"/>
    <xf numFmtId="0" fontId="9" fillId="0" borderId="27" xfId="0" applyFont="1" applyBorder="1" applyAlignment="1"/>
    <xf numFmtId="0" fontId="8" fillId="0" borderId="27" xfId="0" applyFont="1" applyBorder="1" applyAlignment="1"/>
    <xf numFmtId="0" fontId="8" fillId="6" borderId="27" xfId="0" applyFont="1" applyFill="1" applyBorder="1" applyAlignment="1"/>
    <xf numFmtId="0" fontId="8" fillId="6" borderId="27" xfId="0" applyFont="1" applyFill="1" applyBorder="1" applyAlignment="1">
      <alignment horizontal="left"/>
    </xf>
    <xf numFmtId="0" fontId="9" fillId="0" borderId="27" xfId="0" applyFont="1" applyBorder="1" applyAlignment="1">
      <alignment horizontal="left"/>
    </xf>
    <xf numFmtId="165" fontId="9" fillId="0" borderId="11" xfId="1" applyNumberFormat="1" applyFont="1" applyBorder="1"/>
    <xf numFmtId="165" fontId="9" fillId="0" borderId="20" xfId="1" applyNumberFormat="1" applyFont="1" applyBorder="1"/>
    <xf numFmtId="165" fontId="9" fillId="0" borderId="0" xfId="1" applyNumberFormat="1" applyFont="1" applyFill="1" applyBorder="1"/>
    <xf numFmtId="175" fontId="8" fillId="0" borderId="11" xfId="0" applyNumberFormat="1" applyFont="1" applyBorder="1"/>
    <xf numFmtId="175" fontId="8" fillId="0" borderId="20" xfId="0" applyNumberFormat="1" applyFont="1" applyBorder="1"/>
    <xf numFmtId="0" fontId="8" fillId="6" borderId="27" xfId="0" quotePrefix="1" applyFont="1" applyFill="1" applyBorder="1" applyAlignment="1"/>
    <xf numFmtId="175" fontId="8" fillId="0" borderId="0" xfId="0" applyNumberFormat="1" applyFont="1" applyFill="1" applyBorder="1"/>
    <xf numFmtId="0" fontId="9" fillId="0" borderId="43" xfId="0" applyFont="1" applyBorder="1" applyAlignment="1"/>
    <xf numFmtId="0" fontId="10" fillId="0" borderId="6" xfId="0" applyFont="1" applyBorder="1"/>
    <xf numFmtId="0" fontId="9" fillId="0" borderId="27" xfId="0" quotePrefix="1" applyFont="1" applyBorder="1" applyAlignment="1">
      <alignment horizontal="left"/>
    </xf>
    <xf numFmtId="169" fontId="9" fillId="0" borderId="11" xfId="0" applyNumberFormat="1" applyFont="1" applyFill="1" applyBorder="1"/>
    <xf numFmtId="176" fontId="9" fillId="0" borderId="11" xfId="0" applyNumberFormat="1" applyFont="1" applyBorder="1"/>
    <xf numFmtId="176" fontId="9" fillId="0" borderId="20" xfId="0" applyNumberFormat="1" applyFont="1" applyBorder="1"/>
    <xf numFmtId="0" fontId="9" fillId="0" borderId="33" xfId="0" quotePrefix="1" applyFont="1" applyBorder="1" applyAlignment="1">
      <alignment horizontal="left"/>
    </xf>
    <xf numFmtId="165" fontId="9" fillId="0" borderId="22" xfId="1" applyNumberFormat="1" applyFont="1" applyBorder="1"/>
    <xf numFmtId="165" fontId="9" fillId="0" borderId="23" xfId="1" applyNumberFormat="1" applyFont="1" applyBorder="1"/>
    <xf numFmtId="0" fontId="8" fillId="0" borderId="0" xfId="0" applyFont="1" applyFill="1" applyBorder="1"/>
    <xf numFmtId="176" fontId="9" fillId="0" borderId="0" xfId="0" applyNumberFormat="1" applyFont="1" applyFill="1" applyBorder="1"/>
    <xf numFmtId="0" fontId="11" fillId="0" borderId="0" xfId="0" applyFont="1" applyBorder="1"/>
    <xf numFmtId="169" fontId="10" fillId="0" borderId="0" xfId="0" applyNumberFormat="1" applyFont="1" applyBorder="1"/>
    <xf numFmtId="0" fontId="12" fillId="0" borderId="0" xfId="0" applyFont="1" applyBorder="1" applyAlignment="1"/>
    <xf numFmtId="169" fontId="12" fillId="0" borderId="0" xfId="0" applyNumberFormat="1" applyFont="1" applyBorder="1" applyAlignment="1"/>
    <xf numFmtId="174" fontId="14" fillId="0" borderId="0" xfId="0" applyNumberFormat="1" applyFont="1" applyBorder="1"/>
    <xf numFmtId="0" fontId="9" fillId="0" borderId="44" xfId="0" applyFont="1" applyBorder="1"/>
    <xf numFmtId="0" fontId="8" fillId="6" borderId="19" xfId="0" applyFont="1" applyFill="1" applyBorder="1"/>
    <xf numFmtId="0" fontId="9" fillId="0" borderId="19" xfId="0" applyFont="1" applyBorder="1"/>
    <xf numFmtId="169" fontId="9" fillId="0" borderId="20" xfId="0" applyNumberFormat="1" applyFont="1" applyBorder="1"/>
    <xf numFmtId="0" fontId="8" fillId="0" borderId="45" xfId="0" applyFont="1" applyBorder="1"/>
    <xf numFmtId="0" fontId="9" fillId="0" borderId="45" xfId="0" applyFont="1" applyBorder="1"/>
    <xf numFmtId="0" fontId="11" fillId="0" borderId="21" xfId="0" applyFont="1" applyBorder="1"/>
    <xf numFmtId="169" fontId="11" fillId="0" borderId="22" xfId="0" applyNumberFormat="1" applyFont="1" applyBorder="1"/>
    <xf numFmtId="169" fontId="11" fillId="0" borderId="0" xfId="0" applyNumberFormat="1" applyFont="1" applyFill="1" applyBorder="1"/>
    <xf numFmtId="0" fontId="8" fillId="0" borderId="26" xfId="0" applyFont="1" applyBorder="1"/>
    <xf numFmtId="0" fontId="8" fillId="0" borderId="19" xfId="0" quotePrefix="1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9" xfId="0" applyFont="1" applyBorder="1"/>
    <xf numFmtId="0" fontId="9" fillId="0" borderId="19" xfId="0" quotePrefix="1" applyFont="1" applyBorder="1" applyAlignment="1">
      <alignment horizontal="left"/>
    </xf>
    <xf numFmtId="0" fontId="8" fillId="0" borderId="20" xfId="0" applyFont="1" applyBorder="1"/>
    <xf numFmtId="0" fontId="11" fillId="0" borderId="21" xfId="0" quotePrefix="1" applyFont="1" applyBorder="1" applyAlignment="1">
      <alignment horizontal="left"/>
    </xf>
    <xf numFmtId="169" fontId="11" fillId="0" borderId="23" xfId="0" applyNumberFormat="1" applyFont="1" applyBorder="1"/>
    <xf numFmtId="169" fontId="13" fillId="5" borderId="12" xfId="0" applyNumberFormat="1" applyFont="1" applyFill="1" applyBorder="1"/>
    <xf numFmtId="169" fontId="13" fillId="0" borderId="0" xfId="0" applyNumberFormat="1" applyFont="1" applyFill="1" applyBorder="1"/>
    <xf numFmtId="169" fontId="10" fillId="0" borderId="0" xfId="0" applyNumberFormat="1" applyFont="1" applyFill="1" applyBorder="1"/>
    <xf numFmtId="178" fontId="10" fillId="0" borderId="0" xfId="2" applyNumberFormat="1" applyFont="1"/>
    <xf numFmtId="0" fontId="9" fillId="0" borderId="27" xfId="0" applyFont="1" applyBorder="1"/>
    <xf numFmtId="0" fontId="9" fillId="0" borderId="13" xfId="0" applyFont="1" applyFill="1" applyBorder="1"/>
    <xf numFmtId="0" fontId="9" fillId="0" borderId="13" xfId="0" applyFont="1" applyBorder="1"/>
    <xf numFmtId="0" fontId="9" fillId="0" borderId="29" xfId="0" applyFont="1" applyBorder="1"/>
    <xf numFmtId="0" fontId="9" fillId="0" borderId="0" xfId="0" applyFont="1" applyFill="1" applyBorder="1"/>
    <xf numFmtId="0" fontId="8" fillId="0" borderId="19" xfId="0" quotePrefix="1" applyFont="1" applyFill="1" applyBorder="1" applyAlignment="1">
      <alignment horizontal="left"/>
    </xf>
    <xf numFmtId="0" fontId="8" fillId="0" borderId="19" xfId="0" applyFont="1" applyFill="1" applyBorder="1"/>
    <xf numFmtId="169" fontId="8" fillId="0" borderId="20" xfId="0" applyNumberFormat="1" applyFont="1" applyFill="1" applyBorder="1"/>
    <xf numFmtId="0" fontId="9" fillId="0" borderId="19" xfId="0" applyFont="1" applyFill="1" applyBorder="1"/>
    <xf numFmtId="169" fontId="9" fillId="0" borderId="20" xfId="0" applyNumberFormat="1" applyFont="1" applyFill="1" applyBorder="1"/>
    <xf numFmtId="0" fontId="9" fillId="0" borderId="27" xfId="0" applyFont="1" applyFill="1" applyBorder="1"/>
    <xf numFmtId="0" fontId="9" fillId="0" borderId="29" xfId="0" applyFont="1" applyFill="1" applyBorder="1"/>
    <xf numFmtId="0" fontId="8" fillId="0" borderId="11" xfId="0" applyFont="1" applyFill="1" applyBorder="1"/>
    <xf numFmtId="0" fontId="8" fillId="0" borderId="20" xfId="0" applyFont="1" applyFill="1" applyBorder="1"/>
    <xf numFmtId="0" fontId="8" fillId="0" borderId="19" xfId="0" applyFont="1" applyFill="1" applyBorder="1" applyAlignment="1">
      <alignment horizontal="left"/>
    </xf>
    <xf numFmtId="0" fontId="9" fillId="0" borderId="19" xfId="0" applyFont="1" applyFill="1" applyBorder="1" applyAlignment="1">
      <alignment horizontal="left"/>
    </xf>
    <xf numFmtId="0" fontId="9" fillId="0" borderId="7" xfId="0" applyFont="1" applyBorder="1"/>
    <xf numFmtId="0" fontId="9" fillId="6" borderId="19" xfId="0" applyFont="1" applyFill="1" applyBorder="1"/>
    <xf numFmtId="0" fontId="14" fillId="10" borderId="0" xfId="0" quotePrefix="1" applyFont="1" applyFill="1" applyAlignment="1">
      <alignment horizontal="left"/>
    </xf>
    <xf numFmtId="0" fontId="10" fillId="10" borderId="0" xfId="0" applyFont="1" applyFill="1"/>
    <xf numFmtId="0" fontId="11" fillId="0" borderId="0" xfId="0" quotePrefix="1" applyFont="1" applyFill="1" applyBorder="1" applyAlignment="1">
      <alignment horizontal="left"/>
    </xf>
    <xf numFmtId="0" fontId="19" fillId="0" borderId="0" xfId="0" applyFont="1" applyBorder="1" applyAlignment="1">
      <alignment wrapText="1"/>
    </xf>
    <xf numFmtId="0" fontId="11" fillId="0" borderId="0" xfId="0" applyFont="1" applyFill="1" applyBorder="1" applyAlignment="1">
      <alignment horizontal="left"/>
    </xf>
    <xf numFmtId="0" fontId="9" fillId="0" borderId="36" xfId="0" quotePrefix="1" applyFont="1" applyFill="1" applyBorder="1" applyAlignment="1">
      <alignment horizontal="left" vertical="top" wrapText="1"/>
    </xf>
    <xf numFmtId="0" fontId="9" fillId="4" borderId="41" xfId="4" applyNumberFormat="1" applyFont="1" applyFill="1" applyBorder="1" applyAlignment="1">
      <alignment horizontal="right" indent="1"/>
    </xf>
    <xf numFmtId="0" fontId="9" fillId="4" borderId="42" xfId="4" applyNumberFormat="1" applyFont="1" applyFill="1" applyBorder="1" applyAlignment="1">
      <alignment horizontal="right" indent="1"/>
    </xf>
    <xf numFmtId="0" fontId="9" fillId="0" borderId="0" xfId="4" applyNumberFormat="1" applyFont="1" applyFill="1" applyBorder="1" applyAlignment="1">
      <alignment horizontal="right" indent="1"/>
    </xf>
    <xf numFmtId="0" fontId="8" fillId="0" borderId="27" xfId="0" applyFont="1" applyFill="1" applyBorder="1"/>
    <xf numFmtId="0" fontId="8" fillId="0" borderId="27" xfId="0" quotePrefix="1" applyFont="1" applyFill="1" applyBorder="1" applyAlignment="1">
      <alignment horizontal="left"/>
    </xf>
    <xf numFmtId="0" fontId="9" fillId="0" borderId="27" xfId="0" quotePrefix="1" applyFont="1" applyFill="1" applyBorder="1" applyAlignment="1">
      <alignment wrapText="1"/>
    </xf>
    <xf numFmtId="169" fontId="8" fillId="0" borderId="11" xfId="5" applyNumberFormat="1" applyFont="1" applyBorder="1"/>
    <xf numFmtId="169" fontId="8" fillId="0" borderId="0" xfId="5" applyNumberFormat="1" applyFont="1" applyFill="1" applyBorder="1"/>
    <xf numFmtId="0" fontId="8" fillId="0" borderId="6" xfId="0" applyFont="1" applyFill="1" applyBorder="1"/>
    <xf numFmtId="0" fontId="8" fillId="0" borderId="7" xfId="0" applyFont="1" applyFill="1" applyBorder="1"/>
    <xf numFmtId="0" fontId="15" fillId="0" borderId="0" xfId="0" applyFont="1" applyFill="1"/>
    <xf numFmtId="0" fontId="9" fillId="0" borderId="33" xfId="0" quotePrefix="1" applyFont="1" applyFill="1" applyBorder="1" applyAlignment="1">
      <alignment wrapText="1"/>
    </xf>
    <xf numFmtId="174" fontId="9" fillId="0" borderId="22" xfId="0" applyNumberFormat="1" applyFont="1" applyFill="1" applyBorder="1"/>
    <xf numFmtId="174" fontId="9" fillId="0" borderId="23" xfId="0" applyNumberFormat="1" applyFont="1" applyFill="1" applyBorder="1"/>
    <xf numFmtId="174" fontId="9" fillId="0" borderId="0" xfId="0" applyNumberFormat="1" applyFont="1" applyFill="1" applyBorder="1"/>
    <xf numFmtId="0" fontId="9" fillId="0" borderId="0" xfId="0" quotePrefix="1" applyFont="1" applyFill="1" applyBorder="1" applyAlignment="1">
      <alignment wrapText="1"/>
    </xf>
    <xf numFmtId="0" fontId="9" fillId="0" borderId="0" xfId="0" quotePrefix="1" applyFont="1" applyFill="1" applyAlignment="1"/>
    <xf numFmtId="0" fontId="9" fillId="0" borderId="0" xfId="0" quotePrefix="1" applyFont="1" applyFill="1" applyAlignment="1">
      <alignment horizontal="center"/>
    </xf>
    <xf numFmtId="0" fontId="16" fillId="0" borderId="0" xfId="0" quotePrefix="1" applyFont="1" applyAlignment="1">
      <alignment horizontal="left"/>
    </xf>
    <xf numFmtId="0" fontId="9" fillId="4" borderId="11" xfId="0" applyNumberFormat="1" applyFont="1" applyFill="1" applyBorder="1" applyAlignment="1">
      <alignment horizontal="right" wrapText="1"/>
    </xf>
    <xf numFmtId="0" fontId="9" fillId="4" borderId="12" xfId="0" applyNumberFormat="1" applyFont="1" applyFill="1" applyBorder="1" applyAlignment="1">
      <alignment horizontal="right" vertical="top" wrapText="1"/>
    </xf>
    <xf numFmtId="169" fontId="9" fillId="0" borderId="28" xfId="0" applyNumberFormat="1" applyFont="1" applyBorder="1" applyAlignment="1">
      <alignment wrapText="1"/>
    </xf>
    <xf numFmtId="169" fontId="8" fillId="0" borderId="28" xfId="0" applyNumberFormat="1" applyFont="1" applyBorder="1" applyAlignment="1">
      <alignment wrapText="1"/>
    </xf>
    <xf numFmtId="169" fontId="8" fillId="0" borderId="0" xfId="0" applyNumberFormat="1" applyFont="1" applyFill="1" applyBorder="1" applyAlignment="1">
      <alignment wrapText="1"/>
    </xf>
    <xf numFmtId="0" fontId="9" fillId="0" borderId="12" xfId="0" quotePrefix="1" applyFont="1" applyBorder="1" applyAlignment="1">
      <alignment horizontal="left"/>
    </xf>
    <xf numFmtId="169" fontId="9" fillId="0" borderId="13" xfId="0" applyNumberFormat="1" applyFont="1" applyBorder="1" applyAlignment="1">
      <alignment wrapText="1"/>
    </xf>
    <xf numFmtId="169" fontId="9" fillId="0" borderId="0" xfId="0" applyNumberFormat="1" applyFont="1" applyFill="1" applyBorder="1" applyAlignment="1">
      <alignment wrapText="1"/>
    </xf>
    <xf numFmtId="0" fontId="9" fillId="0" borderId="28" xfId="0" quotePrefix="1" applyFont="1" applyBorder="1" applyAlignment="1">
      <alignment horizontal="left"/>
    </xf>
    <xf numFmtId="174" fontId="8" fillId="0" borderId="11" xfId="0" applyNumberFormat="1" applyFont="1" applyBorder="1" applyAlignment="1">
      <alignment wrapText="1"/>
    </xf>
    <xf numFmtId="174" fontId="8" fillId="0" borderId="12" xfId="0" applyNumberFormat="1" applyFont="1" applyBorder="1" applyAlignment="1">
      <alignment wrapText="1"/>
    </xf>
    <xf numFmtId="174" fontId="8" fillId="0" borderId="0" xfId="0" applyNumberFormat="1" applyFont="1" applyFill="1" applyBorder="1" applyAlignment="1">
      <alignment wrapText="1"/>
    </xf>
    <xf numFmtId="0" fontId="14" fillId="0" borderId="46" xfId="0" quotePrefix="1" applyFont="1" applyFill="1" applyBorder="1" applyAlignment="1">
      <alignment vertical="top"/>
    </xf>
    <xf numFmtId="0" fontId="14" fillId="0" borderId="46" xfId="0" quotePrefix="1" applyFont="1" applyFill="1" applyBorder="1" applyAlignment="1">
      <alignment vertical="top" wrapText="1"/>
    </xf>
    <xf numFmtId="0" fontId="14" fillId="0" borderId="0" xfId="0" quotePrefix="1" applyFont="1" applyFill="1" applyBorder="1" applyAlignment="1">
      <alignment vertical="top" wrapText="1"/>
    </xf>
    <xf numFmtId="0" fontId="9" fillId="0" borderId="28" xfId="0" quotePrefix="1" applyFont="1" applyFill="1" applyBorder="1" applyAlignment="1">
      <alignment horizontal="center" vertical="top" wrapText="1"/>
    </xf>
    <xf numFmtId="169" fontId="8" fillId="0" borderId="12" xfId="0" applyNumberFormat="1" applyFont="1" applyBorder="1"/>
    <xf numFmtId="169" fontId="8" fillId="0" borderId="13" xfId="0" applyNumberFormat="1" applyFont="1" applyBorder="1" applyAlignment="1">
      <alignment wrapText="1"/>
    </xf>
    <xf numFmtId="0" fontId="9" fillId="11" borderId="12" xfId="0" quotePrefix="1" applyFont="1" applyFill="1" applyBorder="1" applyAlignment="1">
      <alignment horizontal="left"/>
    </xf>
    <xf numFmtId="169" fontId="11" fillId="11" borderId="28" xfId="0" applyNumberFormat="1" applyFont="1" applyFill="1" applyBorder="1" applyAlignment="1">
      <alignment horizontal="right" wrapText="1"/>
    </xf>
    <xf numFmtId="171" fontId="9" fillId="11" borderId="11" xfId="0" applyNumberFormat="1" applyFont="1" applyFill="1" applyBorder="1"/>
    <xf numFmtId="171" fontId="9" fillId="11" borderId="12" xfId="0" applyNumberFormat="1" applyFont="1" applyFill="1" applyBorder="1"/>
    <xf numFmtId="0" fontId="15" fillId="0" borderId="0" xfId="0" applyFont="1"/>
    <xf numFmtId="0" fontId="9" fillId="12" borderId="12" xfId="0" quotePrefix="1" applyFont="1" applyFill="1" applyBorder="1" applyAlignment="1">
      <alignment horizontal="left"/>
    </xf>
    <xf numFmtId="169" fontId="9" fillId="12" borderId="28" xfId="0" applyNumberFormat="1" applyFont="1" applyFill="1" applyBorder="1" applyAlignment="1">
      <alignment wrapText="1"/>
    </xf>
    <xf numFmtId="171" fontId="9" fillId="12" borderId="11" xfId="0" applyNumberFormat="1" applyFont="1" applyFill="1" applyBorder="1"/>
    <xf numFmtId="0" fontId="11" fillId="0" borderId="0" xfId="0" applyFont="1" applyFill="1" applyBorder="1" applyAlignment="1">
      <alignment vertical="top"/>
    </xf>
    <xf numFmtId="179" fontId="9" fillId="0" borderId="0" xfId="0" applyNumberFormat="1" applyFont="1" applyFill="1" applyBorder="1"/>
    <xf numFmtId="0" fontId="9" fillId="0" borderId="11" xfId="0" applyFont="1" applyFill="1" applyBorder="1" applyAlignment="1">
      <alignment horizontal="right" wrapText="1"/>
    </xf>
    <xf numFmtId="0" fontId="9" fillId="0" borderId="11" xfId="0" applyFont="1" applyBorder="1" applyAlignment="1">
      <alignment horizontal="right" wrapText="1"/>
    </xf>
    <xf numFmtId="0" fontId="9" fillId="0" borderId="11" xfId="0" quotePrefix="1" applyFont="1" applyFill="1" applyBorder="1" applyAlignment="1">
      <alignment horizontal="right" wrapText="1"/>
    </xf>
    <xf numFmtId="10" fontId="8" fillId="0" borderId="11" xfId="1" applyNumberFormat="1" applyFont="1" applyFill="1" applyBorder="1"/>
    <xf numFmtId="165" fontId="8" fillId="0" borderId="11" xfId="1" applyNumberFormat="1" applyFont="1" applyFill="1" applyBorder="1"/>
    <xf numFmtId="177" fontId="8" fillId="13" borderId="11" xfId="2" applyNumberFormat="1" applyFont="1" applyFill="1" applyBorder="1"/>
    <xf numFmtId="169" fontId="9" fillId="0" borderId="46" xfId="0" applyNumberFormat="1" applyFont="1" applyFill="1" applyBorder="1" applyAlignment="1">
      <alignment wrapText="1"/>
    </xf>
    <xf numFmtId="0" fontId="9" fillId="0" borderId="11" xfId="4" applyNumberFormat="1" applyFont="1" applyFill="1" applyBorder="1" applyAlignment="1">
      <alignment horizontal="right" indent="1"/>
    </xf>
    <xf numFmtId="0" fontId="8" fillId="0" borderId="12" xfId="0" quotePrefix="1" applyFont="1" applyFill="1" applyBorder="1" applyAlignment="1">
      <alignment horizontal="left"/>
    </xf>
    <xf numFmtId="169" fontId="8" fillId="0" borderId="28" xfId="0" applyNumberFormat="1" applyFont="1" applyFill="1" applyBorder="1" applyAlignment="1">
      <alignment wrapText="1"/>
    </xf>
    <xf numFmtId="179" fontId="8" fillId="14" borderId="11" xfId="0" applyNumberFormat="1" applyFont="1" applyFill="1" applyBorder="1"/>
    <xf numFmtId="0" fontId="8" fillId="0" borderId="12" xfId="0" applyFont="1" applyFill="1" applyBorder="1" applyAlignment="1">
      <alignment horizontal="left"/>
    </xf>
    <xf numFmtId="179" fontId="8" fillId="0" borderId="11" xfId="0" applyNumberFormat="1" applyFont="1" applyFill="1" applyBorder="1"/>
    <xf numFmtId="0" fontId="9" fillId="0" borderId="0" xfId="0" applyFont="1" applyFill="1"/>
    <xf numFmtId="179" fontId="8" fillId="0" borderId="0" xfId="0" applyNumberFormat="1" applyFont="1" applyFill="1"/>
    <xf numFmtId="177" fontId="8" fillId="0" borderId="11" xfId="2" applyNumberFormat="1" applyFont="1" applyFill="1" applyBorder="1"/>
    <xf numFmtId="10" fontId="8" fillId="2" borderId="11" xfId="1" applyNumberFormat="1" applyFont="1" applyFill="1" applyBorder="1"/>
    <xf numFmtId="165" fontId="8" fillId="2" borderId="11" xfId="1" applyNumberFormat="1" applyFont="1" applyFill="1" applyBorder="1"/>
    <xf numFmtId="10" fontId="8" fillId="15" borderId="11" xfId="1" applyNumberFormat="1" applyFont="1" applyFill="1" applyBorder="1"/>
    <xf numFmtId="177" fontId="8" fillId="2" borderId="11" xfId="2" applyNumberFormat="1" applyFont="1" applyFill="1" applyBorder="1"/>
    <xf numFmtId="0" fontId="14" fillId="0" borderId="12" xfId="0" quotePrefix="1" applyFont="1" applyBorder="1" applyAlignment="1">
      <alignment horizontal="left"/>
    </xf>
    <xf numFmtId="10" fontId="14" fillId="4" borderId="11" xfId="1" applyNumberFormat="1" applyFont="1" applyFill="1" applyBorder="1"/>
    <xf numFmtId="0" fontId="21" fillId="0" borderId="12" xfId="0" quotePrefix="1" applyFont="1" applyFill="1" applyBorder="1" applyAlignment="1">
      <alignment horizontal="left" indent="2"/>
    </xf>
    <xf numFmtId="180" fontId="8" fillId="16" borderId="11" xfId="0" applyNumberFormat="1" applyFont="1" applyFill="1" applyBorder="1"/>
    <xf numFmtId="180" fontId="8" fillId="0" borderId="11" xfId="0" applyNumberFormat="1" applyFont="1" applyFill="1" applyBorder="1"/>
    <xf numFmtId="180" fontId="8" fillId="0" borderId="12" xfId="0" applyNumberFormat="1" applyFont="1" applyFill="1" applyBorder="1"/>
    <xf numFmtId="180" fontId="8" fillId="0" borderId="0" xfId="0" applyNumberFormat="1" applyFont="1" applyFill="1" applyBorder="1"/>
    <xf numFmtId="0" fontId="16" fillId="0" borderId="12" xfId="0" quotePrefix="1" applyFont="1" applyFill="1" applyBorder="1" applyAlignment="1">
      <alignment horizontal="left"/>
    </xf>
    <xf numFmtId="169" fontId="16" fillId="0" borderId="28" xfId="0" applyNumberFormat="1" applyFont="1" applyFill="1" applyBorder="1" applyAlignment="1">
      <alignment wrapText="1"/>
    </xf>
    <xf numFmtId="10" fontId="16" fillId="0" borderId="11" xfId="1" applyNumberFormat="1" applyFont="1" applyFill="1" applyBorder="1"/>
    <xf numFmtId="10" fontId="16" fillId="0" borderId="12" xfId="1" applyNumberFormat="1" applyFont="1" applyFill="1" applyBorder="1"/>
    <xf numFmtId="10" fontId="16" fillId="0" borderId="0" xfId="1" applyNumberFormat="1" applyFont="1" applyFill="1" applyBorder="1"/>
    <xf numFmtId="0" fontId="8" fillId="0" borderId="28" xfId="0" applyFont="1" applyFill="1" applyBorder="1"/>
    <xf numFmtId="177" fontId="8" fillId="0" borderId="12" xfId="2" applyNumberFormat="1" applyFont="1" applyFill="1" applyBorder="1"/>
    <xf numFmtId="177" fontId="8" fillId="0" borderId="0" xfId="2" applyNumberFormat="1" applyFont="1" applyFill="1" applyBorder="1"/>
    <xf numFmtId="10" fontId="14" fillId="4" borderId="12" xfId="1" applyNumberFormat="1" applyFont="1" applyFill="1" applyBorder="1"/>
    <xf numFmtId="10" fontId="14" fillId="0" borderId="0" xfId="1" applyNumberFormat="1" applyFont="1" applyFill="1" applyBorder="1"/>
    <xf numFmtId="0" fontId="28" fillId="15" borderId="0" xfId="0" applyFont="1" applyFill="1"/>
    <xf numFmtId="10" fontId="28" fillId="15" borderId="11" xfId="1" applyNumberFormat="1" applyFont="1" applyFill="1" applyBorder="1"/>
    <xf numFmtId="10" fontId="28" fillId="15" borderId="12" xfId="1" applyNumberFormat="1" applyFont="1" applyFill="1" applyBorder="1"/>
    <xf numFmtId="10" fontId="28" fillId="0" borderId="0" xfId="1" applyNumberFormat="1" applyFont="1" applyFill="1" applyBorder="1"/>
    <xf numFmtId="0" fontId="8" fillId="0" borderId="35" xfId="0" applyFont="1" applyBorder="1"/>
    <xf numFmtId="181" fontId="8" fillId="0" borderId="35" xfId="1" applyNumberFormat="1" applyFont="1" applyFill="1" applyBorder="1" applyProtection="1">
      <protection locked="0"/>
    </xf>
    <xf numFmtId="181" fontId="8" fillId="0" borderId="0" xfId="1" applyNumberFormat="1" applyFont="1" applyFill="1" applyBorder="1" applyProtection="1">
      <protection locked="0"/>
    </xf>
    <xf numFmtId="0" fontId="9" fillId="12" borderId="12" xfId="0" quotePrefix="1" applyFont="1" applyFill="1" applyBorder="1" applyAlignment="1">
      <alignment horizontal="left" wrapText="1"/>
    </xf>
    <xf numFmtId="0" fontId="8" fillId="12" borderId="28" xfId="0" applyFont="1" applyFill="1" applyBorder="1"/>
    <xf numFmtId="174" fontId="9" fillId="12" borderId="11" xfId="0" applyNumberFormat="1" applyFont="1" applyFill="1" applyBorder="1"/>
    <xf numFmtId="181" fontId="8" fillId="0" borderId="0" xfId="0" applyNumberFormat="1" applyFont="1" applyFill="1" applyBorder="1"/>
    <xf numFmtId="171" fontId="9" fillId="12" borderId="11" xfId="0" applyNumberFormat="1" applyFont="1" applyFill="1" applyBorder="1" applyAlignment="1">
      <alignment horizontal="center"/>
    </xf>
    <xf numFmtId="171" fontId="9" fillId="12" borderId="12" xfId="0" applyNumberFormat="1" applyFont="1" applyFill="1" applyBorder="1" applyAlignment="1">
      <alignment horizontal="center"/>
    </xf>
    <xf numFmtId="174" fontId="8" fillId="0" borderId="11" xfId="0" applyNumberFormat="1" applyFont="1" applyBorder="1" applyAlignment="1">
      <alignment horizontal="center" wrapText="1"/>
    </xf>
    <xf numFmtId="174" fontId="8" fillId="0" borderId="12" xfId="0" applyNumberFormat="1" applyFont="1" applyBorder="1" applyAlignment="1">
      <alignment horizontal="center" wrapText="1"/>
    </xf>
    <xf numFmtId="174" fontId="9" fillId="12" borderId="11" xfId="0" applyNumberFormat="1" applyFont="1" applyFill="1" applyBorder="1" applyAlignment="1">
      <alignment horizontal="center"/>
    </xf>
    <xf numFmtId="174" fontId="9" fillId="12" borderId="12" xfId="0" applyNumberFormat="1" applyFont="1" applyFill="1" applyBorder="1" applyAlignment="1">
      <alignment horizontal="center"/>
    </xf>
    <xf numFmtId="0" fontId="9" fillId="17" borderId="12" xfId="0" quotePrefix="1" applyFont="1" applyFill="1" applyBorder="1" applyAlignment="1">
      <alignment horizontal="left" wrapText="1"/>
    </xf>
    <xf numFmtId="0" fontId="9" fillId="17" borderId="28" xfId="0" applyFont="1" applyFill="1" applyBorder="1"/>
    <xf numFmtId="174" fontId="9" fillId="17" borderId="28" xfId="0" applyNumberFormat="1" applyFont="1" applyFill="1" applyBorder="1" applyAlignment="1">
      <alignment horizontal="center"/>
    </xf>
    <xf numFmtId="174" fontId="9" fillId="17" borderId="13" xfId="0" applyNumberFormat="1" applyFont="1" applyFill="1" applyBorder="1" applyAlignment="1">
      <alignment horizontal="center"/>
    </xf>
    <xf numFmtId="10" fontId="2" fillId="2" borderId="0" xfId="1" applyNumberFormat="1" applyFont="1" applyFill="1" applyBorder="1" applyAlignment="1">
      <alignment horizontal="center"/>
    </xf>
    <xf numFmtId="10" fontId="2" fillId="2" borderId="7" xfId="1" applyNumberFormat="1" applyFont="1" applyFill="1" applyBorder="1" applyAlignment="1">
      <alignment horizontal="center"/>
    </xf>
    <xf numFmtId="10" fontId="2" fillId="2" borderId="0" xfId="1" applyNumberFormat="1" applyFont="1" applyFill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5" fontId="2" fillId="2" borderId="0" xfId="1" applyNumberFormat="1" applyFont="1" applyFill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9" fontId="2" fillId="2" borderId="9" xfId="1" applyFont="1" applyFill="1" applyBorder="1" applyAlignment="1">
      <alignment horizontal="center"/>
    </xf>
    <xf numFmtId="164" fontId="3" fillId="0" borderId="6" xfId="0" applyNumberFormat="1" applyFont="1" applyBorder="1" applyAlignment="1"/>
    <xf numFmtId="164" fontId="3" fillId="0" borderId="0" xfId="0" applyNumberFormat="1" applyFont="1" applyBorder="1" applyAlignment="1"/>
    <xf numFmtId="164" fontId="2" fillId="0" borderId="0" xfId="0" applyNumberFormat="1" applyFont="1" applyBorder="1" applyAlignment="1"/>
    <xf numFmtId="9" fontId="2" fillId="0" borderId="0" xfId="0" applyNumberFormat="1" applyFont="1" applyFill="1" applyBorder="1" applyAlignment="1">
      <alignment horizontal="center"/>
    </xf>
    <xf numFmtId="9" fontId="2" fillId="0" borderId="7" xfId="0" applyNumberFormat="1" applyFont="1" applyFill="1" applyBorder="1" applyAlignment="1">
      <alignment horizontal="center"/>
    </xf>
    <xf numFmtId="10" fontId="2" fillId="0" borderId="0" xfId="1" applyNumberFormat="1" applyFont="1" applyFill="1" applyBorder="1" applyAlignment="1">
      <alignment horizontal="center"/>
    </xf>
    <xf numFmtId="10" fontId="2" fillId="0" borderId="7" xfId="1" applyNumberFormat="1" applyFont="1" applyFill="1" applyBorder="1" applyAlignment="1">
      <alignment horizontal="center"/>
    </xf>
    <xf numFmtId="164" fontId="3" fillId="0" borderId="48" xfId="0" applyNumberFormat="1" applyFont="1" applyBorder="1" applyAlignment="1">
      <alignment horizontal="center"/>
    </xf>
    <xf numFmtId="164" fontId="3" fillId="0" borderId="49" xfId="0" applyNumberFormat="1" applyFont="1" applyBorder="1" applyAlignment="1">
      <alignment horizontal="center"/>
    </xf>
    <xf numFmtId="164" fontId="2" fillId="0" borderId="49" xfId="0" applyNumberFormat="1" applyFont="1" applyBorder="1" applyAlignment="1">
      <alignment horizontal="center"/>
    </xf>
    <xf numFmtId="3" fontId="2" fillId="0" borderId="1" xfId="0" applyNumberFormat="1" applyFont="1" applyBorder="1"/>
    <xf numFmtId="164" fontId="3" fillId="0" borderId="1" xfId="0" applyNumberFormat="1" applyFont="1" applyBorder="1"/>
    <xf numFmtId="164" fontId="2" fillId="0" borderId="2" xfId="0" applyNumberFormat="1" applyFont="1" applyBorder="1" applyAlignment="1">
      <alignment horizontal="center"/>
    </xf>
    <xf numFmtId="165" fontId="3" fillId="0" borderId="47" xfId="1" applyNumberFormat="1" applyFont="1" applyBorder="1" applyAlignment="1">
      <alignment horizontal="center"/>
    </xf>
    <xf numFmtId="164" fontId="3" fillId="19" borderId="1" xfId="0" applyNumberFormat="1" applyFont="1" applyFill="1" applyBorder="1"/>
    <xf numFmtId="164" fontId="2" fillId="19" borderId="2" xfId="0" applyNumberFormat="1" applyFont="1" applyFill="1" applyBorder="1" applyAlignment="1">
      <alignment horizontal="center"/>
    </xf>
    <xf numFmtId="164" fontId="3" fillId="19" borderId="47" xfId="0" applyNumberFormat="1" applyFont="1" applyFill="1" applyBorder="1" applyAlignment="1">
      <alignment horizontal="center"/>
    </xf>
    <xf numFmtId="164" fontId="3" fillId="19" borderId="2" xfId="0" applyNumberFormat="1" applyFont="1" applyFill="1" applyBorder="1" applyAlignment="1">
      <alignment horizontal="center"/>
    </xf>
    <xf numFmtId="164" fontId="3" fillId="18" borderId="48" xfId="0" applyNumberFormat="1" applyFont="1" applyFill="1" applyBorder="1" applyAlignment="1">
      <alignment horizontal="center"/>
    </xf>
    <xf numFmtId="164" fontId="3" fillId="18" borderId="47" xfId="0" applyNumberFormat="1" applyFont="1" applyFill="1" applyBorder="1" applyAlignment="1">
      <alignment horizontal="center"/>
    </xf>
    <xf numFmtId="0" fontId="3" fillId="19" borderId="1" xfId="0" applyFont="1" applyFill="1" applyBorder="1"/>
    <xf numFmtId="3" fontId="3" fillId="19" borderId="1" xfId="0" applyNumberFormat="1" applyFont="1" applyFill="1" applyBorder="1"/>
    <xf numFmtId="3" fontId="3" fillId="20" borderId="1" xfId="0" applyNumberFormat="1" applyFont="1" applyFill="1" applyBorder="1"/>
    <xf numFmtId="164" fontId="3" fillId="20" borderId="47" xfId="0" applyNumberFormat="1" applyFont="1" applyFill="1" applyBorder="1" applyAlignment="1">
      <alignment horizontal="center"/>
    </xf>
    <xf numFmtId="164" fontId="2" fillId="20" borderId="50" xfId="0" applyNumberFormat="1" applyFont="1" applyFill="1" applyBorder="1" applyAlignment="1">
      <alignment horizontal="center"/>
    </xf>
    <xf numFmtId="165" fontId="2" fillId="0" borderId="48" xfId="1" applyNumberFormat="1" applyFont="1" applyBorder="1" applyAlignment="1">
      <alignment horizontal="center"/>
    </xf>
    <xf numFmtId="165" fontId="2" fillId="0" borderId="49" xfId="1" applyNumberFormat="1" applyFont="1" applyBorder="1" applyAlignment="1">
      <alignment horizontal="center"/>
    </xf>
    <xf numFmtId="165" fontId="2" fillId="0" borderId="51" xfId="1" applyNumberFormat="1" applyFont="1" applyBorder="1" applyAlignment="1">
      <alignment horizontal="center"/>
    </xf>
    <xf numFmtId="165" fontId="2" fillId="0" borderId="2" xfId="1" applyNumberFormat="1" applyFont="1" applyBorder="1" applyAlignment="1">
      <alignment horizontal="center"/>
    </xf>
    <xf numFmtId="165" fontId="2" fillId="0" borderId="50" xfId="1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left" vertical="center"/>
    </xf>
    <xf numFmtId="4" fontId="2" fillId="0" borderId="6" xfId="0" applyNumberFormat="1" applyFont="1" applyBorder="1" applyAlignment="1">
      <alignment horizontal="left" vertical="center"/>
    </xf>
    <xf numFmtId="165" fontId="2" fillId="0" borderId="0" xfId="1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left" vertical="center"/>
    </xf>
    <xf numFmtId="165" fontId="2" fillId="0" borderId="9" xfId="1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47" xfId="0" applyNumberFormat="1" applyFont="1" applyBorder="1" applyAlignment="1">
      <alignment horizontal="center" vertical="center"/>
    </xf>
    <xf numFmtId="165" fontId="2" fillId="0" borderId="49" xfId="1" applyNumberFormat="1" applyFont="1" applyBorder="1" applyAlignment="1">
      <alignment horizontal="center" vertical="center"/>
    </xf>
    <xf numFmtId="4" fontId="2" fillId="0" borderId="49" xfId="0" applyNumberFormat="1" applyFont="1" applyBorder="1" applyAlignment="1">
      <alignment horizontal="center" vertical="center"/>
    </xf>
    <xf numFmtId="4" fontId="2" fillId="0" borderId="51" xfId="0" applyNumberFormat="1" applyFont="1" applyBorder="1" applyAlignment="1">
      <alignment horizontal="center" vertical="center"/>
    </xf>
    <xf numFmtId="165" fontId="2" fillId="0" borderId="51" xfId="1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47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165" fontId="3" fillId="19" borderId="47" xfId="1" applyNumberFormat="1" applyFont="1" applyFill="1" applyBorder="1" applyAlignment="1">
      <alignment horizontal="center"/>
    </xf>
    <xf numFmtId="165" fontId="3" fillId="0" borderId="49" xfId="1" applyNumberFormat="1" applyFont="1" applyBorder="1" applyAlignment="1">
      <alignment horizontal="center"/>
    </xf>
    <xf numFmtId="4" fontId="2" fillId="0" borderId="0" xfId="1" applyNumberFormat="1" applyFont="1" applyBorder="1" applyAlignment="1">
      <alignment horizontal="center"/>
    </xf>
    <xf numFmtId="0" fontId="3" fillId="0" borderId="6" xfId="0" applyFont="1" applyBorder="1"/>
    <xf numFmtId="0" fontId="3" fillId="0" borderId="47" xfId="0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 wrapText="1"/>
    </xf>
    <xf numFmtId="0" fontId="9" fillId="4" borderId="12" xfId="0" applyNumberFormat="1" applyFont="1" applyFill="1" applyBorder="1" applyAlignment="1">
      <alignment horizontal="center" vertical="top" wrapText="1"/>
    </xf>
    <xf numFmtId="3" fontId="2" fillId="0" borderId="6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7" xfId="0" applyFont="1" applyBorder="1"/>
    <xf numFmtId="165" fontId="2" fillId="0" borderId="0" xfId="1" applyNumberFormat="1" applyFont="1" applyFill="1" applyBorder="1" applyAlignment="1">
      <alignment horizontal="center"/>
    </xf>
    <xf numFmtId="165" fontId="2" fillId="0" borderId="7" xfId="1" applyNumberFormat="1" applyFont="1" applyFill="1" applyBorder="1" applyAlignment="1">
      <alignment horizontal="center"/>
    </xf>
    <xf numFmtId="10" fontId="3" fillId="0" borderId="0" xfId="1" applyNumberFormat="1" applyFont="1" applyBorder="1" applyAlignment="1">
      <alignment horizontal="center"/>
    </xf>
    <xf numFmtId="0" fontId="3" fillId="0" borderId="8" xfId="0" applyFont="1" applyBorder="1"/>
    <xf numFmtId="10" fontId="3" fillId="0" borderId="9" xfId="1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3" fillId="0" borderId="47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9" fillId="0" borderId="12" xfId="0" quotePrefix="1" applyFont="1" applyFill="1" applyBorder="1" applyAlignment="1">
      <alignment horizontal="center" vertical="top" wrapText="1"/>
    </xf>
    <xf numFmtId="0" fontId="9" fillId="0" borderId="28" xfId="0" quotePrefix="1" applyFont="1" applyFill="1" applyBorder="1" applyAlignment="1">
      <alignment horizontal="center" vertical="top" wrapText="1"/>
    </xf>
    <xf numFmtId="0" fontId="11" fillId="0" borderId="36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174" fontId="14" fillId="0" borderId="0" xfId="0" applyNumberFormat="1" applyFont="1" applyBorder="1" applyAlignment="1">
      <alignment horizontal="center"/>
    </xf>
    <xf numFmtId="0" fontId="9" fillId="0" borderId="0" xfId="0" quotePrefix="1" applyFont="1" applyFill="1" applyAlignment="1">
      <alignment horizontal="left"/>
    </xf>
    <xf numFmtId="164" fontId="3" fillId="0" borderId="48" xfId="0" applyNumberFormat="1" applyFont="1" applyBorder="1" applyAlignment="1">
      <alignment horizontal="center" vertical="center" textRotation="90"/>
    </xf>
    <xf numFmtId="164" fontId="3" fillId="0" borderId="49" xfId="0" applyNumberFormat="1" applyFont="1" applyBorder="1" applyAlignment="1">
      <alignment horizontal="center" vertical="center" textRotation="90"/>
    </xf>
    <xf numFmtId="164" fontId="3" fillId="0" borderId="51" xfId="0" applyNumberFormat="1" applyFont="1" applyBorder="1" applyAlignment="1">
      <alignment horizontal="center" vertical="center" textRotation="90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50" xfId="0" applyNumberFormat="1" applyFont="1" applyBorder="1" applyAlignment="1">
      <alignment horizontal="center"/>
    </xf>
    <xf numFmtId="4" fontId="3" fillId="18" borderId="1" xfId="0" applyNumberFormat="1" applyFont="1" applyFill="1" applyBorder="1" applyAlignment="1">
      <alignment horizontal="center" vertical="center"/>
    </xf>
    <xf numFmtId="4" fontId="3" fillId="18" borderId="2" xfId="0" applyNumberFormat="1" applyFont="1" applyFill="1" applyBorder="1" applyAlignment="1">
      <alignment horizontal="center" vertical="center"/>
    </xf>
    <xf numFmtId="4" fontId="3" fillId="18" borderId="50" xfId="0" applyNumberFormat="1" applyFont="1" applyFill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</cellXfs>
  <cellStyles count="6">
    <cellStyle name="Millares" xfId="2" builtinId="3"/>
    <cellStyle name="Normal" xfId="0" builtinId="0"/>
    <cellStyle name="Normal 2" xfId="5"/>
    <cellStyle name="Normal_COSTO DEUDA Y PROPIETARIO" xfId="3"/>
    <cellStyle name="Normal_Modelo Financiero  David Cohen" xfId="4"/>
    <cellStyle name="Porcentaje" xfId="1" builtinId="5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52506347972"/>
          <c:y val="5.8338356842806201E-2"/>
          <c:w val="0.77026380888389101"/>
          <c:h val="0.77099044298872255"/>
        </c:manualLayout>
      </c:layout>
      <c:lineChart>
        <c:grouping val="standard"/>
        <c:varyColors val="0"/>
        <c:ser>
          <c:idx val="0"/>
          <c:order val="0"/>
          <c:tx>
            <c:v>Riesgo operativo</c:v>
          </c:tx>
          <c:marker>
            <c:symbol val="none"/>
          </c:marker>
          <c:cat>
            <c:numRef>
              <c:f>[1]HISTORICOS!$C$311:$H$311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[1]HISTORICOS!$C$337:$H$337</c:f>
              <c:numCache>
                <c:formatCode>General</c:formatCode>
                <c:ptCount val="6"/>
                <c:pt idx="0">
                  <c:v>4.7884999999999997E-2</c:v>
                </c:pt>
                <c:pt idx="1">
                  <c:v>5.0393938499999971E-2</c:v>
                </c:pt>
                <c:pt idx="2">
                  <c:v>5.2233978499999917E-2</c:v>
                </c:pt>
                <c:pt idx="3">
                  <c:v>5.3876119999999889E-2</c:v>
                </c:pt>
                <c:pt idx="4">
                  <c:v>5.5948362999999876E-2</c:v>
                </c:pt>
              </c:numCache>
            </c:numRef>
          </c:val>
          <c:smooth val="0"/>
        </c:ser>
        <c:ser>
          <c:idx val="1"/>
          <c:order val="1"/>
          <c:tx>
            <c:v>Riesgo operativo + financiero</c:v>
          </c:tx>
          <c:marker>
            <c:symbol val="none"/>
          </c:marker>
          <c:cat>
            <c:numRef>
              <c:f>[1]HISTORICOS!$C$311:$H$311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[1]HISTORICOS!$C$344:$H$344</c:f>
              <c:numCache>
                <c:formatCode>General</c:formatCode>
                <c:ptCount val="6"/>
                <c:pt idx="0">
                  <c:v>0.11470504001588963</c:v>
                </c:pt>
                <c:pt idx="1">
                  <c:v>0.10635344322405227</c:v>
                </c:pt>
                <c:pt idx="2">
                  <c:v>9.761788584218882E-2</c:v>
                </c:pt>
                <c:pt idx="3">
                  <c:v>8.8465041605180164E-2</c:v>
                </c:pt>
                <c:pt idx="4">
                  <c:v>8.2042007943762985E-2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118200"/>
        <c:axId val="214118592"/>
      </c:lineChart>
      <c:catAx>
        <c:axId val="214118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s-ES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14118592"/>
        <c:crosses val="autoZero"/>
        <c:auto val="1"/>
        <c:lblAlgn val="ctr"/>
        <c:lblOffset val="100"/>
        <c:noMultiLvlLbl val="0"/>
      </c:catAx>
      <c:valAx>
        <c:axId val="214118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s-ES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141182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3173977353550201"/>
          <c:y val="0.60465425234168402"/>
          <c:w val="0.69773145263317449"/>
          <c:h val="0.19211603288925441"/>
        </c:manualLayout>
      </c:layout>
      <c:overlay val="0"/>
      <c:txPr>
        <a:bodyPr/>
        <a:lstStyle/>
        <a:p>
          <a:pPr>
            <a:defRPr lang="es-ES"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72440944881901"/>
          <c:y val="5.1400554097404495E-2"/>
          <c:w val="0.83676159230096203"/>
          <c:h val="0.79822506561679862"/>
        </c:manualLayout>
      </c:layout>
      <c:lineChart>
        <c:grouping val="standard"/>
        <c:varyColors val="0"/>
        <c:ser>
          <c:idx val="0"/>
          <c:order val="0"/>
          <c:tx>
            <c:v>Costo deuda </c:v>
          </c:tx>
          <c:marker>
            <c:symbol val="none"/>
          </c:marker>
          <c:cat>
            <c:numRef>
              <c:f>[1]HISTORICOS!$C$357:$H$357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[1]HISTORICOS!$C$315:$H$315</c:f>
              <c:numCache>
                <c:formatCode>General</c:formatCode>
                <c:ptCount val="6"/>
                <c:pt idx="0">
                  <c:v>5.9947034950100661E-2</c:v>
                </c:pt>
                <c:pt idx="1">
                  <c:v>6.9689655393742722E-2</c:v>
                </c:pt>
                <c:pt idx="2">
                  <c:v>7.0835413842230147E-2</c:v>
                </c:pt>
                <c:pt idx="3">
                  <c:v>7.2612394497731464E-2</c:v>
                </c:pt>
                <c:pt idx="4">
                  <c:v>7.260568510372746E-2</c:v>
                </c:pt>
              </c:numCache>
            </c:numRef>
          </c:val>
          <c:smooth val="0"/>
        </c:ser>
        <c:ser>
          <c:idx val="1"/>
          <c:order val="1"/>
          <c:tx>
            <c:v>Costo propios</c:v>
          </c:tx>
          <c:marker>
            <c:symbol val="none"/>
          </c:marker>
          <c:cat>
            <c:numRef>
              <c:f>[1]HISTORICOS!$C$357:$H$357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[1]HISTORICOS!$C$352:$H$352</c:f>
              <c:numCache>
                <c:formatCode>General</c:formatCode>
                <c:ptCount val="6"/>
                <c:pt idx="0">
                  <c:v>0.21527357790007334</c:v>
                </c:pt>
                <c:pt idx="1">
                  <c:v>0.20692198110823595</c:v>
                </c:pt>
                <c:pt idx="2">
                  <c:v>0.19818642372637252</c:v>
                </c:pt>
                <c:pt idx="3">
                  <c:v>0.18903357948936386</c:v>
                </c:pt>
                <c:pt idx="4">
                  <c:v>0.18261054582794667</c:v>
                </c:pt>
              </c:numCache>
            </c:numRef>
          </c:val>
          <c:smooth val="0"/>
        </c:ser>
        <c:ser>
          <c:idx val="2"/>
          <c:order val="2"/>
          <c:tx>
            <c:v>Costo de capital</c:v>
          </c:tx>
          <c:spPr>
            <a:ln w="50800">
              <a:solidFill>
                <a:srgbClr val="008000"/>
              </a:solidFill>
            </a:ln>
          </c:spPr>
          <c:marker>
            <c:symbol val="none"/>
          </c:marker>
          <c:cat>
            <c:numRef>
              <c:f>[1]HISTORICOS!$C$357:$H$357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[1]HISTORICOS!$C$362:$H$362</c:f>
              <c:numCache>
                <c:formatCode>General</c:formatCode>
                <c:ptCount val="6"/>
                <c:pt idx="0">
                  <c:v>0.10982255934129906</c:v>
                </c:pt>
                <c:pt idx="1">
                  <c:v>0.12084827947036883</c:v>
                </c:pt>
                <c:pt idx="2">
                  <c:v>0.12581218043354608</c:v>
                </c:pt>
                <c:pt idx="3">
                  <c:v>0.13162736098193731</c:v>
                </c:pt>
                <c:pt idx="4">
                  <c:v>0.13706234505065432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119376"/>
        <c:axId val="214119768"/>
      </c:lineChart>
      <c:catAx>
        <c:axId val="21411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s-ES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14119768"/>
        <c:crosses val="autoZero"/>
        <c:auto val="1"/>
        <c:lblAlgn val="ctr"/>
        <c:lblOffset val="100"/>
        <c:noMultiLvlLbl val="0"/>
      </c:catAx>
      <c:valAx>
        <c:axId val="214119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s-ES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141193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9915266841644788"/>
          <c:y val="0.7031275438396285"/>
          <c:w val="0.70084733158355472"/>
          <c:h val="0.15392901974209877"/>
        </c:manualLayout>
      </c:layout>
      <c:overlay val="0"/>
      <c:txPr>
        <a:bodyPr/>
        <a:lstStyle/>
        <a:p>
          <a:pPr>
            <a:defRPr lang="es-ES"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74762485675199"/>
          <c:y val="5.8166454355244528E-2"/>
          <c:w val="0.84664769016549402"/>
          <c:h val="0.88366709128951204"/>
        </c:manualLayout>
      </c:layout>
      <c:lineChart>
        <c:grouping val="standard"/>
        <c:varyColors val="0"/>
        <c:ser>
          <c:idx val="0"/>
          <c:order val="0"/>
          <c:tx>
            <c:strRef>
              <c:f>[1]HISTORICOS!$K$319</c:f>
              <c:strCache>
                <c:ptCount val="1"/>
                <c:pt idx="0">
                  <c:v>Inflación USA</c:v>
                </c:pt>
              </c:strCache>
            </c:strRef>
          </c:tx>
          <c:marker>
            <c:symbol val="none"/>
          </c:marker>
          <c:val>
            <c:numRef>
              <c:f>[1]HISTORICOS!$K$320:$K$329</c:f>
              <c:numCache>
                <c:formatCode>General</c:formatCode>
                <c:ptCount val="10"/>
                <c:pt idx="0">
                  <c:v>3.3385498174230532E-2</c:v>
                </c:pt>
                <c:pt idx="1">
                  <c:v>2.5239777889954462E-2</c:v>
                </c:pt>
                <c:pt idx="2">
                  <c:v>4.1088133924175319E-2</c:v>
                </c:pt>
                <c:pt idx="3">
                  <c:v>-2.2228002553859039E-4</c:v>
                </c:pt>
                <c:pt idx="4">
                  <c:v>2.8141231232083674E-2</c:v>
                </c:pt>
                <c:pt idx="5">
                  <c:v>1.421689740369092E-2</c:v>
                </c:pt>
                <c:pt idx="6">
                  <c:v>3.019456806253018E-2</c:v>
                </c:pt>
                <c:pt idx="7">
                  <c:v>1.7640349988771176E-2</c:v>
                </c:pt>
                <c:pt idx="8">
                  <c:v>1.5123388677579674E-2</c:v>
                </c:pt>
                <c:pt idx="9">
                  <c:v>7.4999999999999997E-3</c:v>
                </c:pt>
              </c:numCache>
            </c:numRef>
          </c:val>
          <c:smooth val="0"/>
          <c:extLst/>
        </c:ser>
        <c:ser>
          <c:idx val="1"/>
          <c:order val="1"/>
          <c:tx>
            <c:strRef>
              <c:f>[1]HISTORICOS!$L$319</c:f>
              <c:strCache>
                <c:ptCount val="1"/>
                <c:pt idx="0">
                  <c:v>Inflación Colombia</c:v>
                </c:pt>
              </c:strCache>
            </c:strRef>
          </c:tx>
          <c:marker>
            <c:symbol val="none"/>
          </c:marker>
          <c:val>
            <c:numRef>
              <c:f>[1]HISTORICOS!$L$320:$L$329</c:f>
              <c:numCache>
                <c:formatCode>General</c:formatCode>
                <c:ptCount val="10"/>
                <c:pt idx="0">
                  <c:v>4.8499999999999995E-2</c:v>
                </c:pt>
                <c:pt idx="1">
                  <c:v>4.4800000000000006E-2</c:v>
                </c:pt>
                <c:pt idx="2">
                  <c:v>5.6900000000000006E-2</c:v>
                </c:pt>
                <c:pt idx="3">
                  <c:v>7.6700000000000004E-2</c:v>
                </c:pt>
                <c:pt idx="4">
                  <c:v>0.02</c:v>
                </c:pt>
                <c:pt idx="5">
                  <c:v>3.1699999999999999E-2</c:v>
                </c:pt>
                <c:pt idx="6">
                  <c:v>3.73E-2</c:v>
                </c:pt>
                <c:pt idx="7">
                  <c:v>2.4399999999999998E-2</c:v>
                </c:pt>
                <c:pt idx="8">
                  <c:v>1.9400000000000001E-2</c:v>
                </c:pt>
                <c:pt idx="9">
                  <c:v>3.6600000000000001E-2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162224"/>
        <c:axId val="215161440"/>
      </c:lineChart>
      <c:catAx>
        <c:axId val="21516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15161440"/>
        <c:crosses val="autoZero"/>
        <c:auto val="1"/>
        <c:lblAlgn val="ctr"/>
        <c:lblOffset val="100"/>
        <c:noMultiLvlLbl val="0"/>
      </c:catAx>
      <c:valAx>
        <c:axId val="2151614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151622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1093835101598204"/>
          <c:y val="0.111877256496399"/>
          <c:w val="0.3309245499242196"/>
          <c:h val="0.18947391869682653"/>
        </c:manualLayout>
      </c:layout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17016006801929"/>
          <c:y val="5.4928988732704895E-2"/>
          <c:w val="0.83383091198107295"/>
          <c:h val="0.82112959668280638"/>
        </c:manualLayout>
      </c:layout>
      <c:lineChart>
        <c:grouping val="standard"/>
        <c:varyColors val="0"/>
        <c:ser>
          <c:idx val="0"/>
          <c:order val="0"/>
          <c:tx>
            <c:strRef>
              <c:f>[1]HISTORICOS!$M$319</c:f>
              <c:strCache>
                <c:ptCount val="1"/>
                <c:pt idx="0">
                  <c:v>RIESGO PAÍS</c:v>
                </c:pt>
              </c:strCache>
            </c:strRef>
          </c:tx>
          <c:marker>
            <c:symbol val="none"/>
          </c:marker>
          <c:val>
            <c:numRef>
              <c:f>[1]HISTORICOS!$M$320:$M$329</c:f>
              <c:numCache>
                <c:formatCode>General</c:formatCode>
                <c:ptCount val="10"/>
                <c:pt idx="0">
                  <c:v>1.7999999999999999E-2</c:v>
                </c:pt>
                <c:pt idx="1">
                  <c:v>2.0299999999999999E-2</c:v>
                </c:pt>
                <c:pt idx="2">
                  <c:v>2.0299999999999999E-2</c:v>
                </c:pt>
                <c:pt idx="3">
                  <c:v>3.9E-2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3.3000000000000002E-2</c:v>
                </c:pt>
                <c:pt idx="9">
                  <c:v>3.4000000000000002E-2</c:v>
                </c:pt>
              </c:numCache>
            </c:numRef>
          </c:val>
          <c:smooth val="0"/>
          <c:extLst/>
        </c:ser>
        <c:ser>
          <c:idx val="1"/>
          <c:order val="1"/>
          <c:tx>
            <c:strRef>
              <c:f>[1]HISTORICOS!$N$319</c:f>
              <c:strCache>
                <c:ptCount val="1"/>
                <c:pt idx="0">
                  <c:v>PRIMA MERCADO</c:v>
                </c:pt>
              </c:strCache>
            </c:strRef>
          </c:tx>
          <c:marker>
            <c:symbol val="none"/>
          </c:marker>
          <c:val>
            <c:numRef>
              <c:f>[1]HISTORICOS!$N$320:$N$329</c:f>
              <c:numCache>
                <c:formatCode>General</c:formatCode>
                <c:ptCount val="10"/>
                <c:pt idx="0">
                  <c:v>6.6000000000000003E-2</c:v>
                </c:pt>
                <c:pt idx="1">
                  <c:v>6.9400000000000003E-2</c:v>
                </c:pt>
                <c:pt idx="2">
                  <c:v>6.8199999999999997E-2</c:v>
                </c:pt>
                <c:pt idx="3">
                  <c:v>8.8999999999999996E-2</c:v>
                </c:pt>
                <c:pt idx="4">
                  <c:v>7.4999999999999997E-2</c:v>
                </c:pt>
                <c:pt idx="5">
                  <c:v>0.08</c:v>
                </c:pt>
                <c:pt idx="6">
                  <c:v>7.4999999999999997E-2</c:v>
                </c:pt>
                <c:pt idx="7">
                  <c:v>8.7999999999999995E-2</c:v>
                </c:pt>
                <c:pt idx="8">
                  <c:v>8.3000000000000004E-2</c:v>
                </c:pt>
                <c:pt idx="9">
                  <c:v>9.1399999999999995E-2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408712"/>
        <c:axId val="221804304"/>
      </c:lineChart>
      <c:catAx>
        <c:axId val="122408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21804304"/>
        <c:crosses val="autoZero"/>
        <c:auto val="1"/>
        <c:lblAlgn val="ctr"/>
        <c:lblOffset val="100"/>
        <c:noMultiLvlLbl val="0"/>
      </c:catAx>
      <c:valAx>
        <c:axId val="221804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12240871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2281640851231559"/>
          <c:y val="0.34621912771665808"/>
          <c:w val="0.32068906879597942"/>
          <c:h val="0.17892805845919757"/>
        </c:manualLayout>
      </c:layout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trendline>
            <c:trendlineType val="linear"/>
            <c:forward val="5"/>
            <c:dispRSqr val="0"/>
            <c:dispEq val="1"/>
            <c:trendlineLbl>
              <c:layout>
                <c:manualLayout>
                  <c:x val="-0.36374243638706832"/>
                  <c:y val="-4.4585122311124603E-3"/>
                </c:manualLayout>
              </c:layout>
              <c:numFmt formatCode="#,##0.00000" sourceLinked="0"/>
              <c:txPr>
                <a:bodyPr/>
                <a:lstStyle/>
                <a:p>
                  <a:pPr>
                    <a:defRPr lang="es-ES" sz="1800"/>
                  </a:pPr>
                  <a:endParaRPr lang="es-CO"/>
                </a:p>
              </c:txPr>
            </c:trendlineLbl>
          </c:trendline>
          <c:xVal>
            <c:numRef>
              <c:f>[1]HISTORICOS!$I$320:$I$329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xVal>
          <c:yVal>
            <c:numRef>
              <c:f>[1]HISTORICOS!$O$320:$O$329</c:f>
              <c:numCache>
                <c:formatCode>General</c:formatCode>
                <c:ptCount val="10"/>
                <c:pt idx="0">
                  <c:v>0.5</c:v>
                </c:pt>
                <c:pt idx="1">
                  <c:v>0.61</c:v>
                </c:pt>
                <c:pt idx="2">
                  <c:v>0.66</c:v>
                </c:pt>
                <c:pt idx="3">
                  <c:v>0.63</c:v>
                </c:pt>
                <c:pt idx="4">
                  <c:v>0.69</c:v>
                </c:pt>
                <c:pt idx="5">
                  <c:v>0.72</c:v>
                </c:pt>
                <c:pt idx="6">
                  <c:v>0.52</c:v>
                </c:pt>
                <c:pt idx="7">
                  <c:v>0.63</c:v>
                </c:pt>
                <c:pt idx="8">
                  <c:v>0.56999999999999995</c:v>
                </c:pt>
                <c:pt idx="9">
                  <c:v>0.56999999999999995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5088"/>
        <c:axId val="221805480"/>
      </c:scatterChart>
      <c:valAx>
        <c:axId val="221805088"/>
        <c:scaling>
          <c:orientation val="minMax"/>
          <c:max val="2019"/>
          <c:min val="2005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21805480"/>
        <c:crosses val="autoZero"/>
        <c:crossBetween val="midCat"/>
        <c:majorUnit val="1"/>
      </c:valAx>
      <c:valAx>
        <c:axId val="221805480"/>
        <c:scaling>
          <c:orientation val="minMax"/>
          <c:min val="0.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218050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REDETRANS S.A.</a:t>
            </a:r>
          </a:p>
          <a:p>
            <a:pPr>
              <a:defRPr sz="1200"/>
            </a:pPr>
            <a:r>
              <a:rPr lang="es-CO" sz="1200"/>
              <a:t>DESCONSOLIDACIÓN DE CONTENEDORES</a:t>
            </a:r>
          </a:p>
        </c:rich>
      </c:tx>
      <c:layout>
        <c:manualLayout>
          <c:xMode val="edge"/>
          <c:yMode val="edge"/>
          <c:x val="0.23451377952755906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05161854768154"/>
          <c:y val="0.2287153689122193"/>
          <c:w val="0.80059492563429568"/>
          <c:h val="0.53124015748031495"/>
        </c:manualLayout>
      </c:layout>
      <c:lineChart>
        <c:grouping val="standard"/>
        <c:varyColors val="0"/>
        <c:ser>
          <c:idx val="0"/>
          <c:order val="0"/>
          <c:tx>
            <c:strRef>
              <c:f>INDICADORES!$A$32</c:f>
              <c:strCache>
                <c:ptCount val="1"/>
                <c:pt idx="0">
                  <c:v>Venta</c:v>
                </c:pt>
              </c:strCache>
            </c:strRef>
          </c:tx>
          <c:marker>
            <c:symbol val="none"/>
          </c:marker>
          <c:cat>
            <c:strRef>
              <c:f>INDICADORES!$B$3:$E$3</c:f>
              <c:strCache>
                <c:ptCount val="4"/>
                <c:pt idx="0">
                  <c:v>Año 1</c:v>
                </c:pt>
                <c:pt idx="1">
                  <c:v>Año 2</c:v>
                </c:pt>
                <c:pt idx="2">
                  <c:v>Año 3</c:v>
                </c:pt>
                <c:pt idx="3">
                  <c:v>Año 4</c:v>
                </c:pt>
              </c:strCache>
            </c:strRef>
          </c:cat>
          <c:val>
            <c:numRef>
              <c:f>INDICADORES!$B$32:$F$32</c:f>
              <c:numCache>
                <c:formatCode>#,##0.00</c:formatCode>
                <c:ptCount val="5"/>
                <c:pt idx="0">
                  <c:v>6583.0286120616838</c:v>
                </c:pt>
                <c:pt idx="1">
                  <c:v>7545.4152246433514</c:v>
                </c:pt>
                <c:pt idx="2">
                  <c:v>8648.4951330705535</c:v>
                </c:pt>
                <c:pt idx="3">
                  <c:v>9912.8365822015403</c:v>
                </c:pt>
                <c:pt idx="4">
                  <c:v>11362.014731289493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INDICADORES!$A$33</c:f>
              <c:strCache>
                <c:ptCount val="1"/>
                <c:pt idx="0">
                  <c:v>Utilidad Neta</c:v>
                </c:pt>
              </c:strCache>
            </c:strRef>
          </c:tx>
          <c:marker>
            <c:symbol val="none"/>
          </c:marker>
          <c:cat>
            <c:strRef>
              <c:f>INDICADORES!$B$3:$E$3</c:f>
              <c:strCache>
                <c:ptCount val="4"/>
                <c:pt idx="0">
                  <c:v>Año 1</c:v>
                </c:pt>
                <c:pt idx="1">
                  <c:v>Año 2</c:v>
                </c:pt>
                <c:pt idx="2">
                  <c:v>Año 3</c:v>
                </c:pt>
                <c:pt idx="3">
                  <c:v>Año 4</c:v>
                </c:pt>
              </c:strCache>
            </c:strRef>
          </c:cat>
          <c:val>
            <c:numRef>
              <c:f>INDICADORES!$B$33:$F$33</c:f>
              <c:numCache>
                <c:formatCode>#,##0.00</c:formatCode>
                <c:ptCount val="5"/>
                <c:pt idx="0">
                  <c:v>2115.6602185549186</c:v>
                </c:pt>
                <c:pt idx="1">
                  <c:v>2672.5957186320047</c:v>
                </c:pt>
                <c:pt idx="2">
                  <c:v>3264.4370212467134</c:v>
                </c:pt>
                <c:pt idx="3">
                  <c:v>3932.0896714917162</c:v>
                </c:pt>
                <c:pt idx="4">
                  <c:v>4686.8091682328632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INDICADORES!$A$34</c:f>
              <c:strCache>
                <c:ptCount val="1"/>
                <c:pt idx="0">
                  <c:v>Flujo de Caja del Período</c:v>
                </c:pt>
              </c:strCache>
            </c:strRef>
          </c:tx>
          <c:marker>
            <c:symbol val="none"/>
          </c:marker>
          <c:cat>
            <c:strRef>
              <c:f>INDICADORES!$B$3:$E$3</c:f>
              <c:strCache>
                <c:ptCount val="4"/>
                <c:pt idx="0">
                  <c:v>Año 1</c:v>
                </c:pt>
                <c:pt idx="1">
                  <c:v>Año 2</c:v>
                </c:pt>
                <c:pt idx="2">
                  <c:v>Año 3</c:v>
                </c:pt>
                <c:pt idx="3">
                  <c:v>Año 4</c:v>
                </c:pt>
              </c:strCache>
            </c:strRef>
          </c:cat>
          <c:val>
            <c:numRef>
              <c:f>INDICADORES!$B$34:$F$34</c:f>
              <c:numCache>
                <c:formatCode>#,##0.00</c:formatCode>
                <c:ptCount val="5"/>
                <c:pt idx="0">
                  <c:v>2510.60030496331</c:v>
                </c:pt>
                <c:pt idx="1">
                  <c:v>1915.3313593502799</c:v>
                </c:pt>
                <c:pt idx="2">
                  <c:v>2290.509942479202</c:v>
                </c:pt>
                <c:pt idx="3">
                  <c:v>2742.8793696405933</c:v>
                </c:pt>
                <c:pt idx="4">
                  <c:v>3264.9252981987256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806656"/>
        <c:axId val="221807048"/>
      </c:lineChart>
      <c:catAx>
        <c:axId val="221806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1807048"/>
        <c:crosses val="autoZero"/>
        <c:auto val="1"/>
        <c:lblAlgn val="ctr"/>
        <c:lblOffset val="100"/>
        <c:noMultiLvlLbl val="0"/>
      </c:catAx>
      <c:valAx>
        <c:axId val="221807048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nextTo"/>
        <c:crossAx val="2218066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8113735783027128E-2"/>
          <c:y val="0.88850503062117236"/>
          <c:w val="0.83488342082239719"/>
          <c:h val="8.3717191601049873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GLOSARIO!uodi"/><Relationship Id="rId13" Type="http://schemas.openxmlformats.org/officeDocument/2006/relationships/chart" Target="../charts/chart5.xml"/><Relationship Id="rId3" Type="http://schemas.openxmlformats.org/officeDocument/2006/relationships/hyperlink" Target="#GLOSARIO!balance"/><Relationship Id="rId7" Type="http://schemas.openxmlformats.org/officeDocument/2006/relationships/hyperlink" Target="#GLOSARIO!COSTO_DE_CAPITAL"/><Relationship Id="rId12" Type="http://schemas.openxmlformats.org/officeDocument/2006/relationships/chart" Target="../charts/chart4.xml"/><Relationship Id="rId2" Type="http://schemas.openxmlformats.org/officeDocument/2006/relationships/image" Target="../media/image11.wmf"/><Relationship Id="rId1" Type="http://schemas.openxmlformats.org/officeDocument/2006/relationships/hyperlink" Target="#GLOSARIO!PyG"/><Relationship Id="rId6" Type="http://schemas.openxmlformats.org/officeDocument/2006/relationships/hyperlink" Target="#GLOSARIO!fclo"/><Relationship Id="rId11" Type="http://schemas.openxmlformats.org/officeDocument/2006/relationships/chart" Target="../charts/chart3.xml"/><Relationship Id="rId5" Type="http://schemas.openxmlformats.org/officeDocument/2006/relationships/hyperlink" Target="#GLOSARIO!ebitda"/><Relationship Id="rId10" Type="http://schemas.openxmlformats.org/officeDocument/2006/relationships/chart" Target="../charts/chart2.xml"/><Relationship Id="rId4" Type="http://schemas.openxmlformats.org/officeDocument/2006/relationships/hyperlink" Target="#GLOSARIO!tesoreria"/><Relationship Id="rId9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165</xdr:row>
      <xdr:rowOff>0</xdr:rowOff>
    </xdr:from>
    <xdr:to>
      <xdr:col>0</xdr:col>
      <xdr:colOff>453118</xdr:colOff>
      <xdr:row>166</xdr:row>
      <xdr:rowOff>129268</xdr:rowOff>
    </xdr:to>
    <xdr:pic>
      <xdr:nvPicPr>
        <xdr:cNvPr id="2" name="Picture 5912" descr="C:\Archivos de programa\Microsoft Office\MEDIA\CAGCAT10\j0195812.wm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61725"/>
          <a:ext cx="453118" cy="434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453118</xdr:colOff>
      <xdr:row>195</xdr:row>
      <xdr:rowOff>142876</xdr:rowOff>
    </xdr:to>
    <xdr:pic>
      <xdr:nvPicPr>
        <xdr:cNvPr id="3" name="Picture 5912" descr="C:\Archivos de programa\Microsoft Office\MEDIA\CAGCAT10\j0195812.wmf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14800"/>
          <a:ext cx="453118" cy="438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237</xdr:row>
      <xdr:rowOff>66675</xdr:rowOff>
    </xdr:from>
    <xdr:to>
      <xdr:col>0</xdr:col>
      <xdr:colOff>453118</xdr:colOff>
      <xdr:row>239</xdr:row>
      <xdr:rowOff>72117</xdr:rowOff>
    </xdr:to>
    <xdr:pic>
      <xdr:nvPicPr>
        <xdr:cNvPr id="4" name="Picture 5912" descr="C:\Archivos de programa\Microsoft Office\MEDIA\CAGCAT10\j0195812.wmf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615850"/>
          <a:ext cx="453118" cy="4340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453118</xdr:colOff>
      <xdr:row>277</xdr:row>
      <xdr:rowOff>104773</xdr:rowOff>
    </xdr:to>
    <xdr:pic>
      <xdr:nvPicPr>
        <xdr:cNvPr id="5" name="Picture 5912" descr="C:\Archivos de programa\Microsoft Office\MEDIA\CAGCAT10\j0195812.wmf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88175"/>
          <a:ext cx="453118" cy="438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453118</xdr:colOff>
      <xdr:row>294</xdr:row>
      <xdr:rowOff>141196</xdr:rowOff>
    </xdr:to>
    <xdr:pic>
      <xdr:nvPicPr>
        <xdr:cNvPr id="6" name="Picture 5912" descr="C:\Archivos de programa\Microsoft Office\MEDIA\CAGCAT10\j0195812.wm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41125"/>
          <a:ext cx="453118" cy="4459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453118</xdr:colOff>
      <xdr:row>294</xdr:row>
      <xdr:rowOff>141194</xdr:rowOff>
    </xdr:to>
    <xdr:pic>
      <xdr:nvPicPr>
        <xdr:cNvPr id="7" name="Picture 5912" descr="C:\Archivos de programa\Microsoft Office\MEDIA\CAGCAT10\j0195812.wmf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41125"/>
          <a:ext cx="453118" cy="445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453118</xdr:colOff>
      <xdr:row>295</xdr:row>
      <xdr:rowOff>4484</xdr:rowOff>
    </xdr:to>
    <xdr:pic>
      <xdr:nvPicPr>
        <xdr:cNvPr id="8" name="Picture 5912" descr="C:\Archivos de programa\Microsoft Office\MEDIA\CAGCAT10\j0195812.wmf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41125"/>
          <a:ext cx="453118" cy="433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335</xdr:row>
      <xdr:rowOff>219075</xdr:rowOff>
    </xdr:from>
    <xdr:to>
      <xdr:col>14</xdr:col>
      <xdr:colOff>9525</xdr:colOff>
      <xdr:row>345</xdr:row>
      <xdr:rowOff>104775</xdr:rowOff>
    </xdr:to>
    <xdr:graphicFrame macro="">
      <xdr:nvGraphicFramePr>
        <xdr:cNvPr id="9" name="5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681719</xdr:colOff>
      <xdr:row>351</xdr:row>
      <xdr:rowOff>40821</xdr:rowOff>
    </xdr:from>
    <xdr:to>
      <xdr:col>18</xdr:col>
      <xdr:colOff>416378</xdr:colOff>
      <xdr:row>360</xdr:row>
      <xdr:rowOff>231321</xdr:rowOff>
    </xdr:to>
    <xdr:graphicFrame macro="">
      <xdr:nvGraphicFramePr>
        <xdr:cNvPr id="10" name="6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581025</xdr:colOff>
      <xdr:row>314</xdr:row>
      <xdr:rowOff>0</xdr:rowOff>
    </xdr:from>
    <xdr:to>
      <xdr:col>21</xdr:col>
      <xdr:colOff>76200</xdr:colOff>
      <xdr:row>322</xdr:row>
      <xdr:rowOff>71437</xdr:rowOff>
    </xdr:to>
    <xdr:graphicFrame macro="">
      <xdr:nvGraphicFramePr>
        <xdr:cNvPr id="11" name="1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571500</xdr:colOff>
      <xdr:row>322</xdr:row>
      <xdr:rowOff>114299</xdr:rowOff>
    </xdr:from>
    <xdr:to>
      <xdr:col>21</xdr:col>
      <xdr:colOff>66675</xdr:colOff>
      <xdr:row>333</xdr:row>
      <xdr:rowOff>42861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114300</xdr:colOff>
      <xdr:row>314</xdr:row>
      <xdr:rowOff>4761</xdr:rowOff>
    </xdr:from>
    <xdr:to>
      <xdr:col>29</xdr:col>
      <xdr:colOff>381000</xdr:colOff>
      <xdr:row>333</xdr:row>
      <xdr:rowOff>28575</xdr:rowOff>
    </xdr:to>
    <xdr:graphicFrame macro="">
      <xdr:nvGraphicFramePr>
        <xdr:cNvPr id="13" name="1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38100</xdr:colOff>
      <xdr:row>314</xdr:row>
      <xdr:rowOff>142875</xdr:rowOff>
    </xdr:from>
    <xdr:to>
      <xdr:col>27</xdr:col>
      <xdr:colOff>38100</xdr:colOff>
      <xdr:row>331</xdr:row>
      <xdr:rowOff>114300</xdr:rowOff>
    </xdr:to>
    <xdr:cxnSp macro="">
      <xdr:nvCxnSpPr>
        <xdr:cNvPr id="14" name="13 Conector recto"/>
        <xdr:cNvCxnSpPr/>
      </xdr:nvCxnSpPr>
      <xdr:spPr>
        <a:xfrm flipV="1">
          <a:off x="31080075" y="68303775"/>
          <a:ext cx="0" cy="472440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428625</xdr:colOff>
      <xdr:row>314</xdr:row>
      <xdr:rowOff>133350</xdr:rowOff>
    </xdr:from>
    <xdr:to>
      <xdr:col>27</xdr:col>
      <xdr:colOff>428625</xdr:colOff>
      <xdr:row>331</xdr:row>
      <xdr:rowOff>114301</xdr:rowOff>
    </xdr:to>
    <xdr:cxnSp macro="">
      <xdr:nvCxnSpPr>
        <xdr:cNvPr id="15" name="14 Conector recto"/>
        <xdr:cNvCxnSpPr/>
      </xdr:nvCxnSpPr>
      <xdr:spPr>
        <a:xfrm flipV="1">
          <a:off x="31470600" y="68294250"/>
          <a:ext cx="0" cy="4733926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66675</xdr:colOff>
      <xdr:row>314</xdr:row>
      <xdr:rowOff>133350</xdr:rowOff>
    </xdr:from>
    <xdr:to>
      <xdr:col>28</xdr:col>
      <xdr:colOff>66675</xdr:colOff>
      <xdr:row>331</xdr:row>
      <xdr:rowOff>123825</xdr:rowOff>
    </xdr:to>
    <xdr:cxnSp macro="">
      <xdr:nvCxnSpPr>
        <xdr:cNvPr id="16" name="15 Conector recto"/>
        <xdr:cNvCxnSpPr/>
      </xdr:nvCxnSpPr>
      <xdr:spPr>
        <a:xfrm flipV="1">
          <a:off x="31870650" y="68294250"/>
          <a:ext cx="0" cy="474345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466725</xdr:colOff>
      <xdr:row>314</xdr:row>
      <xdr:rowOff>152400</xdr:rowOff>
    </xdr:from>
    <xdr:to>
      <xdr:col>28</xdr:col>
      <xdr:colOff>466725</xdr:colOff>
      <xdr:row>331</xdr:row>
      <xdr:rowOff>104775</xdr:rowOff>
    </xdr:to>
    <xdr:cxnSp macro="">
      <xdr:nvCxnSpPr>
        <xdr:cNvPr id="17" name="16 Conector recto"/>
        <xdr:cNvCxnSpPr/>
      </xdr:nvCxnSpPr>
      <xdr:spPr>
        <a:xfrm flipV="1">
          <a:off x="32270700" y="68313300"/>
          <a:ext cx="0" cy="470535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104775</xdr:colOff>
      <xdr:row>314</xdr:row>
      <xdr:rowOff>152400</xdr:rowOff>
    </xdr:from>
    <xdr:to>
      <xdr:col>29</xdr:col>
      <xdr:colOff>104775</xdr:colOff>
      <xdr:row>331</xdr:row>
      <xdr:rowOff>114301</xdr:rowOff>
    </xdr:to>
    <xdr:cxnSp macro="">
      <xdr:nvCxnSpPr>
        <xdr:cNvPr id="18" name="17 Conector recto"/>
        <xdr:cNvCxnSpPr/>
      </xdr:nvCxnSpPr>
      <xdr:spPr>
        <a:xfrm flipV="1">
          <a:off x="32670750" y="68313300"/>
          <a:ext cx="0" cy="4714876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354</xdr:row>
          <xdr:rowOff>0</xdr:rowOff>
        </xdr:from>
        <xdr:to>
          <xdr:col>12</xdr:col>
          <xdr:colOff>295275</xdr:colOff>
          <xdr:row>359</xdr:row>
          <xdr:rowOff>104775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311</xdr:row>
          <xdr:rowOff>257175</xdr:rowOff>
        </xdr:from>
        <xdr:to>
          <xdr:col>9</xdr:col>
          <xdr:colOff>142875</xdr:colOff>
          <xdr:row>314</xdr:row>
          <xdr:rowOff>123825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66675</xdr:colOff>
          <xdr:row>343</xdr:row>
          <xdr:rowOff>0</xdr:rowOff>
        </xdr:from>
        <xdr:to>
          <xdr:col>9</xdr:col>
          <xdr:colOff>762000</xdr:colOff>
          <xdr:row>343</xdr:row>
          <xdr:rowOff>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CC" mc:Ignorable="a14" a14:legacySpreadsheetColorIndex="42"/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293</xdr:row>
          <xdr:rowOff>219075</xdr:rowOff>
        </xdr:from>
        <xdr:to>
          <xdr:col>6</xdr:col>
          <xdr:colOff>295275</xdr:colOff>
          <xdr:row>299</xdr:row>
          <xdr:rowOff>95250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349</xdr:row>
          <xdr:rowOff>0</xdr:rowOff>
        </xdr:from>
        <xdr:to>
          <xdr:col>11</xdr:col>
          <xdr:colOff>838200</xdr:colOff>
          <xdr:row>354</xdr:row>
          <xdr:rowOff>104775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311</xdr:row>
          <xdr:rowOff>76200</xdr:rowOff>
        </xdr:from>
        <xdr:to>
          <xdr:col>7</xdr:col>
          <xdr:colOff>561975</xdr:colOff>
          <xdr:row>317</xdr:row>
          <xdr:rowOff>295275</xdr:rowOff>
        </xdr:to>
        <xdr:sp macro="" textlink="">
          <xdr:nvSpPr>
            <xdr:cNvPr id="4102" name="Object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293</xdr:row>
          <xdr:rowOff>0</xdr:rowOff>
        </xdr:from>
        <xdr:to>
          <xdr:col>10</xdr:col>
          <xdr:colOff>0</xdr:colOff>
          <xdr:row>293</xdr:row>
          <xdr:rowOff>0</xdr:rowOff>
        </xdr:to>
        <xdr:sp macro="" textlink="">
          <xdr:nvSpPr>
            <xdr:cNvPr id="4103" name="Object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287</xdr:row>
          <xdr:rowOff>152400</xdr:rowOff>
        </xdr:from>
        <xdr:to>
          <xdr:col>9</xdr:col>
          <xdr:colOff>428625</xdr:colOff>
          <xdr:row>293</xdr:row>
          <xdr:rowOff>38100</xdr:rowOff>
        </xdr:to>
        <xdr:sp macro="" textlink="">
          <xdr:nvSpPr>
            <xdr:cNvPr id="4104" name="Object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337</xdr:row>
          <xdr:rowOff>161925</xdr:rowOff>
        </xdr:from>
        <xdr:to>
          <xdr:col>10</xdr:col>
          <xdr:colOff>533400</xdr:colOff>
          <xdr:row>341</xdr:row>
          <xdr:rowOff>19050</xdr:rowOff>
        </xdr:to>
        <xdr:sp macro="" textlink="">
          <xdr:nvSpPr>
            <xdr:cNvPr id="4105" name="Object 22175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321</xdr:row>
          <xdr:rowOff>152400</xdr:rowOff>
        </xdr:from>
        <xdr:to>
          <xdr:col>7</xdr:col>
          <xdr:colOff>409575</xdr:colOff>
          <xdr:row>330</xdr:row>
          <xdr:rowOff>66675</xdr:rowOff>
        </xdr:to>
        <xdr:sp macro="" textlink="">
          <xdr:nvSpPr>
            <xdr:cNvPr id="4106" name="Object 2219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35</xdr:row>
      <xdr:rowOff>38100</xdr:rowOff>
    </xdr:from>
    <xdr:to>
      <xdr:col>7</xdr:col>
      <xdr:colOff>247650</xdr:colOff>
      <xdr:row>54</xdr:row>
      <xdr:rowOff>66675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0.00417</cdr:x>
      <cdr:y>0.07639</cdr:y>
    </cdr:from>
    <cdr:to>
      <cdr:x>0.225</cdr:x>
      <cdr:y>0.24306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209550"/>
          <a:ext cx="1009650" cy="457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CO" sz="900">
              <a:solidFill>
                <a:schemeClr val="bg1"/>
              </a:solidFill>
            </a:rPr>
            <a:t>Cifras en $ Millones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blic/Documents/Redetrans%20Ltda/VALORACI&#211;N%20REDETRANS/VALORACION%20REDETRANS%20JULIO%202015%20NEGOCIACI&#211;N%20SUPERGIR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OS"/>
      <sheetName val="VALOR ACTIVO AÑO 2019 "/>
      <sheetName val="Depreciación"/>
      <sheetName val="Servicio a la deuda "/>
      <sheetName val="Análisis financiero"/>
      <sheetName val="CAPM"/>
    </sheetNames>
    <sheetDataSet>
      <sheetData sheetId="0">
        <row r="311">
          <cell r="C311">
            <v>2015</v>
          </cell>
          <cell r="D311">
            <v>2016</v>
          </cell>
          <cell r="E311">
            <v>2017</v>
          </cell>
          <cell r="F311">
            <v>2018</v>
          </cell>
          <cell r="G311">
            <v>2019</v>
          </cell>
        </row>
        <row r="315">
          <cell r="C315">
            <v>5.9947034950100661E-2</v>
          </cell>
          <cell r="D315">
            <v>6.9689655393742722E-2</v>
          </cell>
          <cell r="E315">
            <v>7.0835413842230147E-2</v>
          </cell>
          <cell r="F315">
            <v>7.2612394497731464E-2</v>
          </cell>
          <cell r="G315">
            <v>7.260568510372746E-2</v>
          </cell>
        </row>
        <row r="319">
          <cell r="K319" t="str">
            <v>Inflación USA</v>
          </cell>
          <cell r="L319" t="str">
            <v>Inflación Colombia</v>
          </cell>
          <cell r="M319" t="str">
            <v>RIESGO PAÍS</v>
          </cell>
          <cell r="N319" t="str">
            <v>PRIMA MERCADO</v>
          </cell>
        </row>
        <row r="320">
          <cell r="I320">
            <v>2005</v>
          </cell>
          <cell r="K320">
            <v>3.3385498174230532E-2</v>
          </cell>
          <cell r="L320">
            <v>4.8499999999999995E-2</v>
          </cell>
          <cell r="M320">
            <v>1.7999999999999999E-2</v>
          </cell>
          <cell r="N320">
            <v>6.6000000000000003E-2</v>
          </cell>
          <cell r="O320">
            <v>0.5</v>
          </cell>
        </row>
        <row r="321">
          <cell r="I321">
            <v>2006</v>
          </cell>
          <cell r="K321">
            <v>2.5239777889954462E-2</v>
          </cell>
          <cell r="L321">
            <v>4.4800000000000006E-2</v>
          </cell>
          <cell r="M321">
            <v>2.0299999999999999E-2</v>
          </cell>
          <cell r="N321">
            <v>6.9400000000000003E-2</v>
          </cell>
          <cell r="O321">
            <v>0.61</v>
          </cell>
        </row>
        <row r="322">
          <cell r="I322">
            <v>2007</v>
          </cell>
          <cell r="K322">
            <v>4.1088133924175319E-2</v>
          </cell>
          <cell r="L322">
            <v>5.6900000000000006E-2</v>
          </cell>
          <cell r="M322">
            <v>2.0299999999999999E-2</v>
          </cell>
          <cell r="N322">
            <v>6.8199999999999997E-2</v>
          </cell>
          <cell r="O322">
            <v>0.66</v>
          </cell>
        </row>
        <row r="323">
          <cell r="I323">
            <v>2008</v>
          </cell>
          <cell r="K323">
            <v>-2.2228002553859039E-4</v>
          </cell>
          <cell r="L323">
            <v>7.6700000000000004E-2</v>
          </cell>
          <cell r="M323">
            <v>3.9E-2</v>
          </cell>
          <cell r="N323">
            <v>8.8999999999999996E-2</v>
          </cell>
          <cell r="O323">
            <v>0.63</v>
          </cell>
        </row>
        <row r="324">
          <cell r="I324">
            <v>2009</v>
          </cell>
          <cell r="K324">
            <v>2.8141231232083674E-2</v>
          </cell>
          <cell r="L324">
            <v>0.02</v>
          </cell>
          <cell r="M324">
            <v>0.03</v>
          </cell>
          <cell r="N324">
            <v>7.4999999999999997E-2</v>
          </cell>
          <cell r="O324">
            <v>0.69</v>
          </cell>
        </row>
        <row r="325">
          <cell r="I325">
            <v>2010</v>
          </cell>
          <cell r="K325">
            <v>1.421689740369092E-2</v>
          </cell>
          <cell r="L325">
            <v>3.1699999999999999E-2</v>
          </cell>
          <cell r="M325">
            <v>0.03</v>
          </cell>
          <cell r="N325">
            <v>0.08</v>
          </cell>
          <cell r="O325">
            <v>0.72</v>
          </cell>
        </row>
        <row r="326">
          <cell r="I326">
            <v>2011</v>
          </cell>
          <cell r="K326">
            <v>3.019456806253018E-2</v>
          </cell>
          <cell r="L326">
            <v>3.73E-2</v>
          </cell>
          <cell r="M326">
            <v>0.03</v>
          </cell>
          <cell r="N326">
            <v>7.4999999999999997E-2</v>
          </cell>
          <cell r="O326">
            <v>0.52</v>
          </cell>
        </row>
        <row r="327">
          <cell r="I327">
            <v>2012</v>
          </cell>
          <cell r="K327">
            <v>1.7640349988771176E-2</v>
          </cell>
          <cell r="L327">
            <v>2.4399999999999998E-2</v>
          </cell>
          <cell r="M327">
            <v>0.03</v>
          </cell>
          <cell r="N327">
            <v>8.7999999999999995E-2</v>
          </cell>
          <cell r="O327">
            <v>0.63</v>
          </cell>
        </row>
        <row r="328">
          <cell r="I328">
            <v>2013</v>
          </cell>
          <cell r="K328">
            <v>1.5123388677579674E-2</v>
          </cell>
          <cell r="L328">
            <v>1.9400000000000001E-2</v>
          </cell>
          <cell r="M328">
            <v>3.3000000000000002E-2</v>
          </cell>
          <cell r="N328">
            <v>8.3000000000000004E-2</v>
          </cell>
          <cell r="O328">
            <v>0.56999999999999995</v>
          </cell>
        </row>
        <row r="329">
          <cell r="I329">
            <v>2014</v>
          </cell>
          <cell r="K329">
            <v>7.4999999999999997E-3</v>
          </cell>
          <cell r="L329">
            <v>3.6600000000000001E-2</v>
          </cell>
          <cell r="M329">
            <v>3.4000000000000002E-2</v>
          </cell>
          <cell r="N329">
            <v>9.1399999999999995E-2</v>
          </cell>
          <cell r="O329">
            <v>0.56999999999999995</v>
          </cell>
        </row>
        <row r="337">
          <cell r="C337">
            <v>4.7884999999999997E-2</v>
          </cell>
          <cell r="D337">
            <v>5.0393938499999971E-2</v>
          </cell>
          <cell r="E337">
            <v>5.2233978499999917E-2</v>
          </cell>
          <cell r="F337">
            <v>5.3876119999999889E-2</v>
          </cell>
          <cell r="G337">
            <v>5.5948362999999876E-2</v>
          </cell>
        </row>
        <row r="344">
          <cell r="C344">
            <v>0.11470504001588963</v>
          </cell>
          <cell r="D344">
            <v>0.10635344322405227</v>
          </cell>
          <cell r="E344">
            <v>9.761788584218882E-2</v>
          </cell>
          <cell r="F344">
            <v>8.8465041605180164E-2</v>
          </cell>
          <cell r="G344">
            <v>8.2042007943762985E-2</v>
          </cell>
        </row>
        <row r="352">
          <cell r="C352">
            <v>0.21527357790007334</v>
          </cell>
          <cell r="D352">
            <v>0.20692198110823595</v>
          </cell>
          <cell r="E352">
            <v>0.19818642372637252</v>
          </cell>
          <cell r="F352">
            <v>0.18903357948936386</v>
          </cell>
          <cell r="G352">
            <v>0.18261054582794667</v>
          </cell>
        </row>
        <row r="357">
          <cell r="C357">
            <v>2015</v>
          </cell>
          <cell r="D357">
            <v>2016</v>
          </cell>
          <cell r="E357">
            <v>2017</v>
          </cell>
          <cell r="F357">
            <v>2018</v>
          </cell>
          <cell r="G357">
            <v>2019</v>
          </cell>
        </row>
        <row r="362">
          <cell r="C362">
            <v>0.10982255934129906</v>
          </cell>
          <cell r="D362">
            <v>0.12084827947036883</v>
          </cell>
          <cell r="E362">
            <v>0.12581218043354608</v>
          </cell>
          <cell r="F362">
            <v>0.13162736098193731</v>
          </cell>
          <cell r="G362">
            <v>0.13706234505065432</v>
          </cell>
        </row>
      </sheetData>
      <sheetData sheetId="1"/>
      <sheetData sheetId="2">
        <row r="6">
          <cell r="F6">
            <v>2985.8704384371467</v>
          </cell>
          <cell r="G6">
            <v>4955.8704384371467</v>
          </cell>
          <cell r="H6">
            <v>4955.8704384371467</v>
          </cell>
          <cell r="I6">
            <v>4955.8704384371467</v>
          </cell>
          <cell r="J6">
            <v>4955.8704384371467</v>
          </cell>
        </row>
        <row r="7">
          <cell r="F7">
            <v>933.4099342061013</v>
          </cell>
          <cell r="G7">
            <v>1263.4099342061013</v>
          </cell>
          <cell r="H7">
            <v>1263.4099342061013</v>
          </cell>
          <cell r="I7">
            <v>1263.4099342061013</v>
          </cell>
          <cell r="J7">
            <v>1263.4099342061013</v>
          </cell>
        </row>
      </sheetData>
      <sheetData sheetId="3">
        <row r="3">
          <cell r="F3">
            <v>7790.9530360000008</v>
          </cell>
          <cell r="G3">
            <v>9390.2983644320902</v>
          </cell>
          <cell r="H3">
            <v>8782.8986386643919</v>
          </cell>
          <cell r="I3">
            <v>8114.8401160238209</v>
          </cell>
          <cell r="J3">
            <v>7344.0983848157457</v>
          </cell>
        </row>
        <row r="47">
          <cell r="C47">
            <v>18000</v>
          </cell>
        </row>
        <row r="77">
          <cell r="C77">
            <v>2000</v>
          </cell>
        </row>
        <row r="113">
          <cell r="B113">
            <v>4486.5467156791101</v>
          </cell>
          <cell r="C113">
            <v>6092.9906161018562</v>
          </cell>
          <cell r="D113">
            <v>6700.3903418695536</v>
          </cell>
          <cell r="E113">
            <v>7368.4488645101255</v>
          </cell>
          <cell r="F113">
            <v>8139.1905957181998</v>
          </cell>
        </row>
        <row r="131">
          <cell r="B131">
            <v>80924.462668219043</v>
          </cell>
          <cell r="C131">
            <v>74224.072326349487</v>
          </cell>
          <cell r="D131">
            <v>66458.184248047852</v>
          </cell>
          <cell r="E131">
            <v>57612.577924881771</v>
          </cell>
          <cell r="F131">
            <v>49840.971344310805</v>
          </cell>
        </row>
        <row r="137">
          <cell r="B137">
            <v>840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13" Type="http://schemas.openxmlformats.org/officeDocument/2006/relationships/oleObject" Target="../embeddings/oleObject6.bin"/><Relationship Id="rId18" Type="http://schemas.openxmlformats.org/officeDocument/2006/relationships/image" Target="../media/image8.emf"/><Relationship Id="rId3" Type="http://schemas.openxmlformats.org/officeDocument/2006/relationships/oleObject" Target="../embeddings/oleObject1.bin"/><Relationship Id="rId21" Type="http://schemas.openxmlformats.org/officeDocument/2006/relationships/oleObject" Target="../embeddings/oleObject10.bin"/><Relationship Id="rId7" Type="http://schemas.openxmlformats.org/officeDocument/2006/relationships/oleObject" Target="../embeddings/oleObject3.bin"/><Relationship Id="rId12" Type="http://schemas.openxmlformats.org/officeDocument/2006/relationships/image" Target="../media/image5.emf"/><Relationship Id="rId17" Type="http://schemas.openxmlformats.org/officeDocument/2006/relationships/oleObject" Target="../embeddings/oleObject8.bin"/><Relationship Id="rId2" Type="http://schemas.openxmlformats.org/officeDocument/2006/relationships/vmlDrawing" Target="../drawings/vmlDrawing1.vml"/><Relationship Id="rId16" Type="http://schemas.openxmlformats.org/officeDocument/2006/relationships/image" Target="../media/image7.emf"/><Relationship Id="rId20" Type="http://schemas.openxmlformats.org/officeDocument/2006/relationships/image" Target="../media/image9.emf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oleObject" Target="../embeddings/oleObject5.bin"/><Relationship Id="rId5" Type="http://schemas.openxmlformats.org/officeDocument/2006/relationships/oleObject" Target="../embeddings/oleObject2.bin"/><Relationship Id="rId15" Type="http://schemas.openxmlformats.org/officeDocument/2006/relationships/oleObject" Target="../embeddings/oleObject7.bin"/><Relationship Id="rId10" Type="http://schemas.openxmlformats.org/officeDocument/2006/relationships/image" Target="../media/image4.emf"/><Relationship Id="rId19" Type="http://schemas.openxmlformats.org/officeDocument/2006/relationships/oleObject" Target="../embeddings/oleObject9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.bin"/><Relationship Id="rId14" Type="http://schemas.openxmlformats.org/officeDocument/2006/relationships/image" Target="../media/image6.emf"/><Relationship Id="rId22" Type="http://schemas.openxmlformats.org/officeDocument/2006/relationships/image" Target="../media/image10.emf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A13" sqref="A13"/>
    </sheetView>
  </sheetViews>
  <sheetFormatPr baseColWidth="10" defaultRowHeight="11.25" x14ac:dyDescent="0.2"/>
  <cols>
    <col min="1" max="1" width="43.85546875" style="1" bestFit="1" customWidth="1"/>
    <col min="2" max="2" width="20" style="1" bestFit="1" customWidth="1"/>
    <col min="3" max="3" width="14" style="1" bestFit="1" customWidth="1"/>
    <col min="4" max="4" width="13" style="1" bestFit="1" customWidth="1"/>
    <col min="5" max="5" width="12" style="1" bestFit="1" customWidth="1"/>
    <col min="6" max="6" width="11.7109375" style="1" bestFit="1" customWidth="1"/>
    <col min="7" max="16384" width="11.42578125" style="1"/>
  </cols>
  <sheetData>
    <row r="1" spans="1:9" x14ac:dyDescent="0.2">
      <c r="A1" s="613" t="s">
        <v>414</v>
      </c>
      <c r="B1" s="613"/>
      <c r="C1" s="613"/>
      <c r="D1" s="613"/>
    </row>
    <row r="2" spans="1:9" x14ac:dyDescent="0.2">
      <c r="A2" s="613" t="s">
        <v>423</v>
      </c>
      <c r="B2" s="613"/>
      <c r="C2" s="613"/>
      <c r="D2" s="613"/>
    </row>
    <row r="3" spans="1:9" x14ac:dyDescent="0.2">
      <c r="A3" s="613">
        <v>2015</v>
      </c>
      <c r="B3" s="613"/>
      <c r="C3" s="613"/>
      <c r="D3" s="613"/>
    </row>
    <row r="5" spans="1:9" x14ac:dyDescent="0.2">
      <c r="A5" s="613" t="s">
        <v>424</v>
      </c>
      <c r="B5" s="613"/>
      <c r="C5" s="613"/>
      <c r="D5" s="613"/>
    </row>
    <row r="6" spans="1:9" x14ac:dyDescent="0.2">
      <c r="A6" s="69" t="s">
        <v>425</v>
      </c>
      <c r="B6" s="69" t="s">
        <v>200</v>
      </c>
      <c r="C6" s="69" t="s">
        <v>426</v>
      </c>
      <c r="D6" s="69" t="s">
        <v>427</v>
      </c>
      <c r="E6" s="69" t="s">
        <v>428</v>
      </c>
    </row>
    <row r="7" spans="1:9" x14ac:dyDescent="0.2">
      <c r="A7" s="94" t="s">
        <v>429</v>
      </c>
      <c r="B7" s="55">
        <f>30*12</f>
        <v>360</v>
      </c>
      <c r="C7" s="70">
        <v>1500000</v>
      </c>
      <c r="D7" s="71">
        <f>+B7*C7</f>
        <v>540000000</v>
      </c>
      <c r="E7" s="99">
        <f>+D7/1000000</f>
        <v>540</v>
      </c>
    </row>
    <row r="8" spans="1:9" x14ac:dyDescent="0.2">
      <c r="A8" s="94" t="s">
        <v>197</v>
      </c>
      <c r="B8" s="55">
        <v>1</v>
      </c>
      <c r="C8" s="70">
        <v>24000000</v>
      </c>
      <c r="D8" s="71">
        <f t="shared" ref="D8:D32" si="0">+B8*C8</f>
        <v>24000000</v>
      </c>
      <c r="E8" s="99">
        <f t="shared" ref="E8:E32" si="1">+D8/1000000</f>
        <v>24</v>
      </c>
    </row>
    <row r="9" spans="1:9" x14ac:dyDescent="0.2">
      <c r="A9" s="94" t="s">
        <v>36</v>
      </c>
      <c r="B9" s="55">
        <v>2</v>
      </c>
      <c r="C9" s="70">
        <v>176000000</v>
      </c>
      <c r="D9" s="71">
        <f t="shared" si="0"/>
        <v>352000000</v>
      </c>
      <c r="E9" s="99">
        <f t="shared" si="1"/>
        <v>352</v>
      </c>
      <c r="F9" s="109"/>
      <c r="G9" s="3"/>
      <c r="H9" s="3"/>
      <c r="I9" s="3"/>
    </row>
    <row r="10" spans="1:9" x14ac:dyDescent="0.2">
      <c r="A10" s="94" t="s">
        <v>430</v>
      </c>
      <c r="B10" s="55">
        <v>1</v>
      </c>
      <c r="C10" s="70">
        <v>18520000</v>
      </c>
      <c r="D10" s="71">
        <f t="shared" si="0"/>
        <v>18520000</v>
      </c>
      <c r="E10" s="99">
        <f t="shared" si="1"/>
        <v>18.52</v>
      </c>
    </row>
    <row r="11" spans="1:9" x14ac:dyDescent="0.2">
      <c r="A11" s="94" t="s">
        <v>431</v>
      </c>
      <c r="B11" s="55">
        <v>2</v>
      </c>
      <c r="C11" s="70">
        <v>1200000</v>
      </c>
      <c r="D11" s="71">
        <f t="shared" si="0"/>
        <v>2400000</v>
      </c>
      <c r="E11" s="99">
        <f t="shared" si="1"/>
        <v>2.4</v>
      </c>
    </row>
    <row r="12" spans="1:9" x14ac:dyDescent="0.2">
      <c r="A12" s="94" t="s">
        <v>432</v>
      </c>
      <c r="B12" s="55">
        <v>1</v>
      </c>
      <c r="C12" s="70">
        <v>13100000</v>
      </c>
      <c r="D12" s="71">
        <f t="shared" si="0"/>
        <v>13100000</v>
      </c>
      <c r="E12" s="99">
        <f t="shared" si="1"/>
        <v>13.1</v>
      </c>
    </row>
    <row r="13" spans="1:9" x14ac:dyDescent="0.2">
      <c r="A13" s="94" t="s">
        <v>433</v>
      </c>
      <c r="B13" s="55">
        <v>30</v>
      </c>
      <c r="C13" s="70">
        <v>35000</v>
      </c>
      <c r="D13" s="71">
        <f t="shared" si="0"/>
        <v>1050000</v>
      </c>
      <c r="E13" s="99">
        <f t="shared" si="1"/>
        <v>1.05</v>
      </c>
    </row>
    <row r="14" spans="1:9" x14ac:dyDescent="0.2">
      <c r="A14" s="94" t="s">
        <v>434</v>
      </c>
      <c r="B14" s="55">
        <v>6</v>
      </c>
      <c r="C14" s="70">
        <v>450000</v>
      </c>
      <c r="D14" s="71">
        <f t="shared" si="0"/>
        <v>2700000</v>
      </c>
      <c r="E14" s="99">
        <f t="shared" si="1"/>
        <v>2.7</v>
      </c>
    </row>
    <row r="15" spans="1:9" x14ac:dyDescent="0.2">
      <c r="A15" s="94" t="s">
        <v>435</v>
      </c>
      <c r="B15" s="55">
        <v>30</v>
      </c>
      <c r="C15" s="70">
        <v>60000</v>
      </c>
      <c r="D15" s="71">
        <f t="shared" si="0"/>
        <v>1800000</v>
      </c>
      <c r="E15" s="99">
        <f t="shared" si="1"/>
        <v>1.8</v>
      </c>
    </row>
    <row r="16" spans="1:9" x14ac:dyDescent="0.2">
      <c r="A16" s="94" t="s">
        <v>436</v>
      </c>
      <c r="B16" s="55">
        <v>1</v>
      </c>
      <c r="C16" s="70">
        <v>3324000</v>
      </c>
      <c r="D16" s="71">
        <f t="shared" si="0"/>
        <v>3324000</v>
      </c>
      <c r="E16" s="99">
        <f t="shared" si="1"/>
        <v>3.3239999999999998</v>
      </c>
    </row>
    <row r="17" spans="1:5" x14ac:dyDescent="0.2">
      <c r="A17" s="94" t="s">
        <v>437</v>
      </c>
      <c r="B17" s="55">
        <v>1</v>
      </c>
      <c r="C17" s="70">
        <v>6261500</v>
      </c>
      <c r="D17" s="71">
        <f t="shared" si="0"/>
        <v>6261500</v>
      </c>
      <c r="E17" s="99">
        <f t="shared" si="1"/>
        <v>6.2614999999999998</v>
      </c>
    </row>
    <row r="18" spans="1:5" x14ac:dyDescent="0.2">
      <c r="A18" s="94" t="s">
        <v>438</v>
      </c>
      <c r="B18" s="55">
        <v>10</v>
      </c>
      <c r="C18" s="70">
        <v>500000</v>
      </c>
      <c r="D18" s="71">
        <f t="shared" si="0"/>
        <v>5000000</v>
      </c>
      <c r="E18" s="99">
        <f t="shared" si="1"/>
        <v>5</v>
      </c>
    </row>
    <row r="19" spans="1:5" x14ac:dyDescent="0.2">
      <c r="A19" s="94" t="s">
        <v>55</v>
      </c>
      <c r="B19" s="55">
        <v>15</v>
      </c>
      <c r="C19" s="70">
        <v>2000000</v>
      </c>
      <c r="D19" s="71">
        <f t="shared" si="0"/>
        <v>30000000</v>
      </c>
      <c r="E19" s="99">
        <f t="shared" si="1"/>
        <v>30</v>
      </c>
    </row>
    <row r="20" spans="1:5" x14ac:dyDescent="0.2">
      <c r="A20" s="94" t="s">
        <v>439</v>
      </c>
      <c r="B20" s="55">
        <v>10</v>
      </c>
      <c r="C20" s="70">
        <v>450000</v>
      </c>
      <c r="D20" s="71">
        <f t="shared" si="0"/>
        <v>4500000</v>
      </c>
      <c r="E20" s="99">
        <f t="shared" si="1"/>
        <v>4.5</v>
      </c>
    </row>
    <row r="21" spans="1:5" x14ac:dyDescent="0.2">
      <c r="A21" s="94" t="s">
        <v>440</v>
      </c>
      <c r="B21" s="55">
        <v>3</v>
      </c>
      <c r="C21" s="70">
        <v>900000</v>
      </c>
      <c r="D21" s="71">
        <f t="shared" si="0"/>
        <v>2700000</v>
      </c>
      <c r="E21" s="99">
        <f t="shared" si="1"/>
        <v>2.7</v>
      </c>
    </row>
    <row r="22" spans="1:5" x14ac:dyDescent="0.2">
      <c r="A22" s="94" t="s">
        <v>441</v>
      </c>
      <c r="B22" s="55">
        <v>1</v>
      </c>
      <c r="C22" s="70">
        <v>6000000</v>
      </c>
      <c r="D22" s="71">
        <f t="shared" si="0"/>
        <v>6000000</v>
      </c>
      <c r="E22" s="99">
        <f t="shared" si="1"/>
        <v>6</v>
      </c>
    </row>
    <row r="23" spans="1:5" x14ac:dyDescent="0.2">
      <c r="A23" s="94" t="s">
        <v>442</v>
      </c>
      <c r="B23" s="55">
        <v>3</v>
      </c>
      <c r="C23" s="70">
        <v>4800000</v>
      </c>
      <c r="D23" s="71">
        <f t="shared" si="0"/>
        <v>14400000</v>
      </c>
      <c r="E23" s="99">
        <f t="shared" si="1"/>
        <v>14.4</v>
      </c>
    </row>
    <row r="24" spans="1:5" x14ac:dyDescent="0.2">
      <c r="A24" s="94" t="s">
        <v>443</v>
      </c>
      <c r="B24" s="55">
        <v>1</v>
      </c>
      <c r="C24" s="70">
        <v>1800000</v>
      </c>
      <c r="D24" s="71">
        <f t="shared" si="0"/>
        <v>1800000</v>
      </c>
      <c r="E24" s="99">
        <f t="shared" si="1"/>
        <v>1.8</v>
      </c>
    </row>
    <row r="25" spans="1:5" x14ac:dyDescent="0.2">
      <c r="A25" s="94" t="s">
        <v>444</v>
      </c>
      <c r="B25" s="55">
        <v>3</v>
      </c>
      <c r="C25" s="70">
        <v>50000</v>
      </c>
      <c r="D25" s="71">
        <f t="shared" si="0"/>
        <v>150000</v>
      </c>
      <c r="E25" s="99">
        <f t="shared" si="1"/>
        <v>0.15</v>
      </c>
    </row>
    <row r="26" spans="1:5" x14ac:dyDescent="0.2">
      <c r="A26" s="94" t="s">
        <v>445</v>
      </c>
      <c r="B26" s="55">
        <v>1</v>
      </c>
      <c r="C26" s="70">
        <v>500000</v>
      </c>
      <c r="D26" s="71">
        <f t="shared" si="0"/>
        <v>500000</v>
      </c>
      <c r="E26" s="99">
        <f t="shared" si="1"/>
        <v>0.5</v>
      </c>
    </row>
    <row r="27" spans="1:5" x14ac:dyDescent="0.2">
      <c r="A27" s="94" t="s">
        <v>446</v>
      </c>
      <c r="B27" s="55">
        <v>1</v>
      </c>
      <c r="C27" s="70">
        <v>2500000</v>
      </c>
      <c r="D27" s="71">
        <f t="shared" si="0"/>
        <v>2500000</v>
      </c>
      <c r="E27" s="99">
        <f t="shared" si="1"/>
        <v>2.5</v>
      </c>
    </row>
    <row r="28" spans="1:5" x14ac:dyDescent="0.2">
      <c r="A28" s="94" t="s">
        <v>447</v>
      </c>
      <c r="B28" s="55">
        <v>1</v>
      </c>
      <c r="C28" s="70">
        <v>200000</v>
      </c>
      <c r="D28" s="71">
        <f t="shared" si="0"/>
        <v>200000</v>
      </c>
      <c r="E28" s="99">
        <f t="shared" si="1"/>
        <v>0.2</v>
      </c>
    </row>
    <row r="29" spans="1:5" x14ac:dyDescent="0.2">
      <c r="A29" s="94" t="s">
        <v>448</v>
      </c>
      <c r="B29" s="95">
        <v>15</v>
      </c>
      <c r="C29" s="70">
        <v>1500000</v>
      </c>
      <c r="D29" s="71">
        <f t="shared" si="0"/>
        <v>22500000</v>
      </c>
      <c r="E29" s="99">
        <f t="shared" si="1"/>
        <v>22.5</v>
      </c>
    </row>
    <row r="30" spans="1:5" x14ac:dyDescent="0.2">
      <c r="A30" s="94" t="s">
        <v>449</v>
      </c>
      <c r="B30" s="55">
        <v>10</v>
      </c>
      <c r="C30" s="70">
        <v>1000000</v>
      </c>
      <c r="D30" s="71">
        <f t="shared" si="0"/>
        <v>10000000</v>
      </c>
      <c r="E30" s="99">
        <f t="shared" si="1"/>
        <v>10</v>
      </c>
    </row>
    <row r="31" spans="1:5" x14ac:dyDescent="0.2">
      <c r="A31" s="94" t="s">
        <v>450</v>
      </c>
      <c r="B31" s="55">
        <v>10</v>
      </c>
      <c r="C31" s="70">
        <v>2000000</v>
      </c>
      <c r="D31" s="71">
        <f t="shared" si="0"/>
        <v>20000000</v>
      </c>
      <c r="E31" s="99">
        <f t="shared" si="1"/>
        <v>20</v>
      </c>
    </row>
    <row r="32" spans="1:5" x14ac:dyDescent="0.2">
      <c r="A32" s="94" t="s">
        <v>451</v>
      </c>
      <c r="B32" s="55">
        <v>1</v>
      </c>
      <c r="C32" s="70">
        <v>3500000</v>
      </c>
      <c r="D32" s="71">
        <f t="shared" si="0"/>
        <v>3500000</v>
      </c>
      <c r="E32" s="99">
        <f t="shared" si="1"/>
        <v>3.5</v>
      </c>
    </row>
    <row r="33" spans="1:6" x14ac:dyDescent="0.2">
      <c r="A33" s="7" t="s">
        <v>452</v>
      </c>
      <c r="B33" s="55"/>
      <c r="C33" s="70"/>
      <c r="D33" s="72">
        <f>SUM(D7:D32)</f>
        <v>1088905500</v>
      </c>
      <c r="E33" s="48">
        <f>SUM(E7:E32)</f>
        <v>1088.9055000000001</v>
      </c>
    </row>
    <row r="34" spans="1:6" x14ac:dyDescent="0.2">
      <c r="A34" s="1" t="s">
        <v>453</v>
      </c>
    </row>
    <row r="35" spans="1:6" x14ac:dyDescent="0.2">
      <c r="A35" s="7" t="s">
        <v>454</v>
      </c>
    </row>
    <row r="36" spans="1:6" x14ac:dyDescent="0.2">
      <c r="A36" s="1" t="s">
        <v>455</v>
      </c>
      <c r="B36" s="55">
        <v>5000</v>
      </c>
      <c r="C36" s="55">
        <v>1500000</v>
      </c>
      <c r="D36" s="55">
        <f>+B36*C36</f>
        <v>7500000000</v>
      </c>
      <c r="E36" s="100">
        <f>+D36/1000000</f>
        <v>7500</v>
      </c>
    </row>
    <row r="37" spans="1:6" x14ac:dyDescent="0.2">
      <c r="A37" s="1" t="s">
        <v>453</v>
      </c>
    </row>
    <row r="38" spans="1:6" x14ac:dyDescent="0.2">
      <c r="A38" s="1" t="s">
        <v>453</v>
      </c>
      <c r="E38" s="2"/>
    </row>
    <row r="39" spans="1:6" x14ac:dyDescent="0.2">
      <c r="A39" s="1" t="s">
        <v>456</v>
      </c>
      <c r="B39" s="2">
        <f>+E33+E36</f>
        <v>8588.9055000000008</v>
      </c>
      <c r="E39" s="2"/>
    </row>
    <row r="40" spans="1:6" x14ac:dyDescent="0.2">
      <c r="C40" s="1" t="s">
        <v>457</v>
      </c>
      <c r="D40" s="3">
        <f>+'BASES DE LAS PROYECCIONE'!B18</f>
        <v>8475.8815000000031</v>
      </c>
      <c r="E40" s="3"/>
      <c r="F40" s="3">
        <f>+'FLUJO DE CAJA'!B33</f>
        <v>8583.9055000000026</v>
      </c>
    </row>
    <row r="41" spans="1:6" x14ac:dyDescent="0.2">
      <c r="C41" s="1" t="s">
        <v>458</v>
      </c>
      <c r="D41" s="3">
        <f>+'BASES DE LAS PROYECCIONE'!B27</f>
        <v>78.024000000000001</v>
      </c>
      <c r="E41" s="3"/>
      <c r="F41" s="3"/>
    </row>
    <row r="42" spans="1:6" x14ac:dyDescent="0.2">
      <c r="C42" s="1" t="s">
        <v>116</v>
      </c>
      <c r="D42" s="3">
        <f>+'BASES DE LAS PROYECCIONE'!B32</f>
        <v>30</v>
      </c>
      <c r="E42" s="3"/>
      <c r="F42" s="3"/>
    </row>
    <row r="43" spans="1:6" x14ac:dyDescent="0.2">
      <c r="C43" s="1" t="s">
        <v>459</v>
      </c>
      <c r="D43" s="3">
        <f>+'BASES DE LAS PROYECCIONE'!B41</f>
        <v>5</v>
      </c>
      <c r="E43" s="3"/>
      <c r="F43" s="3">
        <f>+'FLUJO DE CAJA'!B34</f>
        <v>5</v>
      </c>
    </row>
    <row r="44" spans="1:6" x14ac:dyDescent="0.2">
      <c r="C44" s="1" t="s">
        <v>202</v>
      </c>
      <c r="D44" s="3">
        <f>SUM(D39:D43)</f>
        <v>8588.9055000000026</v>
      </c>
      <c r="E44" s="3"/>
      <c r="F44" s="3">
        <f>SUM(F39:F43)</f>
        <v>8588.9055000000026</v>
      </c>
    </row>
    <row r="45" spans="1:6" x14ac:dyDescent="0.2">
      <c r="B45" s="1" t="s">
        <v>460</v>
      </c>
      <c r="D45" s="2">
        <f>+D44-B39</f>
        <v>0</v>
      </c>
      <c r="E45" s="2"/>
      <c r="F45" s="1">
        <f>+D44-F44</f>
        <v>0</v>
      </c>
    </row>
    <row r="46" spans="1:6" x14ac:dyDescent="0.2">
      <c r="E46" s="97"/>
    </row>
    <row r="61" spans="3:3" x14ac:dyDescent="0.2">
      <c r="C61" s="1">
        <f>SUM(C49:C60)</f>
        <v>0</v>
      </c>
    </row>
  </sheetData>
  <mergeCells count="4">
    <mergeCell ref="A5:D5"/>
    <mergeCell ref="A1:D1"/>
    <mergeCell ref="A2:D2"/>
    <mergeCell ref="A3:D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24" workbookViewId="0">
      <selection activeCell="G31" sqref="G31"/>
    </sheetView>
  </sheetViews>
  <sheetFormatPr baseColWidth="10" defaultRowHeight="11.25" x14ac:dyDescent="0.25"/>
  <cols>
    <col min="1" max="1" width="22.42578125" style="554" bestFit="1" customWidth="1"/>
    <col min="2" max="6" width="10.5703125" style="553" customWidth="1"/>
    <col min="7" max="16384" width="11.42578125" style="553"/>
  </cols>
  <sheetData>
    <row r="1" spans="1:6" x14ac:dyDescent="0.25">
      <c r="A1" s="658" t="str">
        <f>+EVALUACIÓN!A1</f>
        <v>Redetrans S.A. Desconsolidación de Contenedores en Puerto de Buenaventura</v>
      </c>
      <c r="B1" s="659"/>
      <c r="C1" s="659"/>
      <c r="D1" s="659"/>
      <c r="E1" s="659"/>
      <c r="F1" s="660"/>
    </row>
    <row r="2" spans="1:6" ht="12" thickBot="1" x14ac:dyDescent="0.3">
      <c r="A2" s="661" t="s">
        <v>486</v>
      </c>
      <c r="B2" s="662"/>
      <c r="C2" s="662"/>
      <c r="D2" s="662"/>
      <c r="E2" s="662"/>
      <c r="F2" s="663"/>
    </row>
    <row r="3" spans="1:6" ht="12" thickBot="1" x14ac:dyDescent="0.3">
      <c r="A3" s="560" t="s">
        <v>425</v>
      </c>
      <c r="B3" s="562" t="str">
        <f>+EVALUACIÓN!C4</f>
        <v>Año 1</v>
      </c>
      <c r="C3" s="561" t="str">
        <f>+EVALUACIÓN!D4</f>
        <v>Año 2</v>
      </c>
      <c r="D3" s="562" t="str">
        <f>+EVALUACIÓN!E4</f>
        <v>Año 3</v>
      </c>
      <c r="E3" s="561" t="str">
        <f>+EVALUACIÓN!F4</f>
        <v>Año 4</v>
      </c>
      <c r="F3" s="562" t="str">
        <f>+EVALUACIÓN!G4</f>
        <v>Año 5</v>
      </c>
    </row>
    <row r="4" spans="1:6" ht="12" thickBot="1" x14ac:dyDescent="0.3">
      <c r="A4" s="655" t="s">
        <v>487</v>
      </c>
      <c r="B4" s="656"/>
      <c r="C4" s="656"/>
      <c r="D4" s="656"/>
      <c r="E4" s="656"/>
      <c r="F4" s="657"/>
    </row>
    <row r="5" spans="1:6" x14ac:dyDescent="0.25">
      <c r="A5" s="555" t="s">
        <v>488</v>
      </c>
      <c r="B5" s="563">
        <f>+'ESTADO DE RESULTADOS'!C23/'ESTADO DE RESULTADOS'!C10</f>
        <v>0.69008542285932495</v>
      </c>
      <c r="C5" s="556">
        <f>+'ESTADO DE RESULTADOS'!D23/'ESTADO DE RESULTADOS'!D10</f>
        <v>0.71264023357188666</v>
      </c>
      <c r="D5" s="563">
        <f>+'ESTADO DE RESULTADOS'!E23/'ESTADO DE RESULTADOS'!E10</f>
        <v>0.72436510876518456</v>
      </c>
      <c r="E5" s="556">
        <f>+'ESTADO DE RESULTADOS'!F23/'ESTADO DE RESULTADOS'!F10</f>
        <v>0.73314668976867303</v>
      </c>
      <c r="F5" s="563">
        <f>+'ESTADO DE RESULTADOS'!G23/'ESTADO DE RESULTADOS'!G10</f>
        <v>0.73958592313095517</v>
      </c>
    </row>
    <row r="6" spans="1:6" x14ac:dyDescent="0.25">
      <c r="A6" s="555" t="s">
        <v>489</v>
      </c>
      <c r="B6" s="563">
        <f>+'ESTADO DE RESULTADOS'!C28/'ESTADO DE RESULTADOS'!C10</f>
        <v>0.61768990511077848</v>
      </c>
      <c r="C6" s="556">
        <f>+'ESTADO DE RESULTADOS'!D28/'ESTADO DE RESULTADOS'!D10</f>
        <v>0.64129375947691247</v>
      </c>
      <c r="D6" s="563">
        <f>+'ESTADO DE RESULTADOS'!E28/'ESTADO DE RESULTADOS'!E10</f>
        <v>0.65397885704027214</v>
      </c>
      <c r="E6" s="556">
        <f>+'ESTADO DE RESULTADOS'!F28/'ESTADO DE RESULTADOS'!F10</f>
        <v>0.66363936320558281</v>
      </c>
      <c r="F6" s="563">
        <f>+'ESTADO DE RESULTADOS'!G28/'ESTADO DE RESULTADOS'!G10</f>
        <v>0.67088311088959418</v>
      </c>
    </row>
    <row r="7" spans="1:6" x14ac:dyDescent="0.25">
      <c r="A7" s="555" t="s">
        <v>490</v>
      </c>
      <c r="B7" s="563">
        <f>+'ESTADO DE RESULTADOS'!C35/'ESTADO DE RESULTADOS'!C10</f>
        <v>0.32138098483705857</v>
      </c>
      <c r="C7" s="556">
        <f>+'ESTADO DE RESULTADOS'!D35/'ESTADO DE RESULTADOS'!D10</f>
        <v>0.35420127840059723</v>
      </c>
      <c r="D7" s="563">
        <f>+'ESTADO DE RESULTADOS'!E35/'ESTADO DE RESULTADOS'!E10</f>
        <v>0.37745723053759883</v>
      </c>
      <c r="E7" s="556">
        <f>+'ESTADO DE RESULTADOS'!F35/'ESTADO DE RESULTADOS'!F10</f>
        <v>0.39666644747798707</v>
      </c>
      <c r="F7" s="563">
        <f>+'ESTADO DE RESULTADOS'!G35/'ESTADO DE RESULTADOS'!G10</f>
        <v>0.41249807178351983</v>
      </c>
    </row>
    <row r="8" spans="1:6" x14ac:dyDescent="0.25">
      <c r="A8" s="555" t="s">
        <v>491</v>
      </c>
      <c r="B8" s="563">
        <f>+'ESTADO DE RESULTADOS'!C35/'BALANCE GENERAL'!C34</f>
        <v>0.17991013422205437</v>
      </c>
      <c r="C8" s="556">
        <f>+'ESTADO DE RESULTADOS'!D35/'BALANCE GENERAL'!D34</f>
        <v>0.19048216892168518</v>
      </c>
      <c r="D8" s="563">
        <f>+'ESTADO DE RESULTADOS'!E35/'BALANCE GENERAL'!E34</f>
        <v>0.19391513662682297</v>
      </c>
      <c r="E8" s="556">
        <f>+'ESTADO DE RESULTADOS'!F35/'BALANCE GENERAL'!F34</f>
        <v>0.19409634229717751</v>
      </c>
      <c r="F8" s="563">
        <f>+'ESTADO DE RESULTADOS'!G35/'BALANCE GENERAL'!G34</f>
        <v>0.19219482372033311</v>
      </c>
    </row>
    <row r="9" spans="1:6" ht="12" thickBot="1" x14ac:dyDescent="0.3">
      <c r="A9" s="555" t="s">
        <v>492</v>
      </c>
      <c r="B9" s="563">
        <f>+'ESTADO DE RESULTADOS'!C35/'BALANCE GENERAL'!C32</f>
        <v>0.80884367302254712</v>
      </c>
      <c r="C9" s="556">
        <f>+'ESTADO DE RESULTADOS'!D35/'BALANCE GENERAL'!D32</f>
        <v>0.50538320201909259</v>
      </c>
      <c r="D9" s="563">
        <f>+'ESTADO DE RESULTADOS'!E35/'BALANCE GENERAL'!E32</f>
        <v>0.38168528171325478</v>
      </c>
      <c r="E9" s="556">
        <f>+'ESTADO DE RESULTADOS'!F35/'BALANCE GENERAL'!F32</f>
        <v>0.31495059129557523</v>
      </c>
      <c r="F9" s="563">
        <f>+'ESTADO DE RESULTADOS'!G35/'BALANCE GENERAL'!G32</f>
        <v>0.2729397031634283</v>
      </c>
    </row>
    <row r="10" spans="1:6" ht="12" thickBot="1" x14ac:dyDescent="0.3">
      <c r="A10" s="655" t="s">
        <v>493</v>
      </c>
      <c r="B10" s="656"/>
      <c r="C10" s="656"/>
      <c r="D10" s="656"/>
      <c r="E10" s="656"/>
      <c r="F10" s="657"/>
    </row>
    <row r="11" spans="1:6" x14ac:dyDescent="0.25">
      <c r="A11" s="555" t="s">
        <v>494</v>
      </c>
      <c r="B11" s="564">
        <f>+'BALANCE GENERAL'!C9-'BALANCE GENERAL'!C23</f>
        <v>1951.7372644119307</v>
      </c>
      <c r="C11" s="557">
        <f>+'BALANCE GENERAL'!D9-'BALANCE GENERAL'!D23</f>
        <v>4437.2926309627328</v>
      </c>
      <c r="D11" s="564">
        <f>+'BALANCE GENERAL'!E9-'BALANCE GENERAL'!E23</f>
        <v>7406.3499702440022</v>
      </c>
      <c r="E11" s="557">
        <f>+'BALANCE GENERAL'!F9-'BALANCE GENERAL'!F23</f>
        <v>10926.880802696194</v>
      </c>
      <c r="F11" s="564">
        <f>+'BALANCE GENERAL'!G9-'BALANCE GENERAL'!G23</f>
        <v>16105.589970929061</v>
      </c>
    </row>
    <row r="12" spans="1:6" ht="12" thickBot="1" x14ac:dyDescent="0.3">
      <c r="A12" s="555" t="s">
        <v>495</v>
      </c>
      <c r="B12" s="564">
        <f>+'BALANCE GENERAL'!C9/'BALANCE GENERAL'!C23</f>
        <v>2.0324239832638673</v>
      </c>
      <c r="C12" s="557">
        <f>+'BALANCE GENERAL'!D9/'BALANCE GENERAL'!D23</f>
        <v>2.9530384451601419</v>
      </c>
      <c r="D12" s="564">
        <f>+'BALANCE GENERAL'!E9/'BALANCE GENERAL'!E23</f>
        <v>3.760258313383249</v>
      </c>
      <c r="E12" s="557">
        <f>+'BALANCE GENERAL'!F9/'BALANCE GENERAL'!F23</f>
        <v>4.4725306988358096</v>
      </c>
      <c r="F12" s="564">
        <f>+'BALANCE GENERAL'!G9/'BALANCE GENERAL'!G23</f>
        <v>7.0658383696443403</v>
      </c>
    </row>
    <row r="13" spans="1:6" ht="12" thickBot="1" x14ac:dyDescent="0.3">
      <c r="A13" s="655" t="s">
        <v>496</v>
      </c>
      <c r="B13" s="656"/>
      <c r="C13" s="656"/>
      <c r="D13" s="656"/>
      <c r="E13" s="656"/>
      <c r="F13" s="657"/>
    </row>
    <row r="14" spans="1:6" ht="12" thickBot="1" x14ac:dyDescent="0.3">
      <c r="A14" s="555" t="s">
        <v>497</v>
      </c>
      <c r="B14" s="563">
        <f>+'BALANCE GENERAL'!C26/'BALANCE GENERAL'!C16</f>
        <v>0.77756898770558136</v>
      </c>
      <c r="C14" s="556">
        <f>+'BALANCE GENERAL'!D26/'BALANCE GENERAL'!D16</f>
        <v>0.62309506917843605</v>
      </c>
      <c r="D14" s="563">
        <f>+'BALANCE GENERAL'!E26/'BALANCE GENERAL'!E16</f>
        <v>0.49195018535584017</v>
      </c>
      <c r="E14" s="556">
        <f>+'BALANCE GENERAL'!F26/'BALANCE GENERAL'!F16</f>
        <v>0.38372447088050782</v>
      </c>
      <c r="F14" s="563">
        <f>+'BALANCE GENERAL'!G26/'BALANCE GENERAL'!G16</f>
        <v>0.29583412932323561</v>
      </c>
    </row>
    <row r="15" spans="1:6" ht="12" thickBot="1" x14ac:dyDescent="0.3">
      <c r="A15" s="655" t="s">
        <v>498</v>
      </c>
      <c r="B15" s="656"/>
      <c r="C15" s="656"/>
      <c r="D15" s="656"/>
      <c r="E15" s="656"/>
      <c r="F15" s="657"/>
    </row>
    <row r="16" spans="1:6" x14ac:dyDescent="0.25">
      <c r="A16" s="555" t="s">
        <v>499</v>
      </c>
      <c r="B16" s="564">
        <f>+'ESTADO DE RESULTADOS'!C28/'ESTADO DE RESULTADOS'!C31</f>
        <v>4.7242412208003994</v>
      </c>
      <c r="C16" s="557">
        <f>+'ESTADO DE RESULTADOS'!D28/'ESTADO DE RESULTADOS'!D31</f>
        <v>6.1294413788955842</v>
      </c>
      <c r="D16" s="564">
        <f>+'ESTADO DE RESULTADOS'!E28/'ESTADO DE RESULTADOS'!E31</f>
        <v>7.968164796999945</v>
      </c>
      <c r="E16" s="557">
        <f>+'ESTADO DE RESULTADOS'!F28/'ESTADO DE RESULTADOS'!F31</f>
        <v>10.596258376376515</v>
      </c>
      <c r="F16" s="564">
        <f>+'ESTADO DE RESULTADOS'!G28/'ESTADO DE RESULTADOS'!G31</f>
        <v>14.620638903945267</v>
      </c>
    </row>
    <row r="17" spans="1:6" ht="12" thickBot="1" x14ac:dyDescent="0.3">
      <c r="A17" s="555" t="s">
        <v>358</v>
      </c>
      <c r="B17" s="564">
        <f>+'ESTADO DE RESULTADOS'!C28+'ESTADO DE RESULTADOS'!C21</f>
        <v>4724.1158187259216</v>
      </c>
      <c r="C17" s="564">
        <f>+'ESTADO DE RESULTADOS'!D28+'ESTADO DE RESULTADOS'!D21</f>
        <v>5426.1876962258666</v>
      </c>
      <c r="D17" s="564">
        <f>+'ESTADO DE RESULTADOS'!E28+'ESTADO DE RESULTADOS'!E21</f>
        <v>6223.8329622438368</v>
      </c>
      <c r="E17" s="564">
        <f>+'ESTADO DE RESULTADOS'!F28+'ESTADO DE RESULTADOS'!F21</f>
        <v>7136.448556973236</v>
      </c>
      <c r="F17" s="564">
        <f>+'ESTADO DE RESULTADOS'!G28+'ESTADO DE RESULTADOS'!G21</f>
        <v>8180.4837889008913</v>
      </c>
    </row>
    <row r="18" spans="1:6" ht="12" thickBot="1" x14ac:dyDescent="0.3">
      <c r="A18" s="655" t="s">
        <v>500</v>
      </c>
      <c r="B18" s="656"/>
      <c r="C18" s="656"/>
      <c r="D18" s="656"/>
      <c r="E18" s="656"/>
      <c r="F18" s="657"/>
    </row>
    <row r="19" spans="1:6" x14ac:dyDescent="0.25">
      <c r="A19" s="555" t="s">
        <v>501</v>
      </c>
      <c r="B19" s="564">
        <f>+'ESTADO DE RESULTADOS'!C10/'BALANCE GENERAL'!C34</f>
        <v>0.55980329487530045</v>
      </c>
      <c r="C19" s="557">
        <f>+'ESTADO DE RESULTADOS'!D10/'BALANCE GENERAL'!D34</f>
        <v>0.53777945066096633</v>
      </c>
      <c r="D19" s="564">
        <f>+'ESTADO DE RESULTADOS'!E10/'BALANCE GENERAL'!E34</f>
        <v>0.51374068619810676</v>
      </c>
      <c r="E19" s="557">
        <f>+'ESTADO DE RESULTADOS'!F10/'BALANCE GENERAL'!F34</f>
        <v>0.48931878037894511</v>
      </c>
      <c r="F19" s="564">
        <f>+'ESTADO DE RESULTADOS'!G10/'BALANCE GENERAL'!G34</f>
        <v>0.46592902335116249</v>
      </c>
    </row>
    <row r="20" spans="1:6" x14ac:dyDescent="0.25">
      <c r="A20" s="555" t="s">
        <v>502</v>
      </c>
      <c r="B20" s="564">
        <f>+'ESTADO DE RESULTADOS'!C10/B11</f>
        <v>3.3729071694725197</v>
      </c>
      <c r="C20" s="557">
        <f>+'ESTADO DE RESULTADOS'!D10/C11</f>
        <v>1.7004547259273879</v>
      </c>
      <c r="D20" s="564">
        <f>+'ESTADO DE RESULTADOS'!E10/D11</f>
        <v>1.1677135387629582</v>
      </c>
      <c r="E20" s="557">
        <f>+'ESTADO DE RESULTADOS'!F10/E11</f>
        <v>0.9071972835793688</v>
      </c>
      <c r="F20" s="564">
        <f>+'ESTADO DE RESULTADOS'!G10/F11</f>
        <v>0.70547025919560702</v>
      </c>
    </row>
    <row r="21" spans="1:6" ht="12" thickBot="1" x14ac:dyDescent="0.3">
      <c r="A21" s="555" t="s">
        <v>503</v>
      </c>
      <c r="B21" s="564">
        <f>+'BALANCE GENERAL'!C8/'ESTADO DE RESULTADOS'!C10*360</f>
        <v>45.475768857249314</v>
      </c>
      <c r="C21" s="557">
        <f>+'BALANCE GENERAL'!D8/'ESTADO DE RESULTADOS'!D10*360</f>
        <v>85.085837364513395</v>
      </c>
      <c r="D21" s="564">
        <f>+'BALANCE GENERAL'!E8/'ESTADO DE RESULTADOS'!E10*360</f>
        <v>119.59563342815666</v>
      </c>
      <c r="E21" s="557">
        <f>+'BALANCE GENERAL'!F8/'ESTADO DE RESULTADOS'!F10*360</f>
        <v>149.41433640682814</v>
      </c>
      <c r="F21" s="564">
        <f>+'BALANCE GENERAL'!G8/'ESTADO DE RESULTADOS'!G10*360</f>
        <v>175.42052266999644</v>
      </c>
    </row>
    <row r="22" spans="1:6" ht="12" thickBot="1" x14ac:dyDescent="0.3">
      <c r="A22" s="655" t="s">
        <v>504</v>
      </c>
      <c r="B22" s="656"/>
      <c r="C22" s="656"/>
      <c r="D22" s="656"/>
      <c r="E22" s="656"/>
      <c r="F22" s="657"/>
    </row>
    <row r="23" spans="1:6" x14ac:dyDescent="0.25">
      <c r="A23" s="555" t="s">
        <v>505</v>
      </c>
      <c r="B23" s="564"/>
      <c r="C23" s="556">
        <f>('ESTADO DE RESULTADOS'!D10/('ESTADO DE RESULTADOS'!C10*(1+'ESTADO DE RESULTADOS'!C1)))-1</f>
        <v>0.10250000000000004</v>
      </c>
      <c r="D23" s="563">
        <f>('ESTADO DE RESULTADOS'!E10/('ESTADO DE RESULTADOS'!D10*(1+'ESTADO DE RESULTADOS'!D1)))-1</f>
        <v>0.10249999999999981</v>
      </c>
      <c r="E23" s="556">
        <f>('ESTADO DE RESULTADOS'!F10/('ESTADO DE RESULTADOS'!E10*(1+'ESTADO DE RESULTADOS'!E1)))-1</f>
        <v>0.10250000000000026</v>
      </c>
      <c r="F23" s="563">
        <f>('ESTADO DE RESULTADOS'!G10/('ESTADO DE RESULTADOS'!F10*(1+'ESTADO DE RESULTADOS'!F1)))-1</f>
        <v>0.10250000000000004</v>
      </c>
    </row>
    <row r="24" spans="1:6" x14ac:dyDescent="0.25">
      <c r="A24" s="555" t="s">
        <v>494</v>
      </c>
      <c r="B24" s="564"/>
      <c r="C24" s="556">
        <f>(C11/(B11*(1+'ESTADO DE RESULTADOS'!C1)))-1</f>
        <v>1.1868445526036573</v>
      </c>
      <c r="D24" s="563">
        <f>(D11/(C11*(1+'ESTADO DE RESULTADOS'!D1)))-1</f>
        <v>0.60548908024223302</v>
      </c>
      <c r="E24" s="556">
        <f>(E11/(D11*(1+'ESTADO DE RESULTADOS'!E1)))-1</f>
        <v>0.41910056366866222</v>
      </c>
      <c r="F24" s="563">
        <f>(F11/(E11*(1+'ESTADO DE RESULTADOS'!F1)))-1</f>
        <v>0.41775644275449331</v>
      </c>
    </row>
    <row r="25" spans="1:6" x14ac:dyDescent="0.25">
      <c r="A25" s="555" t="s">
        <v>1</v>
      </c>
      <c r="B25" s="564"/>
      <c r="C25" s="556">
        <f>+('BALANCE GENERAL'!D16/('BALANCE GENERAL'!C16*(1+'ESTADO DE RESULTADOS'!C1)))-1</f>
        <v>0.14764503576142562</v>
      </c>
      <c r="D25" s="563">
        <f>+('BALANCE GENERAL'!E16/('BALANCE GENERAL'!D16*(1+'ESTADO DE RESULTADOS'!D1)))-1</f>
        <v>0.1540905146686351</v>
      </c>
      <c r="E25" s="556">
        <f>+('BALANCE GENERAL'!F16/('BALANCE GENERAL'!E16*(1+'ESTADO DE RESULTADOS'!E1)))-1</f>
        <v>0.15752578737070788</v>
      </c>
      <c r="F25" s="563">
        <f>+('BALANCE GENERAL'!G16/('BALANCE GENERAL'!F16*(1+'ESTADO DE RESULTADOS'!F1)))-1</f>
        <v>0.15784578408028294</v>
      </c>
    </row>
    <row r="26" spans="1:6" x14ac:dyDescent="0.25">
      <c r="A26" s="555" t="s">
        <v>2</v>
      </c>
      <c r="B26" s="564"/>
      <c r="C26" s="556">
        <f>+('BALANCE GENERAL'!D26/('BALANCE GENERAL'!C26*(1+'ESTADO DE RESULTADOS'!C1)))-1</f>
        <v>-8.0349172540795322E-2</v>
      </c>
      <c r="D26" s="563">
        <f>+('BALANCE GENERAL'!E26/('BALANCE GENERAL'!D26*(1+'ESTADO DE RESULTADOS'!D1)))-1</f>
        <v>-8.8814740008697157E-2</v>
      </c>
      <c r="E26" s="556">
        <f>+('BALANCE GENERAL'!F26/('BALANCE GENERAL'!E26*(1+'ESTADO DE RESULTADOS'!E1)))-1</f>
        <v>-9.7122059283120454E-2</v>
      </c>
      <c r="F26" s="563">
        <f>+('BALANCE GENERAL'!G26/('BALANCE GENERAL'!F26*(1+'ESTADO DE RESULTADOS'!F1)))-1</f>
        <v>-0.10735351686592398</v>
      </c>
    </row>
    <row r="27" spans="1:6" ht="12" thickBot="1" x14ac:dyDescent="0.3">
      <c r="A27" s="558" t="s">
        <v>3</v>
      </c>
      <c r="B27" s="565"/>
      <c r="C27" s="559">
        <f>+('BALANCE GENERAL'!D32/('BALANCE GENERAL'!C32*(1+'ESTADO DE RESULTADOS'!C1)))-1</f>
        <v>0.94469875065044362</v>
      </c>
      <c r="D27" s="566">
        <f>+('BALANCE GENERAL'!E32/('BALANCE GENERAL'!D32*(1+'ESTADO DE RESULTADOS'!D1)))-1</f>
        <v>0.55564899336282414</v>
      </c>
      <c r="E27" s="559">
        <f>+('BALANCE GENERAL'!F32/('BALANCE GENERAL'!E32*(1+'ESTADO DE RESULTADOS'!E1)))-1</f>
        <v>0.40410407900842604</v>
      </c>
      <c r="F27" s="566">
        <f>+('BALANCE GENERAL'!G32/('BALANCE GENERAL'!F32*(1+'ESTADO DE RESULTADOS'!F1)))-1</f>
        <v>0.32297234943143138</v>
      </c>
    </row>
    <row r="28" spans="1:6" ht="12" thickBot="1" x14ac:dyDescent="0.3">
      <c r="A28" s="655" t="s">
        <v>506</v>
      </c>
      <c r="B28" s="656"/>
      <c r="C28" s="656"/>
      <c r="D28" s="656"/>
      <c r="E28" s="656"/>
      <c r="F28" s="657"/>
    </row>
    <row r="29" spans="1:6" ht="12" thickBot="1" x14ac:dyDescent="0.3">
      <c r="A29" s="567" t="s">
        <v>507</v>
      </c>
      <c r="B29" s="569">
        <f>+(6.56*(B11/'BALANCE GENERAL'!C16))+(3.26*(('BALANCE GENERAL'!C29+'BALANCE GENERAL'!C30)/'BALANCE GENERAL'!C16))+(6.72*('ESTADO DE RESULTADOS'!C28/'BALANCE GENERAL'!C16))+(1.05*('BALANCE GENERAL'!C32/'BALANCE GENERAL'!C26))</f>
        <v>4.2992954037759645</v>
      </c>
      <c r="C29" s="568">
        <f>+(6.56*(C11/'BALANCE GENERAL'!D16))+(3.26*(('BALANCE GENERAL'!D29+'BALANCE GENERAL'!D30)/'BALANCE GENERAL'!D16))+(6.72*('ESTADO DE RESULTADOS'!D28/'BALANCE GENERAL'!D16))+(1.05*('BALANCE GENERAL'!D32/'BALANCE GENERAL'!D26))</f>
        <v>6.0907355484212351</v>
      </c>
      <c r="D29" s="569">
        <f>+(6.56*(D11/'BALANCE GENERAL'!E16))+(3.26*(('BALANCE GENERAL'!E29+'BALANCE GENERAL'!E30)/'BALANCE GENERAL'!E16))+(6.72*('ESTADO DE RESULTADOS'!E28/'BALANCE GENERAL'!E16))+(1.05*('BALANCE GENERAL'!E32/'BALANCE GENERAL'!E26))</f>
        <v>7.6949101379963967</v>
      </c>
      <c r="E29" s="568">
        <f>+(6.56*(E11/'BALANCE GENERAL'!F16))+(3.26*(('BALANCE GENERAL'!F29+'BALANCE GENERAL'!F30)/'BALANCE GENERAL'!F16))+(6.72*('ESTADO DE RESULTADOS'!F28/'BALANCE GENERAL'!F16))+(1.05*('BALANCE GENERAL'!F32/'BALANCE GENERAL'!F26))</f>
        <v>9.2058401794986207</v>
      </c>
      <c r="F29" s="569">
        <f>+(6.56*(F11/'BALANCE GENERAL'!G16))+(3.26*(('BALANCE GENERAL'!G29+'BALANCE GENERAL'!G30)/'BALANCE GENERAL'!G16))+(6.72*('ESTADO DE RESULTADOS'!G28/'BALANCE GENERAL'!G16))+(1.05*('BALANCE GENERAL'!G32/'BALANCE GENERAL'!G26))</f>
        <v>11.000933208453288</v>
      </c>
    </row>
    <row r="32" spans="1:6" x14ac:dyDescent="0.25">
      <c r="A32" s="554" t="s">
        <v>519</v>
      </c>
      <c r="B32" s="553">
        <f>+'ESTADO DE RESULTADOS'!C10</f>
        <v>6583.0286120616838</v>
      </c>
      <c r="C32" s="553">
        <f>+'ESTADO DE RESULTADOS'!D10</f>
        <v>7545.4152246433514</v>
      </c>
      <c r="D32" s="553">
        <f>+'ESTADO DE RESULTADOS'!E10</f>
        <v>8648.4951330705535</v>
      </c>
      <c r="E32" s="553">
        <f>+'ESTADO DE RESULTADOS'!F10</f>
        <v>9912.8365822015403</v>
      </c>
      <c r="F32" s="553">
        <f>+'ESTADO DE RESULTADOS'!G10</f>
        <v>11362.014731289493</v>
      </c>
    </row>
    <row r="33" spans="1:6" x14ac:dyDescent="0.25">
      <c r="A33" s="554" t="s">
        <v>29</v>
      </c>
      <c r="B33" s="553">
        <f>+'ESTADO DE RESULTADOS'!C35</f>
        <v>2115.6602185549186</v>
      </c>
      <c r="C33" s="553">
        <f>+'ESTADO DE RESULTADOS'!D35</f>
        <v>2672.5957186320047</v>
      </c>
      <c r="D33" s="553">
        <f>+'ESTADO DE RESULTADOS'!E35</f>
        <v>3264.4370212467134</v>
      </c>
      <c r="E33" s="553">
        <f>+'ESTADO DE RESULTADOS'!F35</f>
        <v>3932.0896714917162</v>
      </c>
      <c r="F33" s="553">
        <f>+'ESTADO DE RESULTADOS'!G35</f>
        <v>4686.8091682328632</v>
      </c>
    </row>
    <row r="34" spans="1:6" x14ac:dyDescent="0.25">
      <c r="A34" s="554" t="s">
        <v>520</v>
      </c>
      <c r="B34" s="553">
        <f>+'FLUJO DE CAJA'!C51</f>
        <v>2510.60030496331</v>
      </c>
      <c r="C34" s="553">
        <f>+'FLUJO DE CAJA'!D51</f>
        <v>1915.3313593502799</v>
      </c>
      <c r="D34" s="553">
        <f>+'FLUJO DE CAJA'!E51</f>
        <v>2290.509942479202</v>
      </c>
      <c r="E34" s="553">
        <f>+'FLUJO DE CAJA'!F51</f>
        <v>2742.8793696405933</v>
      </c>
      <c r="F34" s="553">
        <f>+'FLUJO DE CAJA'!G51</f>
        <v>3264.9252981987256</v>
      </c>
    </row>
  </sheetData>
  <mergeCells count="9">
    <mergeCell ref="A18:F18"/>
    <mergeCell ref="A22:F22"/>
    <mergeCell ref="A28:F28"/>
    <mergeCell ref="A1:F1"/>
    <mergeCell ref="A2:F2"/>
    <mergeCell ref="A4:F4"/>
    <mergeCell ref="A10:F10"/>
    <mergeCell ref="A13:F13"/>
    <mergeCell ref="A15:F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2"/>
  <sheetViews>
    <sheetView topLeftCell="A100" workbookViewId="0">
      <selection activeCell="B105" sqref="B105"/>
    </sheetView>
  </sheetViews>
  <sheetFormatPr baseColWidth="10" defaultRowHeight="11.25" x14ac:dyDescent="0.2"/>
  <cols>
    <col min="1" max="1" width="72" style="3" bestFit="1" customWidth="1"/>
    <col min="2" max="2" width="13.140625" style="5" customWidth="1"/>
    <col min="3" max="3" width="17.85546875" style="3" bestFit="1" customWidth="1"/>
    <col min="4" max="8" width="11.42578125" style="5"/>
    <col min="9" max="16384" width="11.42578125" style="3"/>
  </cols>
  <sheetData>
    <row r="1" spans="1:14" x14ac:dyDescent="0.2">
      <c r="A1" s="619" t="s">
        <v>461</v>
      </c>
      <c r="B1" s="619"/>
      <c r="C1" s="619"/>
      <c r="D1" s="619"/>
      <c r="E1" s="619"/>
      <c r="F1" s="619"/>
      <c r="G1" s="619"/>
      <c r="H1" s="619"/>
    </row>
    <row r="2" spans="1:14" ht="12" thickBot="1" x14ac:dyDescent="0.25"/>
    <row r="3" spans="1:14" x14ac:dyDescent="0.2">
      <c r="A3" s="617" t="s">
        <v>464</v>
      </c>
      <c r="B3" s="618"/>
      <c r="C3" s="33"/>
      <c r="D3" s="618" t="s">
        <v>462</v>
      </c>
      <c r="E3" s="618"/>
      <c r="F3" s="618"/>
      <c r="G3" s="618"/>
      <c r="H3" s="620"/>
    </row>
    <row r="4" spans="1:14" x14ac:dyDescent="0.2">
      <c r="A4" s="34" t="s">
        <v>11</v>
      </c>
      <c r="B4" s="67"/>
      <c r="C4" s="20"/>
      <c r="D4" s="65" t="s">
        <v>6</v>
      </c>
      <c r="E4" s="65" t="s">
        <v>7</v>
      </c>
      <c r="F4" s="65" t="s">
        <v>8</v>
      </c>
      <c r="G4" s="65" t="s">
        <v>9</v>
      </c>
      <c r="H4" s="66" t="s">
        <v>10</v>
      </c>
    </row>
    <row r="5" spans="1:14" x14ac:dyDescent="0.2">
      <c r="A5" s="19" t="s">
        <v>194</v>
      </c>
      <c r="B5" s="98">
        <f>+NECESIDADES!E36</f>
        <v>7500</v>
      </c>
      <c r="C5" s="20"/>
      <c r="D5" s="67">
        <f>+B5/20</f>
        <v>375</v>
      </c>
      <c r="E5" s="67">
        <f>+D5</f>
        <v>375</v>
      </c>
      <c r="F5" s="67">
        <f>+E5</f>
        <v>375</v>
      </c>
      <c r="G5" s="67">
        <f>+F5</f>
        <v>375</v>
      </c>
      <c r="H5" s="68">
        <f>+G5</f>
        <v>375</v>
      </c>
    </row>
    <row r="6" spans="1:14" x14ac:dyDescent="0.2">
      <c r="A6" s="19" t="s">
        <v>196</v>
      </c>
      <c r="B6" s="98">
        <f>+NECESIDADES!E7</f>
        <v>540</v>
      </c>
      <c r="C6" s="20"/>
      <c r="D6" s="67">
        <f>+B6/5</f>
        <v>108</v>
      </c>
      <c r="E6" s="67">
        <f>+D6</f>
        <v>108</v>
      </c>
      <c r="F6" s="67">
        <f t="shared" ref="F6:H6" si="0">+E6</f>
        <v>108</v>
      </c>
      <c r="G6" s="67">
        <f t="shared" si="0"/>
        <v>108</v>
      </c>
      <c r="H6" s="68">
        <f t="shared" si="0"/>
        <v>108</v>
      </c>
    </row>
    <row r="7" spans="1:14" x14ac:dyDescent="0.2">
      <c r="A7" s="19" t="s">
        <v>197</v>
      </c>
      <c r="B7" s="98">
        <f>+NECESIDADES!E8</f>
        <v>24</v>
      </c>
      <c r="C7" s="20"/>
      <c r="D7" s="105">
        <f>+B7/1</f>
        <v>24</v>
      </c>
      <c r="E7" s="105">
        <v>0</v>
      </c>
      <c r="F7" s="105">
        <v>0</v>
      </c>
      <c r="G7" s="105">
        <v>0</v>
      </c>
      <c r="H7" s="108">
        <v>0</v>
      </c>
    </row>
    <row r="8" spans="1:14" x14ac:dyDescent="0.2">
      <c r="A8" s="19" t="s">
        <v>35</v>
      </c>
      <c r="B8" s="98">
        <f>+NECESIDADES!E21</f>
        <v>2.7</v>
      </c>
      <c r="C8" s="20"/>
      <c r="D8" s="67">
        <f>+B8</f>
        <v>2.7</v>
      </c>
      <c r="E8" s="67">
        <v>0</v>
      </c>
      <c r="F8" s="67">
        <v>0</v>
      </c>
      <c r="G8" s="67">
        <v>0</v>
      </c>
      <c r="H8" s="68">
        <v>0</v>
      </c>
    </row>
    <row r="9" spans="1:14" x14ac:dyDescent="0.2">
      <c r="A9" s="19" t="s">
        <v>165</v>
      </c>
      <c r="B9" s="98">
        <f>+NECESIDADES!E10</f>
        <v>18.52</v>
      </c>
      <c r="C9" s="20"/>
      <c r="D9" s="67">
        <f>+B9/2</f>
        <v>9.26</v>
      </c>
      <c r="E9" s="67">
        <f>+D9</f>
        <v>9.26</v>
      </c>
      <c r="F9" s="67">
        <v>0</v>
      </c>
      <c r="G9" s="67">
        <f t="shared" ref="G9:H9" si="1">+F9</f>
        <v>0</v>
      </c>
      <c r="H9" s="68">
        <f t="shared" si="1"/>
        <v>0</v>
      </c>
      <c r="J9" s="1"/>
      <c r="K9" s="55"/>
      <c r="L9" s="70"/>
      <c r="M9" s="71"/>
      <c r="N9" s="51"/>
    </row>
    <row r="10" spans="1:14" x14ac:dyDescent="0.2">
      <c r="A10" s="19" t="s">
        <v>38</v>
      </c>
      <c r="B10" s="98">
        <f>+NECESIDADES!E12</f>
        <v>13.1</v>
      </c>
      <c r="C10" s="20"/>
      <c r="D10" s="67">
        <f>+B10</f>
        <v>13.1</v>
      </c>
      <c r="E10" s="67">
        <v>0</v>
      </c>
      <c r="F10" s="67">
        <f t="shared" ref="F10:H10" si="2">+E10</f>
        <v>0</v>
      </c>
      <c r="G10" s="67">
        <f t="shared" si="2"/>
        <v>0</v>
      </c>
      <c r="H10" s="68">
        <f t="shared" si="2"/>
        <v>0</v>
      </c>
      <c r="J10" s="1"/>
      <c r="K10" s="55"/>
      <c r="L10" s="70"/>
      <c r="M10" s="71"/>
      <c r="N10" s="51"/>
    </row>
    <row r="11" spans="1:14" x14ac:dyDescent="0.2">
      <c r="A11" s="19" t="s">
        <v>37</v>
      </c>
      <c r="B11" s="98">
        <f>+NECESIDADES!E11</f>
        <v>2.4</v>
      </c>
      <c r="C11" s="20"/>
      <c r="D11" s="67">
        <f>+B11</f>
        <v>2.4</v>
      </c>
      <c r="E11" s="67">
        <v>0</v>
      </c>
      <c r="F11" s="67">
        <v>0</v>
      </c>
      <c r="G11" s="67">
        <v>0</v>
      </c>
      <c r="H11" s="68">
        <v>0</v>
      </c>
      <c r="J11" s="1"/>
      <c r="K11" s="55"/>
      <c r="L11" s="70"/>
      <c r="M11" s="71"/>
      <c r="N11" s="51"/>
    </row>
    <row r="12" spans="1:14" x14ac:dyDescent="0.2">
      <c r="A12" s="19" t="s">
        <v>36</v>
      </c>
      <c r="B12" s="98">
        <f>+NECESIDADES!E9</f>
        <v>352</v>
      </c>
      <c r="C12" s="20"/>
      <c r="D12" s="67">
        <f>+B12/5</f>
        <v>70.400000000000006</v>
      </c>
      <c r="E12" s="67">
        <f>+D12</f>
        <v>70.400000000000006</v>
      </c>
      <c r="F12" s="67">
        <f t="shared" ref="F12:H12" si="3">+E12</f>
        <v>70.400000000000006</v>
      </c>
      <c r="G12" s="67">
        <f t="shared" si="3"/>
        <v>70.400000000000006</v>
      </c>
      <c r="H12" s="68">
        <f t="shared" si="3"/>
        <v>70.400000000000006</v>
      </c>
      <c r="J12" s="1"/>
      <c r="K12" s="55"/>
      <c r="L12" s="70"/>
      <c r="M12" s="71"/>
      <c r="N12" s="51"/>
    </row>
    <row r="13" spans="1:14" x14ac:dyDescent="0.2">
      <c r="A13" s="19" t="s">
        <v>51</v>
      </c>
      <c r="B13" s="98">
        <f>+NECESIDADES!E17</f>
        <v>6.2614999999999998</v>
      </c>
      <c r="C13" s="20"/>
      <c r="D13" s="67">
        <f>+B13</f>
        <v>6.2614999999999998</v>
      </c>
      <c r="E13" s="67">
        <v>0</v>
      </c>
      <c r="F13" s="67">
        <v>0</v>
      </c>
      <c r="G13" s="67">
        <v>0</v>
      </c>
      <c r="H13" s="68">
        <v>0</v>
      </c>
      <c r="J13" s="1"/>
      <c r="K13" s="55"/>
      <c r="L13" s="70"/>
      <c r="M13" s="71"/>
      <c r="N13" s="51"/>
    </row>
    <row r="14" spans="1:14" x14ac:dyDescent="0.2">
      <c r="A14" s="19" t="s">
        <v>166</v>
      </c>
      <c r="B14" s="98">
        <f>+NECESIDADES!E13+NECESIDADES!E15</f>
        <v>2.85</v>
      </c>
      <c r="C14" s="20"/>
      <c r="D14" s="67">
        <f>+B14</f>
        <v>2.85</v>
      </c>
      <c r="E14" s="67">
        <v>0</v>
      </c>
      <c r="F14" s="67">
        <v>0</v>
      </c>
      <c r="G14" s="67">
        <v>0</v>
      </c>
      <c r="H14" s="68">
        <v>0</v>
      </c>
      <c r="J14" s="1"/>
      <c r="K14" s="55"/>
      <c r="L14" s="70"/>
      <c r="M14" s="71"/>
      <c r="N14" s="51"/>
    </row>
    <row r="15" spans="1:14" x14ac:dyDescent="0.2">
      <c r="A15" s="14" t="s">
        <v>167</v>
      </c>
      <c r="B15" s="98">
        <f>+NECESIDADES!E14</f>
        <v>2.7</v>
      </c>
      <c r="C15" s="20"/>
      <c r="D15" s="67">
        <f>+B15</f>
        <v>2.7</v>
      </c>
      <c r="E15" s="67">
        <v>0</v>
      </c>
      <c r="F15" s="67">
        <v>0</v>
      </c>
      <c r="G15" s="67">
        <v>0</v>
      </c>
      <c r="H15" s="68">
        <v>0</v>
      </c>
      <c r="J15" s="1"/>
      <c r="K15" s="55"/>
      <c r="L15" s="70"/>
      <c r="M15" s="71"/>
      <c r="N15" s="51"/>
    </row>
    <row r="16" spans="1:14" x14ac:dyDescent="0.2">
      <c r="A16" s="14" t="s">
        <v>198</v>
      </c>
      <c r="B16" s="98">
        <f>+NECESIDADES!E20</f>
        <v>4.5</v>
      </c>
      <c r="C16" s="20"/>
      <c r="D16" s="67">
        <f>+B16</f>
        <v>4.5</v>
      </c>
      <c r="E16" s="67">
        <v>0</v>
      </c>
      <c r="F16" s="67">
        <v>0</v>
      </c>
      <c r="G16" s="67">
        <v>0</v>
      </c>
      <c r="H16" s="68">
        <v>0</v>
      </c>
    </row>
    <row r="17" spans="1:8" x14ac:dyDescent="0.2">
      <c r="A17" s="14" t="s">
        <v>199</v>
      </c>
      <c r="B17" s="98">
        <f>+NECESIDADES!E25+NECESIDADES!E26+NECESIDADES!E27+NECESIDADES!E28+NECESIDADES!E32</f>
        <v>6.85</v>
      </c>
      <c r="C17" s="20"/>
      <c r="D17" s="105">
        <f>+B17</f>
        <v>6.85</v>
      </c>
      <c r="E17" s="105">
        <v>0</v>
      </c>
      <c r="F17" s="105">
        <v>0</v>
      </c>
      <c r="G17" s="105">
        <v>0</v>
      </c>
      <c r="H17" s="108">
        <v>0</v>
      </c>
    </row>
    <row r="18" spans="1:8" ht="12" thickBot="1" x14ac:dyDescent="0.25">
      <c r="A18" s="30" t="s">
        <v>12</v>
      </c>
      <c r="B18" s="17">
        <f>SUM(B5:B17)</f>
        <v>8475.8815000000031</v>
      </c>
      <c r="C18" s="39"/>
      <c r="D18" s="17">
        <f>SUM(D5:D17)</f>
        <v>628.02150000000006</v>
      </c>
      <c r="E18" s="17">
        <f>SUM(E5:E17)</f>
        <v>562.66</v>
      </c>
      <c r="F18" s="17">
        <f>SUM(F5:F17)</f>
        <v>553.4</v>
      </c>
      <c r="G18" s="17">
        <f>SUM(G5:G17)</f>
        <v>553.4</v>
      </c>
      <c r="H18" s="18">
        <f>SUM(H5:H17)</f>
        <v>553.4</v>
      </c>
    </row>
    <row r="19" spans="1:8" ht="12" thickBot="1" x14ac:dyDescent="0.25"/>
    <row r="20" spans="1:8" x14ac:dyDescent="0.2">
      <c r="A20" s="617" t="s">
        <v>463</v>
      </c>
      <c r="B20" s="618"/>
      <c r="C20" s="33"/>
      <c r="D20" s="60" t="str">
        <f>+D4</f>
        <v>Año 1</v>
      </c>
      <c r="E20" s="60" t="str">
        <f>+E4</f>
        <v>Año 2</v>
      </c>
      <c r="F20" s="60" t="str">
        <f>+F4</f>
        <v>Año 3</v>
      </c>
      <c r="G20" s="60" t="str">
        <f>+G4</f>
        <v>Año 4</v>
      </c>
      <c r="H20" s="61" t="str">
        <f>+H4</f>
        <v>Año 5</v>
      </c>
    </row>
    <row r="21" spans="1:8" x14ac:dyDescent="0.2">
      <c r="A21" s="19" t="s">
        <v>5</v>
      </c>
      <c r="B21" s="98">
        <f>+NECESIDADES!E24</f>
        <v>1.8</v>
      </c>
      <c r="C21" s="20"/>
      <c r="D21" s="67">
        <f>+B21</f>
        <v>1.8</v>
      </c>
      <c r="E21" s="67">
        <v>0</v>
      </c>
      <c r="F21" s="67">
        <v>0</v>
      </c>
      <c r="G21" s="67">
        <v>0</v>
      </c>
      <c r="H21" s="68">
        <v>0</v>
      </c>
    </row>
    <row r="22" spans="1:8" x14ac:dyDescent="0.2">
      <c r="A22" s="19" t="s">
        <v>39</v>
      </c>
      <c r="B22" s="98">
        <f>+NECESIDADES!E16</f>
        <v>3.3239999999999998</v>
      </c>
      <c r="C22" s="20"/>
      <c r="D22" s="67">
        <f>+B22</f>
        <v>3.3239999999999998</v>
      </c>
      <c r="E22" s="67">
        <v>0</v>
      </c>
      <c r="F22" s="67">
        <v>0</v>
      </c>
      <c r="G22" s="67">
        <v>0</v>
      </c>
      <c r="H22" s="68">
        <v>0</v>
      </c>
    </row>
    <row r="23" spans="1:8" x14ac:dyDescent="0.2">
      <c r="A23" s="19" t="s">
        <v>169</v>
      </c>
      <c r="B23" s="98">
        <f>+NECESIDADES!E23</f>
        <v>14.4</v>
      </c>
      <c r="C23" s="20"/>
      <c r="D23" s="67">
        <f>+B23/2</f>
        <v>7.2</v>
      </c>
      <c r="E23" s="67">
        <f>+D23</f>
        <v>7.2</v>
      </c>
      <c r="F23" s="67">
        <v>0</v>
      </c>
      <c r="G23" s="67">
        <v>0</v>
      </c>
      <c r="H23" s="68">
        <v>0</v>
      </c>
    </row>
    <row r="24" spans="1:8" x14ac:dyDescent="0.2">
      <c r="A24" s="19" t="s">
        <v>170</v>
      </c>
      <c r="B24" s="98">
        <f>+NECESIDADES!E22</f>
        <v>6</v>
      </c>
      <c r="C24" s="20"/>
      <c r="D24" s="67">
        <f>+B24/2</f>
        <v>3</v>
      </c>
      <c r="E24" s="67">
        <f>+D24</f>
        <v>3</v>
      </c>
      <c r="F24" s="67">
        <v>0</v>
      </c>
      <c r="G24" s="67">
        <f t="shared" ref="F24:H26" si="4">+F24</f>
        <v>0</v>
      </c>
      <c r="H24" s="68">
        <f t="shared" si="4"/>
        <v>0</v>
      </c>
    </row>
    <row r="25" spans="1:8" x14ac:dyDescent="0.2">
      <c r="A25" s="19" t="s">
        <v>171</v>
      </c>
      <c r="B25" s="98">
        <f>+NECESIDADES!E29</f>
        <v>22.5</v>
      </c>
      <c r="C25" s="20"/>
      <c r="D25" s="67">
        <f>+B25/5</f>
        <v>4.5</v>
      </c>
      <c r="E25" s="67">
        <f>+D25</f>
        <v>4.5</v>
      </c>
      <c r="F25" s="67">
        <f t="shared" si="4"/>
        <v>4.5</v>
      </c>
      <c r="G25" s="67">
        <f t="shared" si="4"/>
        <v>4.5</v>
      </c>
      <c r="H25" s="68">
        <f t="shared" si="4"/>
        <v>4.5</v>
      </c>
    </row>
    <row r="26" spans="1:8" x14ac:dyDescent="0.2">
      <c r="A26" s="19" t="s">
        <v>168</v>
      </c>
      <c r="B26" s="98">
        <f>+NECESIDADES!E19</f>
        <v>30</v>
      </c>
      <c r="C26" s="20"/>
      <c r="D26" s="67">
        <f>+B26/3</f>
        <v>10</v>
      </c>
      <c r="E26" s="67">
        <f>+D26</f>
        <v>10</v>
      </c>
      <c r="F26" s="67">
        <f t="shared" si="4"/>
        <v>10</v>
      </c>
      <c r="G26" s="67">
        <v>0</v>
      </c>
      <c r="H26" s="68">
        <f t="shared" si="4"/>
        <v>0</v>
      </c>
    </row>
    <row r="27" spans="1:8" ht="12" thickBot="1" x14ac:dyDescent="0.25">
      <c r="A27" s="30" t="s">
        <v>13</v>
      </c>
      <c r="B27" s="17">
        <f>SUM(B21:B26)</f>
        <v>78.024000000000001</v>
      </c>
      <c r="C27" s="39"/>
      <c r="D27" s="17">
        <f>SUM(D21:D26)</f>
        <v>29.823999999999998</v>
      </c>
      <c r="E27" s="17">
        <f t="shared" ref="E27:H27" si="5">SUM(E21:E26)</f>
        <v>24.7</v>
      </c>
      <c r="F27" s="17">
        <f t="shared" si="5"/>
        <v>14.5</v>
      </c>
      <c r="G27" s="17">
        <f t="shared" si="5"/>
        <v>4.5</v>
      </c>
      <c r="H27" s="18">
        <f t="shared" si="5"/>
        <v>4.5</v>
      </c>
    </row>
    <row r="28" spans="1:8" ht="12" thickBot="1" x14ac:dyDescent="0.25"/>
    <row r="29" spans="1:8" x14ac:dyDescent="0.2">
      <c r="A29" s="617" t="s">
        <v>465</v>
      </c>
      <c r="B29" s="618"/>
      <c r="C29" s="33"/>
      <c r="D29" s="32"/>
      <c r="E29" s="32"/>
      <c r="F29" s="32"/>
      <c r="G29" s="32"/>
      <c r="H29" s="41"/>
    </row>
    <row r="30" spans="1:8" x14ac:dyDescent="0.2">
      <c r="A30" s="19" t="s">
        <v>172</v>
      </c>
      <c r="B30" s="98">
        <f>+NECESIDADES!E30</f>
        <v>10</v>
      </c>
      <c r="C30" s="20"/>
      <c r="D30" s="67">
        <f>+B30/5</f>
        <v>2</v>
      </c>
      <c r="E30" s="67">
        <f>+D30</f>
        <v>2</v>
      </c>
      <c r="F30" s="67">
        <f t="shared" ref="F30:H30" si="6">+E30</f>
        <v>2</v>
      </c>
      <c r="G30" s="67">
        <f t="shared" si="6"/>
        <v>2</v>
      </c>
      <c r="H30" s="68">
        <f t="shared" si="6"/>
        <v>2</v>
      </c>
    </row>
    <row r="31" spans="1:8" x14ac:dyDescent="0.2">
      <c r="A31" s="19" t="s">
        <v>55</v>
      </c>
      <c r="B31" s="98">
        <f>+NECESIDADES!E31</f>
        <v>20</v>
      </c>
      <c r="C31" s="20"/>
      <c r="D31" s="67">
        <f>+B31/3</f>
        <v>6.666666666666667</v>
      </c>
      <c r="E31" s="67">
        <f>+D31</f>
        <v>6.666666666666667</v>
      </c>
      <c r="F31" s="67">
        <f t="shared" ref="F31:H31" si="7">+E31</f>
        <v>6.666666666666667</v>
      </c>
      <c r="G31" s="67">
        <v>0</v>
      </c>
      <c r="H31" s="68">
        <f t="shared" si="7"/>
        <v>0</v>
      </c>
    </row>
    <row r="32" spans="1:8" ht="12" thickBot="1" x14ac:dyDescent="0.25">
      <c r="A32" s="30" t="s">
        <v>173</v>
      </c>
      <c r="B32" s="17">
        <f>+B30+B31</f>
        <v>30</v>
      </c>
      <c r="C32" s="39"/>
      <c r="D32" s="17">
        <f>+D30+D31</f>
        <v>8.6666666666666679</v>
      </c>
      <c r="E32" s="17">
        <f t="shared" ref="E32:H32" si="8">+E30+E31</f>
        <v>8.6666666666666679</v>
      </c>
      <c r="F32" s="17">
        <f t="shared" si="8"/>
        <v>8.6666666666666679</v>
      </c>
      <c r="G32" s="17">
        <f t="shared" si="8"/>
        <v>2</v>
      </c>
      <c r="H32" s="18">
        <f t="shared" si="8"/>
        <v>2</v>
      </c>
    </row>
    <row r="33" spans="1:8" ht="12" thickBot="1" x14ac:dyDescent="0.25">
      <c r="B33" s="51"/>
      <c r="D33" s="51"/>
      <c r="E33" s="51"/>
      <c r="F33" s="51"/>
      <c r="G33" s="51"/>
      <c r="H33" s="51"/>
    </row>
    <row r="34" spans="1:8" x14ac:dyDescent="0.2">
      <c r="A34" s="617" t="s">
        <v>466</v>
      </c>
      <c r="B34" s="618"/>
      <c r="C34" s="33"/>
      <c r="D34" s="60" t="str">
        <f>+D20</f>
        <v>Año 1</v>
      </c>
      <c r="E34" s="60" t="str">
        <f t="shared" ref="E34:H34" si="9">+E20</f>
        <v>Año 2</v>
      </c>
      <c r="F34" s="60" t="str">
        <f t="shared" si="9"/>
        <v>Año 3</v>
      </c>
      <c r="G34" s="60" t="str">
        <f t="shared" si="9"/>
        <v>Año 4</v>
      </c>
      <c r="H34" s="61" t="str">
        <f t="shared" si="9"/>
        <v>Año 5</v>
      </c>
    </row>
    <row r="35" spans="1:8" x14ac:dyDescent="0.2">
      <c r="A35" s="19" t="s">
        <v>30</v>
      </c>
      <c r="B35" s="67"/>
      <c r="C35" s="20"/>
      <c r="D35" s="67">
        <f>+D18+D27+D32</f>
        <v>666.51216666666664</v>
      </c>
      <c r="E35" s="67">
        <f t="shared" ref="E35:H35" si="10">+E18+E27+E32</f>
        <v>596.02666666666664</v>
      </c>
      <c r="F35" s="67">
        <f t="shared" si="10"/>
        <v>576.56666666666661</v>
      </c>
      <c r="G35" s="67">
        <f t="shared" si="10"/>
        <v>559.9</v>
      </c>
      <c r="H35" s="68">
        <f t="shared" si="10"/>
        <v>559.9</v>
      </c>
    </row>
    <row r="36" spans="1:8" ht="12" thickBot="1" x14ac:dyDescent="0.25">
      <c r="A36" s="30" t="s">
        <v>31</v>
      </c>
      <c r="B36" s="17">
        <f>B18+B27+B32</f>
        <v>8583.9055000000026</v>
      </c>
      <c r="C36" s="39"/>
      <c r="D36" s="17">
        <f>SUM(D35:D35)</f>
        <v>666.51216666666664</v>
      </c>
      <c r="E36" s="17">
        <f>SUM(E35:E35)</f>
        <v>596.02666666666664</v>
      </c>
      <c r="F36" s="17">
        <f>SUM(F35:F35)</f>
        <v>576.56666666666661</v>
      </c>
      <c r="G36" s="17">
        <f>SUM(G35:G35)</f>
        <v>559.9</v>
      </c>
      <c r="H36" s="18">
        <f>SUM(H35:H35)</f>
        <v>559.9</v>
      </c>
    </row>
    <row r="37" spans="1:8" ht="12" thickBot="1" x14ac:dyDescent="0.25"/>
    <row r="38" spans="1:8" x14ac:dyDescent="0.2">
      <c r="A38" s="617" t="s">
        <v>467</v>
      </c>
      <c r="B38" s="618"/>
      <c r="C38" s="33"/>
      <c r="D38" s="618" t="s">
        <v>468</v>
      </c>
      <c r="E38" s="618"/>
      <c r="F38" s="618"/>
      <c r="G38" s="618"/>
      <c r="H38" s="620"/>
    </row>
    <row r="39" spans="1:8" x14ac:dyDescent="0.2">
      <c r="A39" s="19"/>
      <c r="B39" s="67"/>
      <c r="C39" s="20"/>
      <c r="D39" s="65" t="str">
        <f>+D34</f>
        <v>Año 1</v>
      </c>
      <c r="E39" s="65" t="str">
        <f>+E34</f>
        <v>Año 2</v>
      </c>
      <c r="F39" s="65" t="str">
        <f>+F34</f>
        <v>Año 3</v>
      </c>
      <c r="G39" s="65" t="str">
        <f>+G34</f>
        <v>Año 4</v>
      </c>
      <c r="H39" s="66" t="str">
        <f>+H34</f>
        <v>Año 5</v>
      </c>
    </row>
    <row r="40" spans="1:8" x14ac:dyDescent="0.2">
      <c r="A40" s="19" t="s">
        <v>54</v>
      </c>
      <c r="B40" s="98">
        <f>+NECESIDADES!E18</f>
        <v>5</v>
      </c>
      <c r="C40" s="20"/>
      <c r="D40" s="67">
        <f>+B40</f>
        <v>5</v>
      </c>
      <c r="E40" s="67">
        <v>0</v>
      </c>
      <c r="F40" s="67">
        <f t="shared" ref="F40:H40" si="11">+E40</f>
        <v>0</v>
      </c>
      <c r="G40" s="67">
        <f t="shared" si="11"/>
        <v>0</v>
      </c>
      <c r="H40" s="68">
        <f t="shared" si="11"/>
        <v>0</v>
      </c>
    </row>
    <row r="41" spans="1:8" ht="12" thickBot="1" x14ac:dyDescent="0.25">
      <c r="A41" s="30" t="s">
        <v>56</v>
      </c>
      <c r="B41" s="17">
        <f>SUM(B40:B40)</f>
        <v>5</v>
      </c>
      <c r="C41" s="39"/>
      <c r="D41" s="17">
        <f>SUM(D40:D40)</f>
        <v>5</v>
      </c>
      <c r="E41" s="17">
        <f>SUM(E40:E40)</f>
        <v>0</v>
      </c>
      <c r="F41" s="17">
        <f>SUM(F40:F40)</f>
        <v>0</v>
      </c>
      <c r="G41" s="17">
        <f>SUM(G40:G40)</f>
        <v>0</v>
      </c>
      <c r="H41" s="18">
        <f>SUM(H40:H40)</f>
        <v>0</v>
      </c>
    </row>
    <row r="44" spans="1:8" x14ac:dyDescent="0.2">
      <c r="A44" s="4" t="s">
        <v>68</v>
      </c>
    </row>
    <row r="45" spans="1:8" x14ac:dyDescent="0.2">
      <c r="A45" s="3" t="s">
        <v>69</v>
      </c>
      <c r="B45" s="9">
        <f>0.5/500</f>
        <v>1E-3</v>
      </c>
    </row>
    <row r="46" spans="1:8" x14ac:dyDescent="0.2">
      <c r="A46" s="3" t="s">
        <v>70</v>
      </c>
      <c r="B46" s="9">
        <f>+'ESTADO DE RESULTADOS'!C4</f>
        <v>0.06</v>
      </c>
    </row>
    <row r="48" spans="1:8" x14ac:dyDescent="0.2">
      <c r="A48" s="4" t="s">
        <v>74</v>
      </c>
      <c r="D48" s="6" t="str">
        <f>+D39</f>
        <v>Año 1</v>
      </c>
      <c r="E48" s="6" t="str">
        <f>+E39</f>
        <v>Año 2</v>
      </c>
      <c r="F48" s="6" t="str">
        <f>+F39</f>
        <v>Año 3</v>
      </c>
      <c r="G48" s="6" t="str">
        <f>+G39</f>
        <v>Año 4</v>
      </c>
      <c r="H48" s="6" t="str">
        <f>+H39</f>
        <v>Año 5</v>
      </c>
    </row>
    <row r="49" spans="1:8" x14ac:dyDescent="0.2">
      <c r="A49" s="3" t="s">
        <v>77</v>
      </c>
      <c r="D49" s="5">
        <f>+'ESTADO DE RESULTADOS'!C12+'ESTADO DE RESULTADOS'!C14+'ESTADO DE RESULTADOS'!C15+'ESTADO DE RESULTADOS'!C16+'ESTADO DE RESULTADOS'!C17+'ESTADO DE RESULTADOS'!C18+'ESTADO DE RESULTADOS'!C19+'ESTADO DE RESULTADOS'!C21+'ESTADO DE RESULTADOS'!C22</f>
        <v>2033.5934999999999</v>
      </c>
      <c r="E49" s="62">
        <f>+'ESTADO DE RESULTADOS'!D12+'ESTADO DE RESULTADOS'!D14+'ESTADO DE RESULTADOS'!D15+'ESTADO DE RESULTADOS'!D16+'ESTADO DE RESULTADOS'!D17+'ESTADO DE RESULTADOS'!D18+'ESTADO DE RESULTADOS'!D19+'ESTADO DE RESULTADOS'!D21+'ESTADO DE RESULTADOS'!D22</f>
        <v>2160.7033413320005</v>
      </c>
      <c r="F49" s="62">
        <f>+'ESTADO DE RESULTADOS'!E12+'ESTADO DE RESULTADOS'!E14+'ESTADO DE RESULTADOS'!E15+'ESTADO DE RESULTADOS'!E16+'ESTADO DE RESULTADOS'!E17+'ESTADO DE RESULTADOS'!E18+'ESTADO DE RESULTADOS'!E19+'ESTADO DE RESULTADOS'!E21+'ESTADO DE RESULTADOS'!E22</f>
        <v>2375.1785202156625</v>
      </c>
      <c r="G49" s="62">
        <f>+'ESTADO DE RESULTADOS'!F12+'ESTADO DE RESULTADOS'!F14+'ESTADO DE RESULTADOS'!F15+'ESTADO DE RESULTADOS'!F16+'ESTADO DE RESULTADOS'!F17+'ESTADO DE RESULTADOS'!F18+'ESTADO DE RESULTADOS'!F19+'ESTADO DE RESULTADOS'!F21+'ESTADO DE RESULTADOS'!F22</f>
        <v>2635.3604191604727</v>
      </c>
      <c r="H49" s="62">
        <f>+'ESTADO DE RESULTADOS'!G12+'ESTADO DE RESULTADOS'!G14+'ESTADO DE RESULTADOS'!G15+'ESTADO DE RESULTADOS'!G16+'ESTADO DE RESULTADOS'!G17+'ESTADO DE RESULTADOS'!G18+'ESTADO DE RESULTADOS'!G19+'ESTADO DE RESULTADOS'!G21+'ESTADO DE RESULTADOS'!G22</f>
        <v>2947.4665628899525</v>
      </c>
    </row>
    <row r="50" spans="1:8" x14ac:dyDescent="0.2">
      <c r="A50" s="3" t="s">
        <v>20</v>
      </c>
      <c r="D50" s="5">
        <f>+'ESTADO DE RESULTADOS'!C24</f>
        <v>476.58176472370104</v>
      </c>
      <c r="E50" s="5">
        <f>+'ESTADO DE RESULTADOS'!D24</f>
        <v>538.33877186084112</v>
      </c>
      <c r="F50" s="5">
        <f>+'ESTADO DE RESULTADOS'!E24</f>
        <v>608.73515547798365</v>
      </c>
      <c r="G50" s="5">
        <f>+'ESTADO DE RESULTADOS'!F24</f>
        <v>689.01476948562947</v>
      </c>
      <c r="H50" s="5">
        <f>+'ESTADO DE RESULTADOS'!G24</f>
        <v>780.60236476735986</v>
      </c>
    </row>
    <row r="51" spans="1:8" x14ac:dyDescent="0.2">
      <c r="A51" s="3" t="s">
        <v>23</v>
      </c>
      <c r="D51" s="5">
        <f>+'ESTADO DE RESULTADOS'!C29</f>
        <v>0</v>
      </c>
      <c r="E51" s="5">
        <f>+'ESTADO DE RESULTADOS'!D29</f>
        <v>0</v>
      </c>
      <c r="F51" s="5">
        <f>+'ESTADO DE RESULTADOS'!E29</f>
        <v>0</v>
      </c>
      <c r="G51" s="5">
        <f>+'ESTADO DE RESULTADOS'!F29</f>
        <v>0</v>
      </c>
      <c r="H51" s="5">
        <f>+'ESTADO DE RESULTADOS'!G29</f>
        <v>0</v>
      </c>
    </row>
    <row r="52" spans="1:8" x14ac:dyDescent="0.2">
      <c r="A52" s="3" t="s">
        <v>24</v>
      </c>
      <c r="D52" s="5">
        <f>+'ESTADO DE RESULTADOS'!C30</f>
        <v>860.72453303665088</v>
      </c>
      <c r="E52" s="5">
        <f>+'ESTADO DE RESULTADOS'!D30</f>
        <v>789.44024375313256</v>
      </c>
      <c r="F52" s="5">
        <f>+'ESTADO DE RESULTADOS'!E30</f>
        <v>709.8162633851806</v>
      </c>
      <c r="G52" s="5">
        <f>+'ESTADO DE RESULTADOS'!F30</f>
        <v>620.83693350093927</v>
      </c>
      <c r="H52" s="5">
        <f>+'ESTADO DE RESULTADOS'!G30</f>
        <v>521.35777642685616</v>
      </c>
    </row>
    <row r="53" spans="1:8" x14ac:dyDescent="0.2">
      <c r="A53" s="4" t="s">
        <v>73</v>
      </c>
      <c r="D53" s="6">
        <f>+D49+D50-D51+D52</f>
        <v>3370.8997977603517</v>
      </c>
      <c r="E53" s="6">
        <f t="shared" ref="E53:H53" si="12">+E49+E50-E51+E52</f>
        <v>3488.4823569459741</v>
      </c>
      <c r="F53" s="6">
        <f t="shared" si="12"/>
        <v>3693.7299390788266</v>
      </c>
      <c r="G53" s="6">
        <f t="shared" si="12"/>
        <v>3945.2121221470416</v>
      </c>
      <c r="H53" s="6">
        <f t="shared" si="12"/>
        <v>4249.4267040841678</v>
      </c>
    </row>
    <row r="55" spans="1:8" x14ac:dyDescent="0.2">
      <c r="A55" s="4" t="s">
        <v>75</v>
      </c>
      <c r="D55" s="11">
        <v>0.34</v>
      </c>
      <c r="E55" s="11">
        <f>+D55</f>
        <v>0.34</v>
      </c>
      <c r="F55" s="11">
        <f t="shared" ref="F55:H55" si="13">+E55</f>
        <v>0.34</v>
      </c>
      <c r="G55" s="11">
        <f t="shared" si="13"/>
        <v>0.34</v>
      </c>
      <c r="H55" s="11">
        <f t="shared" si="13"/>
        <v>0.34</v>
      </c>
    </row>
    <row r="57" spans="1:8" x14ac:dyDescent="0.2">
      <c r="A57" s="4" t="s">
        <v>164</v>
      </c>
      <c r="D57" s="6">
        <f>+B139</f>
        <v>6583.0286120616838</v>
      </c>
      <c r="E57" s="48">
        <f t="shared" ref="E57:H57" si="14">+C139</f>
        <v>7545.4152246433514</v>
      </c>
      <c r="F57" s="48">
        <f t="shared" si="14"/>
        <v>8648.4951330705535</v>
      </c>
      <c r="G57" s="48">
        <f t="shared" si="14"/>
        <v>9912.8365822015403</v>
      </c>
      <c r="H57" s="48">
        <f t="shared" si="14"/>
        <v>11362.014731289493</v>
      </c>
    </row>
    <row r="58" spans="1:8" ht="12" thickBot="1" x14ac:dyDescent="0.25"/>
    <row r="59" spans="1:8" x14ac:dyDescent="0.2">
      <c r="A59" s="31"/>
      <c r="B59" s="32"/>
      <c r="C59" s="33"/>
      <c r="D59" s="618" t="s">
        <v>116</v>
      </c>
      <c r="E59" s="618"/>
      <c r="F59" s="618"/>
      <c r="G59" s="618"/>
      <c r="H59" s="620"/>
    </row>
    <row r="60" spans="1:8" x14ac:dyDescent="0.2">
      <c r="A60" s="34" t="s">
        <v>110</v>
      </c>
      <c r="B60" s="15"/>
      <c r="C60" s="20"/>
      <c r="D60" s="35" t="str">
        <f>+D48</f>
        <v>Año 1</v>
      </c>
      <c r="E60" s="35" t="str">
        <f t="shared" ref="E60:H60" si="15">+E48</f>
        <v>Año 2</v>
      </c>
      <c r="F60" s="35" t="str">
        <f t="shared" si="15"/>
        <v>Año 3</v>
      </c>
      <c r="G60" s="35" t="str">
        <f t="shared" si="15"/>
        <v>Año 4</v>
      </c>
      <c r="H60" s="36" t="str">
        <f t="shared" si="15"/>
        <v>Año 5</v>
      </c>
    </row>
    <row r="61" spans="1:8" x14ac:dyDescent="0.2">
      <c r="A61" s="19" t="s">
        <v>111</v>
      </c>
      <c r="B61" s="23">
        <v>0.05</v>
      </c>
      <c r="C61" s="20"/>
      <c r="D61" s="15">
        <f>+D57*$B$61</f>
        <v>329.15143060308424</v>
      </c>
      <c r="E61" s="15">
        <f t="shared" ref="E61:F61" si="16">+E57*$B$61</f>
        <v>377.27076123216762</v>
      </c>
      <c r="F61" s="15">
        <f t="shared" si="16"/>
        <v>432.42475665352771</v>
      </c>
      <c r="G61" s="15">
        <f>+G57*$B$61</f>
        <v>495.64182911007703</v>
      </c>
      <c r="H61" s="16">
        <f>+H57*$B$61</f>
        <v>568.10073656447469</v>
      </c>
    </row>
    <row r="62" spans="1:8" x14ac:dyDescent="0.2">
      <c r="A62" s="19" t="s">
        <v>112</v>
      </c>
      <c r="B62" s="23">
        <v>0.4</v>
      </c>
      <c r="C62" s="20"/>
      <c r="D62" s="15">
        <f>+D57*$B$62</f>
        <v>2633.2114448246739</v>
      </c>
      <c r="E62" s="15">
        <f t="shared" ref="E62:H62" si="17">+E57*$B$62</f>
        <v>3018.1660898573409</v>
      </c>
      <c r="F62" s="15">
        <f t="shared" si="17"/>
        <v>3459.3980532282217</v>
      </c>
      <c r="G62" s="15">
        <f t="shared" si="17"/>
        <v>3965.1346328806162</v>
      </c>
      <c r="H62" s="16">
        <f t="shared" si="17"/>
        <v>4544.8058925157975</v>
      </c>
    </row>
    <row r="63" spans="1:8" x14ac:dyDescent="0.2">
      <c r="A63" s="19" t="s">
        <v>113</v>
      </c>
      <c r="B63" s="23">
        <v>0.55000000000000004</v>
      </c>
      <c r="C63" s="20"/>
      <c r="D63" s="15">
        <f>+D57*$B$63</f>
        <v>3620.6657366339264</v>
      </c>
      <c r="E63" s="15">
        <f t="shared" ref="E63:H63" si="18">+E57*$B$63</f>
        <v>4149.978373553844</v>
      </c>
      <c r="F63" s="15">
        <f t="shared" si="18"/>
        <v>4756.6723231888045</v>
      </c>
      <c r="G63" s="15">
        <f t="shared" si="18"/>
        <v>5452.0601202108473</v>
      </c>
      <c r="H63" s="16">
        <f t="shared" si="18"/>
        <v>6249.1081022092221</v>
      </c>
    </row>
    <row r="64" spans="1:8" ht="12" thickBot="1" x14ac:dyDescent="0.25">
      <c r="A64" s="37" t="s">
        <v>117</v>
      </c>
      <c r="B64" s="38"/>
      <c r="C64" s="39"/>
      <c r="D64" s="17">
        <f>SUM(D61:D63)</f>
        <v>6583.0286120616838</v>
      </c>
      <c r="E64" s="17">
        <f t="shared" ref="E64:H64" si="19">SUM(E61:E63)</f>
        <v>7545.4152246433523</v>
      </c>
      <c r="F64" s="17">
        <f t="shared" si="19"/>
        <v>8648.4951330705535</v>
      </c>
      <c r="G64" s="17">
        <f t="shared" si="19"/>
        <v>9912.8365822015403</v>
      </c>
      <c r="H64" s="18">
        <f t="shared" si="19"/>
        <v>11362.014731289495</v>
      </c>
    </row>
    <row r="65" spans="1:8" ht="12" thickBot="1" x14ac:dyDescent="0.25">
      <c r="B65" s="8"/>
    </row>
    <row r="66" spans="1:8" x14ac:dyDescent="0.2">
      <c r="A66" s="31"/>
      <c r="B66" s="32"/>
      <c r="C66" s="33"/>
      <c r="D66" s="618" t="s">
        <v>115</v>
      </c>
      <c r="E66" s="618"/>
      <c r="F66" s="618"/>
      <c r="G66" s="618"/>
      <c r="H66" s="620"/>
    </row>
    <row r="67" spans="1:8" x14ac:dyDescent="0.2">
      <c r="A67" s="19"/>
      <c r="B67" s="15"/>
      <c r="C67" s="20"/>
      <c r="D67" s="35" t="str">
        <f>+D60</f>
        <v>Año 1</v>
      </c>
      <c r="E67" s="35" t="str">
        <f t="shared" ref="E67:H67" si="20">+E60</f>
        <v>Año 2</v>
      </c>
      <c r="F67" s="35" t="str">
        <f t="shared" si="20"/>
        <v>Año 3</v>
      </c>
      <c r="G67" s="35" t="str">
        <f t="shared" si="20"/>
        <v>Año 4</v>
      </c>
      <c r="H67" s="36" t="str">
        <f t="shared" si="20"/>
        <v>Año 5</v>
      </c>
    </row>
    <row r="68" spans="1:8" x14ac:dyDescent="0.2">
      <c r="A68" s="19" t="s">
        <v>111</v>
      </c>
      <c r="B68" s="15"/>
      <c r="C68" s="20"/>
      <c r="D68" s="15">
        <f>+D61</f>
        <v>329.15143060308424</v>
      </c>
      <c r="E68" s="15">
        <f t="shared" ref="E68:H68" si="21">+E61</f>
        <v>377.27076123216762</v>
      </c>
      <c r="F68" s="15">
        <f t="shared" si="21"/>
        <v>432.42475665352771</v>
      </c>
      <c r="G68" s="15">
        <f t="shared" si="21"/>
        <v>495.64182911007703</v>
      </c>
      <c r="H68" s="16">
        <f t="shared" si="21"/>
        <v>568.10073656447469</v>
      </c>
    </row>
    <row r="69" spans="1:8" x14ac:dyDescent="0.2">
      <c r="A69" s="19" t="s">
        <v>112</v>
      </c>
      <c r="B69" s="15"/>
      <c r="C69" s="20"/>
      <c r="D69" s="15">
        <f>+D62*(330/360)</f>
        <v>2413.7771577559511</v>
      </c>
      <c r="E69" s="15">
        <f t="shared" ref="E69:H69" si="22">+E62*(330/360)</f>
        <v>2766.6522490358957</v>
      </c>
      <c r="F69" s="15">
        <f>+F62*(330/360)</f>
        <v>3171.1148821258698</v>
      </c>
      <c r="G69" s="15">
        <f t="shared" si="22"/>
        <v>3634.7067468072314</v>
      </c>
      <c r="H69" s="16">
        <f t="shared" si="22"/>
        <v>4166.0720681394805</v>
      </c>
    </row>
    <row r="70" spans="1:8" ht="12" thickBot="1" x14ac:dyDescent="0.25">
      <c r="A70" s="37" t="s">
        <v>113</v>
      </c>
      <c r="B70" s="27"/>
      <c r="C70" s="39"/>
      <c r="D70" s="27">
        <f>+D63*(0.833333333333333)</f>
        <v>3017.2214471949374</v>
      </c>
      <c r="E70" s="27">
        <f t="shared" ref="E70:H70" si="23">+E63*(0.833333333333333)</f>
        <v>3458.3153112948689</v>
      </c>
      <c r="F70" s="27">
        <f t="shared" si="23"/>
        <v>3963.8936026573356</v>
      </c>
      <c r="G70" s="27">
        <f t="shared" si="23"/>
        <v>4543.3834335090378</v>
      </c>
      <c r="H70" s="28">
        <f t="shared" si="23"/>
        <v>5207.59008517435</v>
      </c>
    </row>
    <row r="71" spans="1:8" ht="12" thickBot="1" x14ac:dyDescent="0.25"/>
    <row r="72" spans="1:8" x14ac:dyDescent="0.2">
      <c r="A72" s="31" t="s">
        <v>121</v>
      </c>
      <c r="B72" s="32"/>
      <c r="C72" s="33"/>
      <c r="D72" s="32">
        <f>SUM(D68:D70)-8.7</f>
        <v>5751.4500355539731</v>
      </c>
      <c r="E72" s="32">
        <f>SUM(E68:E70)-8.6</f>
        <v>6593.6383215629321</v>
      </c>
      <c r="F72" s="32">
        <f>SUM(F68:F70)-8.7</f>
        <v>7558.7332414367329</v>
      </c>
      <c r="G72" s="32">
        <f>SUM(G68:G70)-2</f>
        <v>8671.732009426345</v>
      </c>
      <c r="H72" s="41">
        <f>SUM(H68:H70)-2</f>
        <v>9939.7628898783041</v>
      </c>
    </row>
    <row r="73" spans="1:8" x14ac:dyDescent="0.2">
      <c r="A73" s="19" t="s">
        <v>122</v>
      </c>
      <c r="B73" s="15"/>
      <c r="C73" s="20"/>
      <c r="D73" s="15">
        <v>0</v>
      </c>
      <c r="E73" s="15">
        <f>+D74</f>
        <v>831.57857650771075</v>
      </c>
      <c r="F73" s="15">
        <f t="shared" ref="F73:H73" si="24">+E74</f>
        <v>1783.3554795881319</v>
      </c>
      <c r="G73" s="15">
        <f t="shared" si="24"/>
        <v>2873.1173712219525</v>
      </c>
      <c r="H73" s="16">
        <f t="shared" si="24"/>
        <v>4114.2219439971486</v>
      </c>
    </row>
    <row r="74" spans="1:8" ht="12" thickBot="1" x14ac:dyDescent="0.25">
      <c r="A74" s="37" t="s">
        <v>123</v>
      </c>
      <c r="B74" s="27"/>
      <c r="C74" s="39"/>
      <c r="D74" s="17">
        <f>+D64-D72</f>
        <v>831.57857650771075</v>
      </c>
      <c r="E74" s="17">
        <f>+E73+E64-E72</f>
        <v>1783.3554795881319</v>
      </c>
      <c r="F74" s="17">
        <f t="shared" ref="F74:H74" si="25">+F73+F64-F72</f>
        <v>2873.1173712219525</v>
      </c>
      <c r="G74" s="17">
        <f t="shared" si="25"/>
        <v>4114.2219439971486</v>
      </c>
      <c r="H74" s="18">
        <f t="shared" si="25"/>
        <v>5536.4737854083396</v>
      </c>
    </row>
    <row r="75" spans="1:8" ht="12" thickBot="1" x14ac:dyDescent="0.25"/>
    <row r="76" spans="1:8" x14ac:dyDescent="0.2">
      <c r="A76" s="29" t="s">
        <v>52</v>
      </c>
      <c r="B76" s="32"/>
      <c r="C76" s="33"/>
      <c r="D76" s="41"/>
    </row>
    <row r="77" spans="1:8" x14ac:dyDescent="0.2">
      <c r="A77" s="34" t="s">
        <v>175</v>
      </c>
      <c r="B77" s="67"/>
      <c r="C77" s="20"/>
      <c r="D77" s="68"/>
      <c r="E77" s="62"/>
      <c r="F77" s="62"/>
      <c r="G77" s="62"/>
      <c r="H77" s="62"/>
    </row>
    <row r="78" spans="1:8" x14ac:dyDescent="0.2">
      <c r="A78" s="34" t="s">
        <v>203</v>
      </c>
      <c r="B78" s="102" t="s">
        <v>200</v>
      </c>
      <c r="C78" s="96" t="s">
        <v>201</v>
      </c>
      <c r="D78" s="103" t="s">
        <v>202</v>
      </c>
      <c r="E78" s="62"/>
      <c r="F78" s="62"/>
      <c r="G78" s="62"/>
      <c r="H78" s="62"/>
    </row>
    <row r="79" spans="1:8" x14ac:dyDescent="0.2">
      <c r="A79" s="19" t="s">
        <v>176</v>
      </c>
      <c r="B79" s="63">
        <v>1</v>
      </c>
      <c r="C79" s="63">
        <v>6</v>
      </c>
      <c r="D79" s="68">
        <f>+B79*C79</f>
        <v>6</v>
      </c>
      <c r="E79" s="62"/>
      <c r="F79" s="62"/>
      <c r="G79" s="62"/>
      <c r="H79" s="62"/>
    </row>
    <row r="80" spans="1:8" x14ac:dyDescent="0.2">
      <c r="A80" s="19" t="s">
        <v>409</v>
      </c>
      <c r="B80" s="63">
        <v>2</v>
      </c>
      <c r="C80" s="63">
        <v>4</v>
      </c>
      <c r="D80" s="68">
        <f t="shared" ref="D80:D82" si="26">+B80*C80</f>
        <v>8</v>
      </c>
      <c r="E80" s="62"/>
      <c r="F80" s="62"/>
      <c r="G80" s="62"/>
      <c r="H80" s="62"/>
    </row>
    <row r="81" spans="1:8" x14ac:dyDescent="0.2">
      <c r="A81" s="19" t="s">
        <v>411</v>
      </c>
      <c r="B81" s="512">
        <v>1</v>
      </c>
      <c r="C81" s="512">
        <v>2</v>
      </c>
      <c r="D81" s="513">
        <f t="shared" si="26"/>
        <v>2</v>
      </c>
      <c r="E81" s="62"/>
      <c r="F81" s="62"/>
      <c r="G81" s="62"/>
      <c r="H81" s="62"/>
    </row>
    <row r="82" spans="1:8" x14ac:dyDescent="0.2">
      <c r="A82" s="19" t="s">
        <v>410</v>
      </c>
      <c r="B82" s="63">
        <v>45</v>
      </c>
      <c r="C82" s="63">
        <v>1</v>
      </c>
      <c r="D82" s="68">
        <f t="shared" si="26"/>
        <v>45</v>
      </c>
      <c r="E82" s="62"/>
      <c r="F82" s="62"/>
      <c r="G82" s="62"/>
      <c r="H82" s="62"/>
    </row>
    <row r="83" spans="1:8" x14ac:dyDescent="0.2">
      <c r="A83" s="19" t="s">
        <v>177</v>
      </c>
      <c r="B83" s="63">
        <v>4</v>
      </c>
      <c r="C83" s="106">
        <v>1</v>
      </c>
      <c r="D83" s="68">
        <f>+B83*C83</f>
        <v>4</v>
      </c>
      <c r="E83" s="62"/>
      <c r="F83" s="62"/>
      <c r="G83" s="62"/>
      <c r="H83" s="62"/>
    </row>
    <row r="84" spans="1:8" x14ac:dyDescent="0.2">
      <c r="A84" s="19" t="s">
        <v>408</v>
      </c>
      <c r="B84" s="512">
        <v>4</v>
      </c>
      <c r="C84" s="512">
        <v>1</v>
      </c>
      <c r="D84" s="513">
        <f>+B84*C84</f>
        <v>4</v>
      </c>
      <c r="E84" s="62"/>
      <c r="F84" s="62"/>
      <c r="G84" s="62"/>
      <c r="H84" s="62"/>
    </row>
    <row r="85" spans="1:8" x14ac:dyDescent="0.2">
      <c r="A85" s="19" t="s">
        <v>178</v>
      </c>
      <c r="B85" s="63">
        <v>1</v>
      </c>
      <c r="C85" s="106">
        <v>4</v>
      </c>
      <c r="D85" s="68">
        <f>+B85*C85</f>
        <v>4</v>
      </c>
      <c r="E85" s="62"/>
      <c r="F85" s="62"/>
      <c r="G85" s="62"/>
      <c r="H85" s="62"/>
    </row>
    <row r="86" spans="1:8" x14ac:dyDescent="0.2">
      <c r="A86" s="19" t="s">
        <v>179</v>
      </c>
      <c r="B86" s="63">
        <v>1</v>
      </c>
      <c r="C86" s="106">
        <v>1</v>
      </c>
      <c r="D86" s="68">
        <f>+B86*C86</f>
        <v>1</v>
      </c>
      <c r="E86" s="62"/>
      <c r="F86" s="62"/>
      <c r="G86" s="62"/>
      <c r="H86" s="62"/>
    </row>
    <row r="87" spans="1:8" x14ac:dyDescent="0.2">
      <c r="A87" s="34" t="s">
        <v>181</v>
      </c>
      <c r="B87" s="85"/>
      <c r="C87" s="65"/>
      <c r="D87" s="66">
        <f>SUM(D79:D86)</f>
        <v>74</v>
      </c>
      <c r="E87" s="62"/>
      <c r="F87" s="62"/>
      <c r="G87" s="62"/>
      <c r="H87" s="62"/>
    </row>
    <row r="88" spans="1:8" x14ac:dyDescent="0.2">
      <c r="A88" s="19" t="s">
        <v>180</v>
      </c>
      <c r="B88" s="63">
        <v>12</v>
      </c>
      <c r="C88" s="67">
        <f>+D87</f>
        <v>74</v>
      </c>
      <c r="D88" s="511">
        <f>+B88*C88</f>
        <v>888</v>
      </c>
      <c r="E88" s="62"/>
      <c r="F88" s="62"/>
      <c r="G88" s="62"/>
      <c r="H88" s="62"/>
    </row>
    <row r="89" spans="1:8" x14ac:dyDescent="0.2">
      <c r="A89" s="19"/>
      <c r="B89" s="63"/>
      <c r="C89" s="67"/>
      <c r="D89" s="66"/>
      <c r="E89" s="62"/>
      <c r="F89" s="62"/>
      <c r="G89" s="62"/>
      <c r="H89" s="62"/>
    </row>
    <row r="90" spans="1:8" x14ac:dyDescent="0.2">
      <c r="A90" s="34" t="s">
        <v>182</v>
      </c>
      <c r="B90" s="63"/>
      <c r="C90" s="67"/>
      <c r="D90" s="66"/>
      <c r="E90" s="62"/>
      <c r="F90" s="62"/>
      <c r="G90" s="62"/>
      <c r="H90" s="62"/>
    </row>
    <row r="91" spans="1:8" x14ac:dyDescent="0.2">
      <c r="A91" s="19" t="s">
        <v>415</v>
      </c>
      <c r="B91" s="79">
        <v>0</v>
      </c>
      <c r="C91" s="67" t="s">
        <v>183</v>
      </c>
      <c r="D91" s="66"/>
      <c r="E91" s="62"/>
      <c r="F91" s="62"/>
      <c r="G91" s="62"/>
      <c r="H91" s="62"/>
    </row>
    <row r="92" spans="1:8" x14ac:dyDescent="0.2">
      <c r="A92" s="19"/>
      <c r="B92" s="63"/>
      <c r="C92" s="67"/>
      <c r="D92" s="66"/>
      <c r="E92" s="62"/>
      <c r="F92" s="62"/>
      <c r="G92" s="62"/>
      <c r="H92" s="62"/>
    </row>
    <row r="93" spans="1:8" ht="12" thickBot="1" x14ac:dyDescent="0.25">
      <c r="A93" s="30" t="s">
        <v>184</v>
      </c>
      <c r="B93" s="522">
        <v>0.06</v>
      </c>
      <c r="C93" s="27" t="s">
        <v>183</v>
      </c>
      <c r="D93" s="18"/>
      <c r="E93" s="62"/>
      <c r="F93" s="62"/>
      <c r="G93" s="62"/>
      <c r="H93" s="62"/>
    </row>
    <row r="94" spans="1:8" x14ac:dyDescent="0.2">
      <c r="A94" s="20"/>
      <c r="B94" s="63"/>
      <c r="C94" s="67"/>
      <c r="D94" s="65"/>
      <c r="E94" s="62"/>
      <c r="F94" s="62"/>
      <c r="G94" s="62"/>
      <c r="H94" s="62"/>
    </row>
    <row r="95" spans="1:8" ht="12" thickBot="1" x14ac:dyDescent="0.25"/>
    <row r="96" spans="1:8" x14ac:dyDescent="0.2">
      <c r="A96" s="29" t="s">
        <v>52</v>
      </c>
      <c r="B96" s="570"/>
      <c r="C96" s="40"/>
      <c r="D96" s="570" t="str">
        <f>+D67</f>
        <v>Año 1</v>
      </c>
      <c r="E96" s="570" t="str">
        <f t="shared" ref="E96:H96" si="27">+E67</f>
        <v>Año 2</v>
      </c>
      <c r="F96" s="570" t="str">
        <f t="shared" si="27"/>
        <v>Año 3</v>
      </c>
      <c r="G96" s="570" t="str">
        <f t="shared" si="27"/>
        <v>Año 4</v>
      </c>
      <c r="H96" s="571" t="str">
        <f t="shared" si="27"/>
        <v>Año 5</v>
      </c>
    </row>
    <row r="97" spans="1:8" x14ac:dyDescent="0.2">
      <c r="A97" s="19" t="s">
        <v>124</v>
      </c>
      <c r="B97" s="572"/>
      <c r="C97" s="20"/>
      <c r="D97" s="572">
        <f>+(100%*D100)/(1+'ESTADO DE RESULTADOS'!$C$3)</f>
        <v>1166.1561385378177</v>
      </c>
      <c r="E97" s="572">
        <f>+(100%*E100)/(1+'ESTADO DE RESULTADOS'!$C$3)</f>
        <v>1346.4291242046488</v>
      </c>
      <c r="F97" s="572">
        <f>+(100%*F100)/(1+'ESTADO DE RESULTADOS'!$C$3)</f>
        <v>1554.5957783202239</v>
      </c>
      <c r="G97" s="572">
        <f>+(100%*G100)/(1+'ESTADO DE RESULTADOS'!$C$3)</f>
        <v>1794.9759205707644</v>
      </c>
      <c r="H97" s="573">
        <f>+(100%*H100)/(1+'ESTADO DE RESULTADOS'!$C$3)</f>
        <v>2072.5589384426094</v>
      </c>
    </row>
    <row r="98" spans="1:8" x14ac:dyDescent="0.2">
      <c r="A98" s="19" t="s">
        <v>125</v>
      </c>
      <c r="B98" s="572"/>
      <c r="C98" s="20"/>
      <c r="D98" s="572">
        <f>+D97/12</f>
        <v>97.179678211484813</v>
      </c>
      <c r="E98" s="572">
        <f t="shared" ref="E98:H98" si="28">+E97/12</f>
        <v>112.20242701705406</v>
      </c>
      <c r="F98" s="572">
        <f t="shared" si="28"/>
        <v>129.549648193352</v>
      </c>
      <c r="G98" s="572">
        <f t="shared" si="28"/>
        <v>149.58132671423036</v>
      </c>
      <c r="H98" s="573">
        <f t="shared" si="28"/>
        <v>172.71324487021744</v>
      </c>
    </row>
    <row r="99" spans="1:8" x14ac:dyDescent="0.2">
      <c r="A99" s="19" t="s">
        <v>67</v>
      </c>
      <c r="B99" s="572"/>
      <c r="C99" s="20"/>
      <c r="D99" s="572">
        <f>+D100-D97-D98</f>
        <v>392.6058999743986</v>
      </c>
      <c r="E99" s="572">
        <f t="shared" ref="E99:H99" si="29">+E100-E97-E98</f>
        <v>453.29780514889836</v>
      </c>
      <c r="F99" s="572">
        <f t="shared" si="29"/>
        <v>523.38057870114187</v>
      </c>
      <c r="G99" s="572">
        <f t="shared" si="29"/>
        <v>604.30855992549061</v>
      </c>
      <c r="H99" s="573">
        <f t="shared" si="29"/>
        <v>697.76150927567858</v>
      </c>
    </row>
    <row r="100" spans="1:8" ht="12" thickBot="1" x14ac:dyDescent="0.25">
      <c r="A100" s="37" t="s">
        <v>52</v>
      </c>
      <c r="B100" s="574"/>
      <c r="C100" s="39"/>
      <c r="D100" s="574">
        <f>+'ESTADO DE RESULTADOS'!C12+'ESTADO DE RESULTADOS'!C25</f>
        <v>1655.9417167237011</v>
      </c>
      <c r="E100" s="574">
        <f>+'ESTADO DE RESULTADOS'!D12+'ESTADO DE RESULTADOS'!D25</f>
        <v>1911.9293563706012</v>
      </c>
      <c r="F100" s="574">
        <f>+'ESTADO DE RESULTADOS'!E12+'ESTADO DE RESULTADOS'!E25</f>
        <v>2207.5260052147178</v>
      </c>
      <c r="G100" s="574">
        <f>+'ESTADO DE RESULTADOS'!F12+'ESTADO DE RESULTADOS'!F25</f>
        <v>2548.8658072104854</v>
      </c>
      <c r="H100" s="575">
        <f>+'ESTADO DE RESULTADOS'!G12+'ESTADO DE RESULTADOS'!G25</f>
        <v>2943.0336925885053</v>
      </c>
    </row>
    <row r="102" spans="1:8" ht="12" thickBot="1" x14ac:dyDescent="0.25"/>
    <row r="103" spans="1:8" x14ac:dyDescent="0.2">
      <c r="A103" s="75" t="s">
        <v>144</v>
      </c>
      <c r="B103" s="76">
        <f>59334414.78031/1000</f>
        <v>59334.414780309999</v>
      </c>
      <c r="C103" s="77" t="s">
        <v>142</v>
      </c>
      <c r="D103" s="32"/>
      <c r="E103" s="32"/>
      <c r="F103" s="41"/>
    </row>
    <row r="104" spans="1:8" x14ac:dyDescent="0.2">
      <c r="A104" s="78" t="s">
        <v>146</v>
      </c>
      <c r="B104" s="79">
        <v>0.53</v>
      </c>
      <c r="C104" s="58"/>
      <c r="D104" s="58"/>
      <c r="E104" s="58"/>
      <c r="F104" s="59"/>
    </row>
    <row r="105" spans="1:8" x14ac:dyDescent="0.2">
      <c r="A105" s="78" t="s">
        <v>145</v>
      </c>
      <c r="B105" s="58">
        <f>+B103*B104</f>
        <v>31447.239833564301</v>
      </c>
      <c r="C105" s="80" t="s">
        <v>142</v>
      </c>
      <c r="D105" s="58"/>
      <c r="E105" s="58"/>
      <c r="F105" s="59"/>
    </row>
    <row r="106" spans="1:8" x14ac:dyDescent="0.2">
      <c r="A106" s="78" t="s">
        <v>150</v>
      </c>
      <c r="B106" s="81">
        <f>55577807.56789/1000</f>
        <v>55577.807567890006</v>
      </c>
      <c r="C106" s="80" t="s">
        <v>142</v>
      </c>
      <c r="D106" s="58"/>
      <c r="E106" s="58"/>
      <c r="F106" s="59"/>
    </row>
    <row r="107" spans="1:8" x14ac:dyDescent="0.2">
      <c r="A107" s="78" t="s">
        <v>509</v>
      </c>
      <c r="B107" s="81">
        <v>1243</v>
      </c>
      <c r="C107" s="80" t="s">
        <v>142</v>
      </c>
      <c r="D107" s="58"/>
      <c r="E107" s="58"/>
      <c r="F107" s="59"/>
    </row>
    <row r="108" spans="1:8" x14ac:dyDescent="0.2">
      <c r="A108" s="78" t="s">
        <v>508</v>
      </c>
      <c r="B108" s="82">
        <f>+B107/B106</f>
        <v>2.2365041990575773E-2</v>
      </c>
      <c r="C108" s="80"/>
      <c r="D108" s="58"/>
      <c r="E108" s="58"/>
      <c r="F108" s="59"/>
    </row>
    <row r="109" spans="1:8" x14ac:dyDescent="0.2">
      <c r="A109" s="78" t="s">
        <v>147</v>
      </c>
      <c r="B109" s="83">
        <v>55</v>
      </c>
      <c r="C109" s="58"/>
      <c r="D109" s="58"/>
      <c r="E109" s="58"/>
      <c r="F109" s="59"/>
    </row>
    <row r="110" spans="1:8" x14ac:dyDescent="0.2">
      <c r="A110" s="78" t="s">
        <v>416</v>
      </c>
      <c r="B110" s="58">
        <f>+B105*B108</f>
        <v>703.3188393653727</v>
      </c>
      <c r="C110" s="80" t="s">
        <v>142</v>
      </c>
      <c r="D110" s="58"/>
      <c r="E110" s="58"/>
      <c r="F110" s="59"/>
    </row>
    <row r="111" spans="1:8" x14ac:dyDescent="0.2">
      <c r="A111" s="57"/>
      <c r="B111" s="58"/>
      <c r="C111" s="58"/>
      <c r="D111" s="58"/>
      <c r="E111" s="58"/>
      <c r="F111" s="59"/>
    </row>
    <row r="112" spans="1:8" x14ac:dyDescent="0.2">
      <c r="A112" s="57"/>
      <c r="B112" s="58"/>
      <c r="C112" s="58"/>
      <c r="D112" s="58"/>
      <c r="E112" s="58"/>
      <c r="F112" s="59"/>
    </row>
    <row r="113" spans="1:6" x14ac:dyDescent="0.2">
      <c r="A113" s="78" t="s">
        <v>148</v>
      </c>
      <c r="B113" s="81">
        <f>7606639</f>
        <v>7606639</v>
      </c>
      <c r="C113" s="58"/>
      <c r="D113" s="58"/>
      <c r="E113" s="58"/>
      <c r="F113" s="59"/>
    </row>
    <row r="114" spans="1:6" x14ac:dyDescent="0.2">
      <c r="A114" s="78" t="s">
        <v>149</v>
      </c>
      <c r="B114" s="58">
        <f>+B113/10*12</f>
        <v>9127966.8000000007</v>
      </c>
      <c r="C114" s="58"/>
      <c r="D114" s="58"/>
      <c r="E114" s="58"/>
      <c r="F114" s="59"/>
    </row>
    <row r="115" spans="1:6" x14ac:dyDescent="0.2">
      <c r="A115" s="78" t="s">
        <v>417</v>
      </c>
      <c r="B115" s="58">
        <f>+B114*B108</f>
        <v>204147.36077058158</v>
      </c>
      <c r="C115" s="58"/>
      <c r="D115" s="58"/>
      <c r="E115" s="58"/>
      <c r="F115" s="59"/>
    </row>
    <row r="116" spans="1:6" x14ac:dyDescent="0.2">
      <c r="A116" s="78" t="s">
        <v>151</v>
      </c>
      <c r="B116" s="79">
        <v>0.55000000000000004</v>
      </c>
      <c r="C116" s="58"/>
      <c r="D116" s="58"/>
      <c r="E116" s="58"/>
      <c r="F116" s="59"/>
    </row>
    <row r="117" spans="1:6" x14ac:dyDescent="0.2">
      <c r="A117" s="78" t="s">
        <v>152</v>
      </c>
      <c r="B117" s="79">
        <v>0.45</v>
      </c>
      <c r="C117" s="58"/>
      <c r="D117" s="58"/>
      <c r="E117" s="58"/>
      <c r="F117" s="59"/>
    </row>
    <row r="118" spans="1:6" x14ac:dyDescent="0.2">
      <c r="A118" s="78" t="s">
        <v>153</v>
      </c>
      <c r="B118" s="83">
        <v>29</v>
      </c>
      <c r="C118" s="58"/>
      <c r="D118" s="58"/>
      <c r="E118" s="58"/>
      <c r="F118" s="59"/>
    </row>
    <row r="119" spans="1:6" x14ac:dyDescent="0.2">
      <c r="A119" s="78" t="s">
        <v>154</v>
      </c>
      <c r="B119" s="81">
        <f>+B118/2</f>
        <v>14.5</v>
      </c>
      <c r="C119" s="58"/>
      <c r="D119" s="58"/>
      <c r="E119" s="58"/>
      <c r="F119" s="59"/>
    </row>
    <row r="120" spans="1:6" x14ac:dyDescent="0.2">
      <c r="A120" s="78" t="s">
        <v>418</v>
      </c>
      <c r="B120" s="58">
        <f>(B115*B116)/B118</f>
        <v>3871.7602904765477</v>
      </c>
      <c r="C120" s="58"/>
      <c r="D120" s="58"/>
      <c r="E120" s="58"/>
      <c r="F120" s="59"/>
    </row>
    <row r="121" spans="1:6" x14ac:dyDescent="0.2">
      <c r="A121" s="78" t="s">
        <v>419</v>
      </c>
      <c r="B121" s="58">
        <f>(B115*B117)/B119</f>
        <v>6335.6077480525319</v>
      </c>
      <c r="C121" s="58"/>
      <c r="D121" s="58"/>
      <c r="E121" s="58"/>
      <c r="F121" s="59"/>
    </row>
    <row r="122" spans="1:6" x14ac:dyDescent="0.2">
      <c r="A122" s="84" t="s">
        <v>155</v>
      </c>
      <c r="B122" s="85">
        <f>+B120+B121</f>
        <v>10207.368038529079</v>
      </c>
      <c r="C122" s="576"/>
      <c r="D122" s="58"/>
      <c r="E122" s="58"/>
      <c r="F122" s="59"/>
    </row>
    <row r="123" spans="1:6" x14ac:dyDescent="0.2">
      <c r="A123" s="78" t="s">
        <v>156</v>
      </c>
      <c r="B123" s="110">
        <f>670000/1000000</f>
        <v>0.67</v>
      </c>
      <c r="C123" s="58" t="s">
        <v>143</v>
      </c>
      <c r="D123" s="58"/>
      <c r="E123" s="86"/>
      <c r="F123" s="59"/>
    </row>
    <row r="124" spans="1:6" x14ac:dyDescent="0.2">
      <c r="A124" s="78" t="s">
        <v>157</v>
      </c>
      <c r="B124" s="110">
        <f>590000/1000000</f>
        <v>0.59</v>
      </c>
      <c r="C124" s="58" t="s">
        <v>143</v>
      </c>
      <c r="D124" s="58"/>
      <c r="E124" s="58"/>
      <c r="F124" s="59"/>
    </row>
    <row r="125" spans="1:6" x14ac:dyDescent="0.2">
      <c r="A125" s="57"/>
      <c r="B125" s="58"/>
      <c r="C125" s="58"/>
      <c r="D125" s="58"/>
      <c r="E125" s="58"/>
      <c r="F125" s="59"/>
    </row>
    <row r="126" spans="1:6" x14ac:dyDescent="0.2">
      <c r="A126" s="614" t="s">
        <v>469</v>
      </c>
      <c r="B126" s="615"/>
      <c r="C126" s="615"/>
      <c r="D126" s="615"/>
      <c r="E126" s="615"/>
      <c r="F126" s="616"/>
    </row>
    <row r="127" spans="1:6" x14ac:dyDescent="0.2">
      <c r="A127" s="56" t="s">
        <v>425</v>
      </c>
      <c r="B127" s="85" t="s">
        <v>6</v>
      </c>
      <c r="C127" s="85" t="s">
        <v>7</v>
      </c>
      <c r="D127" s="85" t="s">
        <v>8</v>
      </c>
      <c r="E127" s="85" t="s">
        <v>9</v>
      </c>
      <c r="F127" s="87" t="s">
        <v>10</v>
      </c>
    </row>
    <row r="128" spans="1:6" x14ac:dyDescent="0.2">
      <c r="A128" s="78" t="s">
        <v>158</v>
      </c>
      <c r="B128" s="79">
        <f>+EVALUACIÓN!B16</f>
        <v>0.05</v>
      </c>
      <c r="C128" s="526">
        <f>+B128</f>
        <v>0.05</v>
      </c>
      <c r="D128" s="526">
        <f>+C128</f>
        <v>0.05</v>
      </c>
      <c r="E128" s="526">
        <f>+D128</f>
        <v>0.05</v>
      </c>
      <c r="F128" s="527">
        <f>+E128</f>
        <v>0.05</v>
      </c>
    </row>
    <row r="129" spans="1:6" x14ac:dyDescent="0.2">
      <c r="A129" s="78" t="s">
        <v>204</v>
      </c>
      <c r="B129" s="88">
        <f>(+B114*B116)/B118</f>
        <v>173116.61172413797</v>
      </c>
      <c r="C129" s="53">
        <f>B129*(1+C128)</f>
        <v>181772.44231034486</v>
      </c>
      <c r="D129" s="53">
        <f>C129*(1+D128)</f>
        <v>190861.0644258621</v>
      </c>
      <c r="E129" s="53">
        <f>D129*(1+E128)</f>
        <v>200404.11764715522</v>
      </c>
      <c r="F129" s="54">
        <f>E129*(1+F128)</f>
        <v>210424.323529513</v>
      </c>
    </row>
    <row r="130" spans="1:6" x14ac:dyDescent="0.2">
      <c r="A130" s="78" t="s">
        <v>205</v>
      </c>
      <c r="B130" s="88">
        <f>(+B114*B117)/B119</f>
        <v>283281.72827586211</v>
      </c>
      <c r="C130" s="53">
        <f>B130*(1+C128)</f>
        <v>297445.81468965521</v>
      </c>
      <c r="D130" s="53">
        <f>C130*(1+D128)</f>
        <v>312318.10542413796</v>
      </c>
      <c r="E130" s="53">
        <f>D130*(1+E128)</f>
        <v>327934.01069534488</v>
      </c>
      <c r="F130" s="54">
        <f>E130*(1+F128)</f>
        <v>344330.71123011212</v>
      </c>
    </row>
    <row r="131" spans="1:6" x14ac:dyDescent="0.2">
      <c r="A131" s="78" t="s">
        <v>420</v>
      </c>
      <c r="B131" s="82">
        <f>+B108</f>
        <v>2.2365041990575773E-2</v>
      </c>
      <c r="C131" s="82">
        <f>+B131*(1.05)</f>
        <v>2.3483294090104561E-2</v>
      </c>
      <c r="D131" s="82">
        <f t="shared" ref="D131:F131" si="30">+C131*(1.05)</f>
        <v>2.4657458794609791E-2</v>
      </c>
      <c r="E131" s="82">
        <f t="shared" si="30"/>
        <v>2.5890331734340282E-2</v>
      </c>
      <c r="F131" s="89">
        <f t="shared" si="30"/>
        <v>2.7184848321057296E-2</v>
      </c>
    </row>
    <row r="132" spans="1:6" x14ac:dyDescent="0.2">
      <c r="A132" s="78" t="s">
        <v>421</v>
      </c>
      <c r="B132" s="88">
        <f>+B129*B131</f>
        <v>3871.7602904765477</v>
      </c>
      <c r="C132" s="88">
        <f t="shared" ref="C132:E132" si="31">+C129*C131</f>
        <v>4268.6157202503937</v>
      </c>
      <c r="D132" s="88">
        <f t="shared" si="31"/>
        <v>4706.1488315760598</v>
      </c>
      <c r="E132" s="88">
        <f t="shared" si="31"/>
        <v>5188.5290868126058</v>
      </c>
      <c r="F132" s="90">
        <f>+F129*F131</f>
        <v>5720.3533182108986</v>
      </c>
    </row>
    <row r="133" spans="1:6" x14ac:dyDescent="0.2">
      <c r="A133" s="78" t="s">
        <v>422</v>
      </c>
      <c r="B133" s="88">
        <f>+B130*B131</f>
        <v>6335.6077480525328</v>
      </c>
      <c r="C133" s="88">
        <f t="shared" ref="C133:E133" si="32">+C130*C131</f>
        <v>6985.0075422279169</v>
      </c>
      <c r="D133" s="88">
        <f t="shared" si="32"/>
        <v>7700.9708153062784</v>
      </c>
      <c r="E133" s="88">
        <f t="shared" si="32"/>
        <v>8490.3203238751739</v>
      </c>
      <c r="F133" s="90">
        <f>+F130*F131</f>
        <v>9360.5781570723775</v>
      </c>
    </row>
    <row r="134" spans="1:6" x14ac:dyDescent="0.2">
      <c r="A134" s="78" t="s">
        <v>159</v>
      </c>
      <c r="B134" s="508">
        <f>+WACC!C325</f>
        <v>3.9629999999999992E-2</v>
      </c>
      <c r="C134" s="528">
        <f>+B134</f>
        <v>3.9629999999999992E-2</v>
      </c>
      <c r="D134" s="528">
        <f>+C134</f>
        <v>3.9629999999999992E-2</v>
      </c>
      <c r="E134" s="528">
        <f>+D134</f>
        <v>3.9629999999999992E-2</v>
      </c>
      <c r="F134" s="529">
        <f>+E134</f>
        <v>3.9629999999999992E-2</v>
      </c>
    </row>
    <row r="135" spans="1:6" x14ac:dyDescent="0.2">
      <c r="A135" s="78" t="s">
        <v>160</v>
      </c>
      <c r="B135" s="91">
        <f>B123*(1+B134)</f>
        <v>0.69655210000000012</v>
      </c>
      <c r="C135" s="91">
        <f>+B135*(1+C134)</f>
        <v>0.72415645972300013</v>
      </c>
      <c r="D135" s="91">
        <f t="shared" ref="D135:F135" si="33">+C135*(1+D134)</f>
        <v>0.75285478022182262</v>
      </c>
      <c r="E135" s="91">
        <f t="shared" si="33"/>
        <v>0.78269041516201354</v>
      </c>
      <c r="F135" s="92">
        <f t="shared" si="33"/>
        <v>0.81370843631488421</v>
      </c>
    </row>
    <row r="136" spans="1:6" x14ac:dyDescent="0.2">
      <c r="A136" s="78" t="s">
        <v>161</v>
      </c>
      <c r="B136" s="91">
        <f>B124*(1+B134)</f>
        <v>0.61338170000000003</v>
      </c>
      <c r="C136" s="91">
        <f>+B136*(1+C134)</f>
        <v>0.63769001677100001</v>
      </c>
      <c r="D136" s="91">
        <f t="shared" ref="D136:F136" si="34">+C136*(1+D134)</f>
        <v>0.66296167213563473</v>
      </c>
      <c r="E136" s="91">
        <f t="shared" si="34"/>
        <v>0.68923484320236994</v>
      </c>
      <c r="F136" s="92">
        <f t="shared" si="34"/>
        <v>0.71654922003847987</v>
      </c>
    </row>
    <row r="137" spans="1:6" x14ac:dyDescent="0.2">
      <c r="A137" s="78" t="s">
        <v>162</v>
      </c>
      <c r="B137" s="91">
        <f>+B132*B135</f>
        <v>2696.8827610280496</v>
      </c>
      <c r="C137" s="91">
        <f t="shared" ref="C137:E137" si="35">+C132*C135</f>
        <v>3091.1456478944692</v>
      </c>
      <c r="D137" s="91">
        <f t="shared" si="35"/>
        <v>3543.0466442873817</v>
      </c>
      <c r="E137" s="91">
        <f t="shared" si="35"/>
        <v>4061.0119850375413</v>
      </c>
      <c r="F137" s="92">
        <f>+F132*F135</f>
        <v>4654.6997537300495</v>
      </c>
    </row>
    <row r="138" spans="1:6" x14ac:dyDescent="0.2">
      <c r="A138" s="78" t="s">
        <v>163</v>
      </c>
      <c r="B138" s="91">
        <f>B133*B136</f>
        <v>3886.1458510336342</v>
      </c>
      <c r="C138" s="91">
        <f t="shared" ref="C138:E138" si="36">C133*C136</f>
        <v>4454.2695767488822</v>
      </c>
      <c r="D138" s="91">
        <f t="shared" si="36"/>
        <v>5105.4484887831723</v>
      </c>
      <c r="E138" s="91">
        <f t="shared" si="36"/>
        <v>5851.8245971639999</v>
      </c>
      <c r="F138" s="92">
        <f>+F133*F136</f>
        <v>6707.3149775594438</v>
      </c>
    </row>
    <row r="139" spans="1:6" ht="12" thickBot="1" x14ac:dyDescent="0.25">
      <c r="A139" s="93" t="s">
        <v>471</v>
      </c>
      <c r="B139" s="17">
        <f>+B137+B138</f>
        <v>6583.0286120616838</v>
      </c>
      <c r="C139" s="17">
        <f t="shared" ref="C139:F139" si="37">+C137+C138</f>
        <v>7545.4152246433514</v>
      </c>
      <c r="D139" s="17">
        <f t="shared" si="37"/>
        <v>8648.4951330705535</v>
      </c>
      <c r="E139" s="17">
        <f t="shared" si="37"/>
        <v>9912.8365822015403</v>
      </c>
      <c r="F139" s="18">
        <f t="shared" si="37"/>
        <v>11362.014731289493</v>
      </c>
    </row>
    <row r="141" spans="1:6" x14ac:dyDescent="0.2">
      <c r="A141" s="3" t="s">
        <v>515</v>
      </c>
      <c r="B141" s="5">
        <f>+(B132+(B133/2))</f>
        <v>7039.5641645028136</v>
      </c>
      <c r="C141" s="62">
        <f t="shared" ref="C141:F141" si="38">+(C132+(C133/2))</f>
        <v>7761.1194913643521</v>
      </c>
      <c r="D141" s="62">
        <f t="shared" si="38"/>
        <v>8556.634239229199</v>
      </c>
      <c r="E141" s="62">
        <f t="shared" si="38"/>
        <v>9433.6892487501937</v>
      </c>
      <c r="F141" s="62">
        <f t="shared" si="38"/>
        <v>10400.642396747087</v>
      </c>
    </row>
    <row r="142" spans="1:6" x14ac:dyDescent="0.2">
      <c r="C142" s="8">
        <f>+(C141-B141)/B141</f>
        <v>0.10250000000000002</v>
      </c>
      <c r="D142" s="8">
        <f t="shared" ref="D142:F142" si="39">+(D141-C141)/C141</f>
        <v>0.1025000000000001</v>
      </c>
      <c r="E142" s="8">
        <f t="shared" si="39"/>
        <v>0.1025000000000002</v>
      </c>
      <c r="F142" s="8">
        <f t="shared" si="39"/>
        <v>0.10249999999999987</v>
      </c>
    </row>
  </sheetData>
  <mergeCells count="11">
    <mergeCell ref="A126:F126"/>
    <mergeCell ref="A3:B3"/>
    <mergeCell ref="A20:B20"/>
    <mergeCell ref="A1:H1"/>
    <mergeCell ref="D59:H59"/>
    <mergeCell ref="D66:H66"/>
    <mergeCell ref="D3:H3"/>
    <mergeCell ref="D38:H38"/>
    <mergeCell ref="A29:B29"/>
    <mergeCell ref="A34:B34"/>
    <mergeCell ref="A38:B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7" workbookViewId="0">
      <selection activeCell="A38" sqref="A38"/>
    </sheetView>
  </sheetViews>
  <sheetFormatPr baseColWidth="10" defaultRowHeight="11.25" x14ac:dyDescent="0.2"/>
  <cols>
    <col min="1" max="1" width="72" style="1" bestFit="1" customWidth="1"/>
    <col min="2" max="16384" width="11.42578125" style="1"/>
  </cols>
  <sheetData>
    <row r="1" spans="1:6" x14ac:dyDescent="0.2">
      <c r="A1" s="75" t="s">
        <v>144</v>
      </c>
      <c r="B1" s="76">
        <f>+'BASES DE LAS PROYECCIONE'!B103</f>
        <v>59334.414780309999</v>
      </c>
      <c r="C1" s="77" t="s">
        <v>142</v>
      </c>
      <c r="D1" s="32"/>
      <c r="E1" s="32"/>
      <c r="F1" s="41"/>
    </row>
    <row r="2" spans="1:6" x14ac:dyDescent="0.2">
      <c r="A2" s="78" t="s">
        <v>146</v>
      </c>
      <c r="B2" s="79">
        <f>+'BASES DE LAS PROYECCIONE'!B104</f>
        <v>0.53</v>
      </c>
      <c r="C2" s="105"/>
      <c r="D2" s="105"/>
      <c r="E2" s="105"/>
      <c r="F2" s="108"/>
    </row>
    <row r="3" spans="1:6" x14ac:dyDescent="0.2">
      <c r="A3" s="78" t="s">
        <v>145</v>
      </c>
      <c r="B3" s="105">
        <f>+B1*B2</f>
        <v>31447.239833564301</v>
      </c>
      <c r="C3" s="80" t="s">
        <v>142</v>
      </c>
      <c r="D3" s="105"/>
      <c r="E3" s="105"/>
      <c r="F3" s="108"/>
    </row>
    <row r="4" spans="1:6" x14ac:dyDescent="0.2">
      <c r="A4" s="78" t="s">
        <v>150</v>
      </c>
      <c r="B4" s="81">
        <f>+'BASES DE LAS PROYECCIONE'!B106</f>
        <v>55577.807567890006</v>
      </c>
      <c r="C4" s="80" t="s">
        <v>142</v>
      </c>
      <c r="D4" s="105"/>
      <c r="E4" s="105"/>
      <c r="F4" s="108"/>
    </row>
    <row r="5" spans="1:6" x14ac:dyDescent="0.2">
      <c r="A5" s="78" t="s">
        <v>509</v>
      </c>
      <c r="B5" s="81">
        <f>+'BASES DE LAS PROYECCIONE'!B107</f>
        <v>1243</v>
      </c>
      <c r="C5" s="80" t="s">
        <v>142</v>
      </c>
      <c r="D5" s="105"/>
      <c r="E5" s="105"/>
      <c r="F5" s="108"/>
    </row>
    <row r="6" spans="1:6" x14ac:dyDescent="0.2">
      <c r="A6" s="78" t="s">
        <v>510</v>
      </c>
      <c r="B6" s="82">
        <f>+B5/B4</f>
        <v>2.2365041990575773E-2</v>
      </c>
      <c r="C6" s="80"/>
      <c r="D6" s="105"/>
      <c r="E6" s="105"/>
      <c r="F6" s="108"/>
    </row>
    <row r="7" spans="1:6" x14ac:dyDescent="0.2">
      <c r="A7" s="78" t="s">
        <v>147</v>
      </c>
      <c r="B7" s="83">
        <f>+'BASES DE LAS PROYECCIONE'!B109</f>
        <v>55</v>
      </c>
      <c r="C7" s="105"/>
      <c r="D7" s="105"/>
      <c r="E7" s="105"/>
      <c r="F7" s="108"/>
    </row>
    <row r="8" spans="1:6" x14ac:dyDescent="0.2">
      <c r="A8" s="78" t="s">
        <v>511</v>
      </c>
      <c r="B8" s="105">
        <f>+B3*B6</f>
        <v>703.3188393653727</v>
      </c>
      <c r="C8" s="80" t="s">
        <v>142</v>
      </c>
      <c r="D8" s="105"/>
      <c r="E8" s="105"/>
      <c r="F8" s="108"/>
    </row>
    <row r="9" spans="1:6" x14ac:dyDescent="0.2">
      <c r="A9" s="104"/>
      <c r="B9" s="105"/>
      <c r="C9" s="105"/>
      <c r="D9" s="105"/>
      <c r="E9" s="105"/>
      <c r="F9" s="108"/>
    </row>
    <row r="10" spans="1:6" x14ac:dyDescent="0.2">
      <c r="A10" s="104"/>
      <c r="B10" s="105"/>
      <c r="C10" s="105"/>
      <c r="D10" s="105"/>
      <c r="E10" s="105"/>
      <c r="F10" s="108"/>
    </row>
    <row r="11" spans="1:6" x14ac:dyDescent="0.2">
      <c r="A11" s="78" t="s">
        <v>148</v>
      </c>
      <c r="B11" s="81">
        <f>+'BASES DE LAS PROYECCIONE'!B113</f>
        <v>7606639</v>
      </c>
      <c r="C11" s="105"/>
      <c r="D11" s="105"/>
      <c r="E11" s="105"/>
      <c r="F11" s="108"/>
    </row>
    <row r="12" spans="1:6" x14ac:dyDescent="0.2">
      <c r="A12" s="78" t="s">
        <v>149</v>
      </c>
      <c r="B12" s="105">
        <f>+B11/10*12</f>
        <v>9127966.8000000007</v>
      </c>
      <c r="C12" s="105"/>
      <c r="D12" s="105"/>
      <c r="E12" s="105"/>
      <c r="F12" s="108"/>
    </row>
    <row r="13" spans="1:6" x14ac:dyDescent="0.2">
      <c r="A13" s="78" t="s">
        <v>512</v>
      </c>
      <c r="B13" s="105">
        <f>+B12*B6</f>
        <v>204147.36077058158</v>
      </c>
      <c r="C13" s="105"/>
      <c r="D13" s="105"/>
      <c r="E13" s="105"/>
      <c r="F13" s="108"/>
    </row>
    <row r="14" spans="1:6" x14ac:dyDescent="0.2">
      <c r="A14" s="78" t="s">
        <v>151</v>
      </c>
      <c r="B14" s="79">
        <f>+'BASES DE LAS PROYECCIONE'!B116</f>
        <v>0.55000000000000004</v>
      </c>
      <c r="C14" s="105"/>
      <c r="D14" s="105"/>
      <c r="E14" s="105"/>
      <c r="F14" s="108"/>
    </row>
    <row r="15" spans="1:6" x14ac:dyDescent="0.2">
      <c r="A15" s="78" t="s">
        <v>152</v>
      </c>
      <c r="B15" s="79">
        <f>+'BASES DE LAS PROYECCIONE'!B117</f>
        <v>0.45</v>
      </c>
      <c r="C15" s="105"/>
      <c r="D15" s="105"/>
      <c r="E15" s="105"/>
      <c r="F15" s="108"/>
    </row>
    <row r="16" spans="1:6" x14ac:dyDescent="0.2">
      <c r="A16" s="78" t="s">
        <v>153</v>
      </c>
      <c r="B16" s="83">
        <f>+'BASES DE LAS PROYECCIONE'!B118</f>
        <v>29</v>
      </c>
      <c r="C16" s="105"/>
      <c r="D16" s="105"/>
      <c r="E16" s="105"/>
      <c r="F16" s="108"/>
    </row>
    <row r="17" spans="1:6" x14ac:dyDescent="0.2">
      <c r="A17" s="78" t="s">
        <v>154</v>
      </c>
      <c r="B17" s="81">
        <f>+B16/2</f>
        <v>14.5</v>
      </c>
      <c r="C17" s="105"/>
      <c r="D17" s="105"/>
      <c r="E17" s="105"/>
      <c r="F17" s="108"/>
    </row>
    <row r="18" spans="1:6" x14ac:dyDescent="0.2">
      <c r="A18" s="78" t="s">
        <v>418</v>
      </c>
      <c r="B18" s="105">
        <f>(B13*B14)/B16</f>
        <v>3871.7602904765477</v>
      </c>
      <c r="C18" s="105"/>
      <c r="D18" s="105"/>
      <c r="E18" s="105"/>
      <c r="F18" s="108"/>
    </row>
    <row r="19" spans="1:6" x14ac:dyDescent="0.2">
      <c r="A19" s="78" t="s">
        <v>419</v>
      </c>
      <c r="B19" s="105">
        <f>(B13*B15)/B17</f>
        <v>6335.6077480525319</v>
      </c>
      <c r="C19" s="105"/>
      <c r="D19" s="105"/>
      <c r="E19" s="105"/>
      <c r="F19" s="108"/>
    </row>
    <row r="20" spans="1:6" x14ac:dyDescent="0.2">
      <c r="A20" s="84" t="s">
        <v>155</v>
      </c>
      <c r="B20" s="85">
        <f>+B18+B19</f>
        <v>10207.368038529079</v>
      </c>
      <c r="C20" s="73"/>
      <c r="D20" s="105"/>
      <c r="E20" s="105"/>
      <c r="F20" s="108"/>
    </row>
    <row r="21" spans="1:6" x14ac:dyDescent="0.2">
      <c r="A21" s="78" t="s">
        <v>156</v>
      </c>
      <c r="B21" s="110">
        <f>670000/1000000</f>
        <v>0.67</v>
      </c>
      <c r="C21" s="105" t="s">
        <v>143</v>
      </c>
      <c r="D21" s="105"/>
      <c r="E21" s="86"/>
      <c r="F21" s="108"/>
    </row>
    <row r="22" spans="1:6" x14ac:dyDescent="0.2">
      <c r="A22" s="78" t="s">
        <v>157</v>
      </c>
      <c r="B22" s="110">
        <f>590000/1000000</f>
        <v>0.59</v>
      </c>
      <c r="C22" s="105" t="s">
        <v>143</v>
      </c>
      <c r="D22" s="105"/>
      <c r="E22" s="105"/>
      <c r="F22" s="108"/>
    </row>
    <row r="23" spans="1:6" x14ac:dyDescent="0.2">
      <c r="A23" s="104"/>
      <c r="B23" s="105"/>
      <c r="C23" s="105"/>
      <c r="D23" s="105"/>
      <c r="E23" s="105"/>
      <c r="F23" s="108"/>
    </row>
    <row r="24" spans="1:6" x14ac:dyDescent="0.2">
      <c r="A24" s="614" t="s">
        <v>470</v>
      </c>
      <c r="B24" s="615"/>
      <c r="C24" s="615"/>
      <c r="D24" s="615"/>
      <c r="E24" s="615"/>
      <c r="F24" s="616"/>
    </row>
    <row r="25" spans="1:6" x14ac:dyDescent="0.2">
      <c r="A25" s="515" t="s">
        <v>425</v>
      </c>
      <c r="B25" s="85" t="s">
        <v>6</v>
      </c>
      <c r="C25" s="85" t="s">
        <v>7</v>
      </c>
      <c r="D25" s="85" t="s">
        <v>8</v>
      </c>
      <c r="E25" s="85" t="s">
        <v>9</v>
      </c>
      <c r="F25" s="87" t="s">
        <v>10</v>
      </c>
    </row>
    <row r="26" spans="1:6" x14ac:dyDescent="0.2">
      <c r="A26" s="78" t="s">
        <v>158</v>
      </c>
      <c r="B26" s="79">
        <f>+'BASES DE LAS PROYECCIONE'!B128</f>
        <v>0.05</v>
      </c>
      <c r="C26" s="111">
        <f>+B26</f>
        <v>0.05</v>
      </c>
      <c r="D26" s="111">
        <f>+C26</f>
        <v>0.05</v>
      </c>
      <c r="E26" s="111">
        <f>+D26</f>
        <v>0.05</v>
      </c>
      <c r="F26" s="112">
        <f>+E26</f>
        <v>0.05</v>
      </c>
    </row>
    <row r="27" spans="1:6" x14ac:dyDescent="0.2">
      <c r="A27" s="78" t="s">
        <v>204</v>
      </c>
      <c r="B27" s="88">
        <f>(+B12*B14)/B16</f>
        <v>173116.61172413797</v>
      </c>
      <c r="C27" s="106">
        <f>B27*(1+C26)</f>
        <v>181772.44231034486</v>
      </c>
      <c r="D27" s="106">
        <f>C27*(1+D26)</f>
        <v>190861.0644258621</v>
      </c>
      <c r="E27" s="106">
        <f>D27*(1+E26)</f>
        <v>200404.11764715522</v>
      </c>
      <c r="F27" s="107">
        <f>E27*(1+F26)</f>
        <v>210424.323529513</v>
      </c>
    </row>
    <row r="28" spans="1:6" x14ac:dyDescent="0.2">
      <c r="A28" s="78" t="s">
        <v>205</v>
      </c>
      <c r="B28" s="88">
        <f>(+B12*B15)/B17</f>
        <v>283281.72827586211</v>
      </c>
      <c r="C28" s="106">
        <f>B28*(1+C26)</f>
        <v>297445.81468965521</v>
      </c>
      <c r="D28" s="106">
        <f>C28*(1+D26)</f>
        <v>312318.10542413796</v>
      </c>
      <c r="E28" s="106">
        <f>D28*(1+E26)</f>
        <v>327934.01069534488</v>
      </c>
      <c r="F28" s="107">
        <f>E28*(1+F26)</f>
        <v>344330.71123011212</v>
      </c>
    </row>
    <row r="29" spans="1:6" x14ac:dyDescent="0.2">
      <c r="A29" s="78" t="s">
        <v>420</v>
      </c>
      <c r="B29" s="82">
        <f>+B6</f>
        <v>2.2365041990575773E-2</v>
      </c>
      <c r="C29" s="82">
        <f>+B29*(1.05)</f>
        <v>2.3483294090104561E-2</v>
      </c>
      <c r="D29" s="82">
        <f t="shared" ref="D29:F29" si="0">+C29*(1.05)</f>
        <v>2.4657458794609791E-2</v>
      </c>
      <c r="E29" s="82">
        <f t="shared" si="0"/>
        <v>2.5890331734340282E-2</v>
      </c>
      <c r="F29" s="89">
        <f t="shared" si="0"/>
        <v>2.7184848321057296E-2</v>
      </c>
    </row>
    <row r="30" spans="1:6" x14ac:dyDescent="0.2">
      <c r="A30" s="78" t="s">
        <v>421</v>
      </c>
      <c r="B30" s="88">
        <f>+B27*B29</f>
        <v>3871.7602904765477</v>
      </c>
      <c r="C30" s="88">
        <f t="shared" ref="C30:E30" si="1">+C27*C29</f>
        <v>4268.6157202503937</v>
      </c>
      <c r="D30" s="88">
        <f t="shared" si="1"/>
        <v>4706.1488315760598</v>
      </c>
      <c r="E30" s="88">
        <f t="shared" si="1"/>
        <v>5188.5290868126058</v>
      </c>
      <c r="F30" s="90">
        <f>+F27*F29</f>
        <v>5720.3533182108986</v>
      </c>
    </row>
    <row r="31" spans="1:6" x14ac:dyDescent="0.2">
      <c r="A31" s="78" t="s">
        <v>422</v>
      </c>
      <c r="B31" s="88">
        <f>+B28*B29</f>
        <v>6335.6077480525328</v>
      </c>
      <c r="C31" s="88">
        <f t="shared" ref="C31:E31" si="2">+C28*C29</f>
        <v>6985.0075422279169</v>
      </c>
      <c r="D31" s="88">
        <f t="shared" si="2"/>
        <v>7700.9708153062784</v>
      </c>
      <c r="E31" s="88">
        <f t="shared" si="2"/>
        <v>8490.3203238751739</v>
      </c>
      <c r="F31" s="90">
        <f>+F28*F29</f>
        <v>9360.5781570723775</v>
      </c>
    </row>
    <row r="32" spans="1:6" x14ac:dyDescent="0.2">
      <c r="A32" s="78" t="s">
        <v>159</v>
      </c>
      <c r="B32" s="508">
        <f>+WACC!C325</f>
        <v>3.9629999999999992E-2</v>
      </c>
      <c r="C32" s="508">
        <f>+B32</f>
        <v>3.9629999999999992E-2</v>
      </c>
      <c r="D32" s="508">
        <f>+C32</f>
        <v>3.9629999999999992E-2</v>
      </c>
      <c r="E32" s="508">
        <f>+D32</f>
        <v>3.9629999999999992E-2</v>
      </c>
      <c r="F32" s="509">
        <f>+E32</f>
        <v>3.9629999999999992E-2</v>
      </c>
    </row>
    <row r="33" spans="1:6" x14ac:dyDescent="0.2">
      <c r="A33" s="78" t="s">
        <v>160</v>
      </c>
      <c r="B33" s="91">
        <f>B21*(1+B32)</f>
        <v>0.69655210000000012</v>
      </c>
      <c r="C33" s="91">
        <f>+B33*(1+C32)</f>
        <v>0.72415645972300013</v>
      </c>
      <c r="D33" s="91">
        <f t="shared" ref="D33:F33" si="3">+C33*(1+D32)</f>
        <v>0.75285478022182262</v>
      </c>
      <c r="E33" s="91">
        <f t="shared" si="3"/>
        <v>0.78269041516201354</v>
      </c>
      <c r="F33" s="92">
        <f t="shared" si="3"/>
        <v>0.81370843631488421</v>
      </c>
    </row>
    <row r="34" spans="1:6" x14ac:dyDescent="0.2">
      <c r="A34" s="78" t="s">
        <v>161</v>
      </c>
      <c r="B34" s="91">
        <f>B22*(1+B32)</f>
        <v>0.61338170000000003</v>
      </c>
      <c r="C34" s="91">
        <f>+B34*(1+C32)</f>
        <v>0.63769001677100001</v>
      </c>
      <c r="D34" s="91">
        <f t="shared" ref="D34:F34" si="4">+C34*(1+D32)</f>
        <v>0.66296167213563473</v>
      </c>
      <c r="E34" s="91">
        <f t="shared" si="4"/>
        <v>0.68923484320236994</v>
      </c>
      <c r="F34" s="92">
        <f t="shared" si="4"/>
        <v>0.71654922003847987</v>
      </c>
    </row>
    <row r="35" spans="1:6" x14ac:dyDescent="0.2">
      <c r="A35" s="78" t="s">
        <v>162</v>
      </c>
      <c r="B35" s="91">
        <f>+B30*B33</f>
        <v>2696.8827610280496</v>
      </c>
      <c r="C35" s="91">
        <f t="shared" ref="C35:E35" si="5">+C30*C33</f>
        <v>3091.1456478944692</v>
      </c>
      <c r="D35" s="91">
        <f t="shared" si="5"/>
        <v>3543.0466442873817</v>
      </c>
      <c r="E35" s="91">
        <f t="shared" si="5"/>
        <v>4061.0119850375413</v>
      </c>
      <c r="F35" s="92">
        <f>+F30*F33</f>
        <v>4654.6997537300495</v>
      </c>
    </row>
    <row r="36" spans="1:6" x14ac:dyDescent="0.2">
      <c r="A36" s="78" t="s">
        <v>163</v>
      </c>
      <c r="B36" s="91">
        <f>B31*B34</f>
        <v>3886.1458510336342</v>
      </c>
      <c r="C36" s="91">
        <f t="shared" ref="C36:E36" si="6">C31*C34</f>
        <v>4454.2695767488822</v>
      </c>
      <c r="D36" s="91">
        <f t="shared" si="6"/>
        <v>5105.4484887831723</v>
      </c>
      <c r="E36" s="91">
        <f t="shared" si="6"/>
        <v>5851.8245971639999</v>
      </c>
      <c r="F36" s="92">
        <f>+F31*F34</f>
        <v>6707.3149775594438</v>
      </c>
    </row>
    <row r="37" spans="1:6" ht="12" thickBot="1" x14ac:dyDescent="0.25">
      <c r="A37" s="93" t="s">
        <v>471</v>
      </c>
      <c r="B37" s="17">
        <f>+B35+B36</f>
        <v>6583.0286120616838</v>
      </c>
      <c r="C37" s="17">
        <f t="shared" ref="C37:F37" si="7">+C35+C36</f>
        <v>7545.4152246433514</v>
      </c>
      <c r="D37" s="17">
        <f t="shared" si="7"/>
        <v>8648.4951330705535</v>
      </c>
      <c r="E37" s="17">
        <f t="shared" si="7"/>
        <v>9912.8365822015403</v>
      </c>
      <c r="F37" s="18">
        <f t="shared" si="7"/>
        <v>11362.014731289493</v>
      </c>
    </row>
    <row r="38" spans="1:6" x14ac:dyDescent="0.2">
      <c r="C38" s="3"/>
      <c r="D38" s="3"/>
      <c r="E38" s="3"/>
      <c r="F38" s="3"/>
    </row>
  </sheetData>
  <mergeCells count="1">
    <mergeCell ref="A24:F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workbookViewId="0">
      <selection activeCell="A20" sqref="A20"/>
    </sheetView>
  </sheetViews>
  <sheetFormatPr baseColWidth="10" defaultRowHeight="11.25" x14ac:dyDescent="0.2"/>
  <cols>
    <col min="1" max="1" width="20.7109375" style="3" bestFit="1" customWidth="1"/>
    <col min="2" max="13" width="11.42578125" style="3"/>
    <col min="14" max="14" width="20.7109375" style="3" bestFit="1" customWidth="1"/>
    <col min="15" max="16384" width="11.42578125" style="3"/>
  </cols>
  <sheetData>
    <row r="1" spans="1:18" x14ac:dyDescent="0.2">
      <c r="A1" s="617" t="s">
        <v>461</v>
      </c>
      <c r="B1" s="618"/>
      <c r="C1" s="618"/>
      <c r="D1" s="618"/>
      <c r="E1" s="618"/>
      <c r="F1" s="620"/>
      <c r="G1" s="10"/>
      <c r="H1" s="617" t="str">
        <f>+A1</f>
        <v>RedetransS.A. Desconsolidación</v>
      </c>
      <c r="I1" s="618"/>
      <c r="J1" s="618"/>
      <c r="K1" s="618"/>
      <c r="L1" s="618"/>
      <c r="M1" s="618"/>
      <c r="N1" s="617" t="str">
        <f>+H1</f>
        <v>RedetransS.A. Desconsolidación</v>
      </c>
      <c r="O1" s="618"/>
      <c r="P1" s="618"/>
      <c r="Q1" s="618"/>
      <c r="R1" s="620"/>
    </row>
    <row r="2" spans="1:18" x14ac:dyDescent="0.2">
      <c r="A2" s="614" t="s">
        <v>474</v>
      </c>
      <c r="B2" s="615"/>
      <c r="C2" s="615"/>
      <c r="D2" s="615"/>
      <c r="E2" s="615"/>
      <c r="F2" s="616"/>
      <c r="H2" s="614" t="s">
        <v>475</v>
      </c>
      <c r="I2" s="615"/>
      <c r="J2" s="615"/>
      <c r="K2" s="615"/>
      <c r="L2" s="615"/>
      <c r="M2" s="615"/>
      <c r="N2" s="614" t="str">
        <f>+H2</f>
        <v>Plan de Amortización Compra Bodega</v>
      </c>
      <c r="O2" s="615"/>
      <c r="P2" s="615"/>
      <c r="Q2" s="615"/>
      <c r="R2" s="616"/>
    </row>
    <row r="3" spans="1:18" x14ac:dyDescent="0.2">
      <c r="A3" s="621" t="s">
        <v>4</v>
      </c>
      <c r="B3" s="622"/>
      <c r="C3" s="622"/>
      <c r="D3" s="622"/>
      <c r="E3" s="622"/>
      <c r="F3" s="623"/>
      <c r="H3" s="621" t="s">
        <v>4</v>
      </c>
      <c r="I3" s="622"/>
      <c r="J3" s="622"/>
      <c r="K3" s="622"/>
      <c r="L3" s="622"/>
      <c r="M3" s="622"/>
      <c r="N3" s="621" t="str">
        <f>+H3</f>
        <v>Cifras en $ Millones</v>
      </c>
      <c r="O3" s="622"/>
      <c r="P3" s="622"/>
      <c r="Q3" s="622"/>
      <c r="R3" s="623"/>
    </row>
    <row r="4" spans="1:18" x14ac:dyDescent="0.2">
      <c r="A4" s="19"/>
      <c r="B4" s="20"/>
      <c r="C4" s="20"/>
      <c r="D4" s="20"/>
      <c r="E4" s="20"/>
      <c r="F4" s="21"/>
      <c r="H4" s="19"/>
      <c r="I4" s="20"/>
      <c r="J4" s="20"/>
      <c r="K4" s="20"/>
      <c r="L4" s="20"/>
      <c r="M4" s="20"/>
      <c r="N4" s="523"/>
      <c r="O4" s="524"/>
      <c r="P4" s="524"/>
      <c r="Q4" s="524"/>
      <c r="R4" s="21"/>
    </row>
    <row r="5" spans="1:18" x14ac:dyDescent="0.2">
      <c r="A5" s="19" t="s">
        <v>93</v>
      </c>
      <c r="B5" s="63">
        <f>+NECESIDADES!E33</f>
        <v>1088.9055000000001</v>
      </c>
      <c r="C5" s="20"/>
      <c r="D5" s="20"/>
      <c r="E5" s="20"/>
      <c r="F5" s="21"/>
      <c r="H5" s="19" t="s">
        <v>93</v>
      </c>
      <c r="I5" s="58">
        <f>+NECESIDADES!E36</f>
        <v>7500</v>
      </c>
      <c r="J5" s="20"/>
      <c r="K5" s="20"/>
      <c r="L5" s="20"/>
      <c r="M5" s="20"/>
      <c r="N5" s="19" t="s">
        <v>93</v>
      </c>
      <c r="O5" s="520">
        <f>+I5</f>
        <v>7500</v>
      </c>
      <c r="P5" s="20"/>
      <c r="Q5" s="20"/>
      <c r="R5" s="21"/>
    </row>
    <row r="6" spans="1:18" x14ac:dyDescent="0.2">
      <c r="A6" s="19" t="s">
        <v>94</v>
      </c>
      <c r="B6" s="22">
        <v>5</v>
      </c>
      <c r="C6" s="20" t="s">
        <v>95</v>
      </c>
      <c r="D6" s="20"/>
      <c r="E6" s="20"/>
      <c r="F6" s="21"/>
      <c r="H6" s="19" t="s">
        <v>94</v>
      </c>
      <c r="I6" s="53">
        <v>10</v>
      </c>
      <c r="J6" s="20" t="s">
        <v>95</v>
      </c>
      <c r="K6" s="53">
        <v>12</v>
      </c>
      <c r="L6" s="20" t="s">
        <v>137</v>
      </c>
      <c r="M6" s="519">
        <v>120</v>
      </c>
      <c r="N6" s="19" t="s">
        <v>94</v>
      </c>
      <c r="O6" s="519">
        <v>120</v>
      </c>
      <c r="P6" s="20" t="s">
        <v>412</v>
      </c>
      <c r="Q6" s="20"/>
      <c r="R6" s="21"/>
    </row>
    <row r="7" spans="1:18" x14ac:dyDescent="0.2">
      <c r="A7" s="19" t="s">
        <v>96</v>
      </c>
      <c r="B7" s="23">
        <v>0.15</v>
      </c>
      <c r="C7" s="20" t="s">
        <v>97</v>
      </c>
      <c r="D7" s="20"/>
      <c r="E7" s="20"/>
      <c r="F7" s="21"/>
      <c r="H7" s="19" t="s">
        <v>96</v>
      </c>
      <c r="I7" s="23">
        <v>0.1</v>
      </c>
      <c r="J7" s="20" t="s">
        <v>97</v>
      </c>
      <c r="K7" s="73">
        <f>NOMINAL(I7,K6)</f>
        <v>9.5689685146845171E-2</v>
      </c>
      <c r="L7" s="20" t="s">
        <v>138</v>
      </c>
      <c r="M7" s="73">
        <f>+K7/12</f>
        <v>7.9741404289037643E-3</v>
      </c>
      <c r="N7" s="19" t="s">
        <v>96</v>
      </c>
      <c r="O7" s="23">
        <v>0.1</v>
      </c>
      <c r="P7" s="20" t="s">
        <v>97</v>
      </c>
      <c r="Q7" s="20"/>
      <c r="R7" s="21"/>
    </row>
    <row r="8" spans="1:18" x14ac:dyDescent="0.2">
      <c r="A8" s="19" t="s">
        <v>98</v>
      </c>
      <c r="B8" s="15">
        <f>PMT(B7,B6,-B5)</f>
        <v>324.83744581089678</v>
      </c>
      <c r="C8" s="20"/>
      <c r="D8" s="20"/>
      <c r="E8" s="20"/>
      <c r="F8" s="21"/>
      <c r="H8" s="19" t="s">
        <v>98</v>
      </c>
      <c r="I8" s="58">
        <f>PMT(M7,M6,-I5)</f>
        <v>97.331597471290607</v>
      </c>
      <c r="J8" s="20"/>
      <c r="K8" s="20"/>
      <c r="L8" s="20"/>
      <c r="M8" s="20"/>
      <c r="N8" s="19" t="s">
        <v>413</v>
      </c>
      <c r="O8" s="20"/>
      <c r="P8" s="20"/>
      <c r="Q8" s="20"/>
      <c r="R8" s="21"/>
    </row>
    <row r="9" spans="1:18" x14ac:dyDescent="0.2">
      <c r="A9" s="19"/>
      <c r="B9" s="20"/>
      <c r="C9" s="20"/>
      <c r="D9" s="20"/>
      <c r="E9" s="20"/>
      <c r="F9" s="21"/>
      <c r="H9" s="19"/>
      <c r="I9" s="20"/>
      <c r="J9" s="20"/>
      <c r="K9" s="20"/>
      <c r="L9" s="20"/>
      <c r="M9" s="20"/>
      <c r="N9" s="19"/>
      <c r="O9" s="20"/>
      <c r="P9" s="20"/>
      <c r="Q9" s="20"/>
      <c r="R9" s="21"/>
    </row>
    <row r="10" spans="1:18" x14ac:dyDescent="0.2">
      <c r="A10" s="24" t="s">
        <v>99</v>
      </c>
      <c r="B10" s="15" t="s">
        <v>100</v>
      </c>
      <c r="C10" s="15" t="s">
        <v>105</v>
      </c>
      <c r="D10" s="15" t="s">
        <v>25</v>
      </c>
      <c r="E10" s="15" t="s">
        <v>104</v>
      </c>
      <c r="F10" s="16" t="s">
        <v>103</v>
      </c>
      <c r="H10" s="57" t="s">
        <v>104</v>
      </c>
      <c r="I10" s="58" t="s">
        <v>100</v>
      </c>
      <c r="J10" s="58" t="s">
        <v>105</v>
      </c>
      <c r="K10" s="58" t="s">
        <v>25</v>
      </c>
      <c r="L10" s="58" t="s">
        <v>104</v>
      </c>
      <c r="M10" s="520" t="s">
        <v>103</v>
      </c>
      <c r="N10" s="515" t="s">
        <v>99</v>
      </c>
      <c r="O10" s="516" t="s">
        <v>104</v>
      </c>
      <c r="P10" s="516" t="s">
        <v>105</v>
      </c>
      <c r="Q10" s="516" t="s">
        <v>25</v>
      </c>
      <c r="R10" s="517" t="s">
        <v>103</v>
      </c>
    </row>
    <row r="11" spans="1:18" x14ac:dyDescent="0.2">
      <c r="A11" s="25">
        <v>0</v>
      </c>
      <c r="B11" s="15">
        <f>+B5</f>
        <v>1088.9055000000001</v>
      </c>
      <c r="C11" s="15">
        <v>0</v>
      </c>
      <c r="D11" s="15">
        <v>0</v>
      </c>
      <c r="E11" s="15">
        <v>0</v>
      </c>
      <c r="F11" s="16">
        <f>+B11</f>
        <v>1088.9055000000001</v>
      </c>
      <c r="H11" s="52">
        <v>0</v>
      </c>
      <c r="I11" s="58">
        <f>+I5</f>
        <v>7500</v>
      </c>
      <c r="J11" s="58">
        <f>+L11-K11</f>
        <v>0</v>
      </c>
      <c r="K11" s="58">
        <v>0</v>
      </c>
      <c r="L11" s="58">
        <v>0</v>
      </c>
      <c r="M11" s="20">
        <f>+I5</f>
        <v>7500</v>
      </c>
      <c r="N11" s="518">
        <v>1</v>
      </c>
      <c r="O11" s="520">
        <f>SUM(L12:L23)</f>
        <v>1167.9791696554873</v>
      </c>
      <c r="P11" s="520">
        <f>SUM(J12:J23)</f>
        <v>470.5904616188364</v>
      </c>
      <c r="Q11" s="520">
        <f>SUM(K12:K23)</f>
        <v>697.38870803665088</v>
      </c>
      <c r="R11" s="521">
        <f>+I5-P11</f>
        <v>7029.4095383811637</v>
      </c>
    </row>
    <row r="12" spans="1:18" x14ac:dyDescent="0.2">
      <c r="A12" s="25">
        <v>1</v>
      </c>
      <c r="B12" s="15">
        <f>+F11</f>
        <v>1088.9055000000001</v>
      </c>
      <c r="C12" s="15">
        <f>+E12-D12</f>
        <v>161.50162081089678</v>
      </c>
      <c r="D12" s="15">
        <f>+F11*$B$7</f>
        <v>163.335825</v>
      </c>
      <c r="E12" s="15">
        <f>+B8</f>
        <v>324.83744581089678</v>
      </c>
      <c r="F12" s="16">
        <f>+B12-C12</f>
        <v>927.40387918910324</v>
      </c>
      <c r="H12" s="52">
        <f>+H11+1</f>
        <v>1</v>
      </c>
      <c r="I12" s="58">
        <f>+M11</f>
        <v>7500</v>
      </c>
      <c r="J12" s="58">
        <f>+L12-K12</f>
        <v>37.525544254512376</v>
      </c>
      <c r="K12" s="58">
        <f>+M11*$K$7/K6</f>
        <v>59.806053216778231</v>
      </c>
      <c r="L12" s="58">
        <f>+$I$8</f>
        <v>97.331597471290607</v>
      </c>
      <c r="M12" s="20">
        <f>+I12-J12</f>
        <v>7462.4744557454878</v>
      </c>
      <c r="N12" s="518">
        <v>2</v>
      </c>
      <c r="O12" s="520">
        <f>SUM(L24:L35)</f>
        <v>1167.9791696554873</v>
      </c>
      <c r="P12" s="520">
        <f>SUM(J24:J35)</f>
        <v>517.64950778072023</v>
      </c>
      <c r="Q12" s="520">
        <f>SUM(K24:K35)</f>
        <v>650.32966187476711</v>
      </c>
      <c r="R12" s="521">
        <f>+R11-P12</f>
        <v>6511.7600306004433</v>
      </c>
    </row>
    <row r="13" spans="1:18" x14ac:dyDescent="0.2">
      <c r="A13" s="25">
        <v>2</v>
      </c>
      <c r="B13" s="15">
        <f t="shared" ref="B13:B16" si="0">+F12</f>
        <v>927.40387918910324</v>
      </c>
      <c r="C13" s="15">
        <f t="shared" ref="C13:C16" si="1">+E13-D13</f>
        <v>185.7268639325313</v>
      </c>
      <c r="D13" s="15">
        <f t="shared" ref="D13:D16" si="2">+F12*$B$7</f>
        <v>139.11058187836548</v>
      </c>
      <c r="E13" s="15">
        <f>+E12</f>
        <v>324.83744581089678</v>
      </c>
      <c r="F13" s="16">
        <f t="shared" ref="F13:F16" si="3">+B13-C13</f>
        <v>741.67701525657196</v>
      </c>
      <c r="H13" s="52">
        <f>+H12+1</f>
        <v>2</v>
      </c>
      <c r="I13" s="58">
        <f>+M12</f>
        <v>7462.4744557454878</v>
      </c>
      <c r="J13" s="58">
        <f>+L13-K13</f>
        <v>37.8247782140689</v>
      </c>
      <c r="K13" s="58">
        <f>+M12*$K$7/12</f>
        <v>59.506819257221707</v>
      </c>
      <c r="L13" s="58">
        <f>+$I$8</f>
        <v>97.331597471290607</v>
      </c>
      <c r="M13" s="20">
        <f>+I13-J13</f>
        <v>7424.649677531419</v>
      </c>
      <c r="N13" s="518">
        <v>3</v>
      </c>
      <c r="O13" s="520">
        <f>SUM(L36:L47)</f>
        <v>1167.9791696554873</v>
      </c>
      <c r="P13" s="520">
        <f>SUM(J36:J47)</f>
        <v>569.4144585587926</v>
      </c>
      <c r="Q13" s="520">
        <f>SUM(K36:K47)</f>
        <v>598.56471109669485</v>
      </c>
      <c r="R13" s="521">
        <f t="shared" ref="R13:R20" si="4">+R12-P13</f>
        <v>5942.3455720416505</v>
      </c>
    </row>
    <row r="14" spans="1:18" x14ac:dyDescent="0.2">
      <c r="A14" s="25">
        <v>3</v>
      </c>
      <c r="B14" s="15">
        <f t="shared" si="0"/>
        <v>741.67701525657196</v>
      </c>
      <c r="C14" s="15">
        <f t="shared" si="1"/>
        <v>213.58589352241097</v>
      </c>
      <c r="D14" s="15">
        <f t="shared" si="2"/>
        <v>111.2515522884858</v>
      </c>
      <c r="E14" s="15">
        <f t="shared" ref="E14:E16" si="5">+E13</f>
        <v>324.83744581089678</v>
      </c>
      <c r="F14" s="16">
        <f t="shared" si="3"/>
        <v>528.09112173416099</v>
      </c>
      <c r="H14" s="52">
        <f t="shared" ref="H14:H77" si="6">+H13+1</f>
        <v>3</v>
      </c>
      <c r="I14" s="58">
        <f>+M13</f>
        <v>7424.649677531419</v>
      </c>
      <c r="J14" s="58">
        <f>+L14-K14</f>
        <v>38.126398307240024</v>
      </c>
      <c r="K14" s="58">
        <f>+M13*$K$7/12</f>
        <v>59.205199164050583</v>
      </c>
      <c r="L14" s="58">
        <f>+$I$8</f>
        <v>97.331597471290607</v>
      </c>
      <c r="M14" s="20">
        <f>+I14-J14</f>
        <v>7386.5232792241786</v>
      </c>
      <c r="N14" s="518">
        <v>4</v>
      </c>
      <c r="O14" s="520">
        <f>SUM(L48:L59)</f>
        <v>1167.9791696554873</v>
      </c>
      <c r="P14" s="520">
        <f>SUM(J48:J59)</f>
        <v>626.35590441467184</v>
      </c>
      <c r="Q14" s="520">
        <f>SUM(K48:K59)</f>
        <v>541.62326524081516</v>
      </c>
      <c r="R14" s="521">
        <f t="shared" si="4"/>
        <v>5315.9896676269782</v>
      </c>
    </row>
    <row r="15" spans="1:18" x14ac:dyDescent="0.2">
      <c r="A15" s="25">
        <v>4</v>
      </c>
      <c r="B15" s="15">
        <f t="shared" si="0"/>
        <v>528.09112173416099</v>
      </c>
      <c r="C15" s="15">
        <f t="shared" si="1"/>
        <v>245.62377755077262</v>
      </c>
      <c r="D15" s="15">
        <f t="shared" si="2"/>
        <v>79.213668260124152</v>
      </c>
      <c r="E15" s="15">
        <f t="shared" si="5"/>
        <v>324.83744581089678</v>
      </c>
      <c r="F15" s="16">
        <f t="shared" si="3"/>
        <v>282.46734418338838</v>
      </c>
      <c r="H15" s="52">
        <f t="shared" si="6"/>
        <v>4</v>
      </c>
      <c r="I15" s="58">
        <f t="shared" ref="I15:I78" si="7">+M14</f>
        <v>7386.5232792241786</v>
      </c>
      <c r="J15" s="58">
        <f t="shared" ref="J15:J78" si="8">+L15-K15</f>
        <v>38.430423561390278</v>
      </c>
      <c r="K15" s="58">
        <f t="shared" ref="K15:K78" si="9">+M14*$K$7/12</f>
        <v>58.901173909900329</v>
      </c>
      <c r="L15" s="58">
        <f t="shared" ref="L15:L78" si="10">+$I$8</f>
        <v>97.331597471290607</v>
      </c>
      <c r="M15" s="20">
        <f t="shared" ref="M15:M78" si="11">+I15-J15</f>
        <v>7348.0928556627887</v>
      </c>
      <c r="N15" s="518">
        <v>5</v>
      </c>
      <c r="O15" s="520">
        <f>SUM(L60:L71)</f>
        <v>1167.9791696554873</v>
      </c>
      <c r="P15" s="520">
        <f>SUM(J60:J71)</f>
        <v>688.99149485613941</v>
      </c>
      <c r="Q15" s="520">
        <f>SUM(K60:K71)</f>
        <v>478.98767479934787</v>
      </c>
      <c r="R15" s="521">
        <f t="shared" si="4"/>
        <v>4626.9981727708391</v>
      </c>
    </row>
    <row r="16" spans="1:18" ht="12" thickBot="1" x14ac:dyDescent="0.25">
      <c r="A16" s="26">
        <v>5</v>
      </c>
      <c r="B16" s="27">
        <f t="shared" si="0"/>
        <v>282.46734418338838</v>
      </c>
      <c r="C16" s="27">
        <f t="shared" si="1"/>
        <v>282.46734418338855</v>
      </c>
      <c r="D16" s="27">
        <f t="shared" si="2"/>
        <v>42.370101627508255</v>
      </c>
      <c r="E16" s="27">
        <f t="shared" si="5"/>
        <v>324.83744581089678</v>
      </c>
      <c r="F16" s="28">
        <f t="shared" si="3"/>
        <v>0</v>
      </c>
      <c r="H16" s="52">
        <f t="shared" si="6"/>
        <v>5</v>
      </c>
      <c r="I16" s="58">
        <f t="shared" si="7"/>
        <v>7348.0928556627887</v>
      </c>
      <c r="J16" s="58">
        <f t="shared" si="8"/>
        <v>38.736873155611057</v>
      </c>
      <c r="K16" s="58">
        <f t="shared" si="9"/>
        <v>58.594724315679549</v>
      </c>
      <c r="L16" s="58">
        <f t="shared" si="10"/>
        <v>97.331597471290607</v>
      </c>
      <c r="M16" s="20">
        <f t="shared" si="11"/>
        <v>7309.3559825071779</v>
      </c>
      <c r="N16" s="518">
        <v>6</v>
      </c>
      <c r="O16" s="520">
        <f>SUM(L72:L83)</f>
        <v>1167.9791696554873</v>
      </c>
      <c r="P16" s="520">
        <f>SUM(J72:J83)</f>
        <v>757.89064434175339</v>
      </c>
      <c r="Q16" s="520">
        <f>SUM(K72:K83)</f>
        <v>410.08852531373384</v>
      </c>
      <c r="R16" s="521">
        <f t="shared" si="4"/>
        <v>3869.1075284290855</v>
      </c>
    </row>
    <row r="17" spans="1:20" x14ac:dyDescent="0.2">
      <c r="H17" s="52">
        <f t="shared" si="6"/>
        <v>6</v>
      </c>
      <c r="I17" s="58">
        <f t="shared" si="7"/>
        <v>7309.3559825071779</v>
      </c>
      <c r="J17" s="58">
        <f t="shared" si="8"/>
        <v>39.04576642193053</v>
      </c>
      <c r="K17" s="58">
        <f t="shared" si="9"/>
        <v>58.285831049360077</v>
      </c>
      <c r="L17" s="58">
        <f t="shared" si="10"/>
        <v>97.331597471290607</v>
      </c>
      <c r="M17" s="20">
        <f t="shared" si="11"/>
        <v>7270.3102160852477</v>
      </c>
      <c r="N17" s="518">
        <v>7</v>
      </c>
      <c r="O17" s="520">
        <f>SUM(L84:L95)</f>
        <v>1167.9791696554873</v>
      </c>
      <c r="P17" s="520">
        <f>SUM(J84:J95)</f>
        <v>833.67970877592893</v>
      </c>
      <c r="Q17" s="520">
        <f>SUM(K84:K95)</f>
        <v>334.29946087955841</v>
      </c>
      <c r="R17" s="521">
        <f t="shared" si="4"/>
        <v>3035.4278196531568</v>
      </c>
    </row>
    <row r="18" spans="1:20" x14ac:dyDescent="0.2">
      <c r="A18" s="524"/>
      <c r="B18" s="524"/>
      <c r="C18" s="524"/>
      <c r="D18" s="524"/>
      <c r="E18" s="524"/>
      <c r="F18" s="524"/>
      <c r="H18" s="52">
        <f t="shared" si="6"/>
        <v>7</v>
      </c>
      <c r="I18" s="58">
        <f t="shared" si="7"/>
        <v>7270.3102160852477</v>
      </c>
      <c r="J18" s="58">
        <f t="shared" si="8"/>
        <v>39.357122846533166</v>
      </c>
      <c r="K18" s="58">
        <f t="shared" si="9"/>
        <v>57.974474624757441</v>
      </c>
      <c r="L18" s="58">
        <f t="shared" si="10"/>
        <v>97.331597471290607</v>
      </c>
      <c r="M18" s="20">
        <f t="shared" si="11"/>
        <v>7230.9530932387142</v>
      </c>
      <c r="N18" s="518">
        <v>8</v>
      </c>
      <c r="O18" s="520">
        <f>SUM(L96:L107)</f>
        <v>1167.9791696554873</v>
      </c>
      <c r="P18" s="520">
        <f>SUM(J96:J107)</f>
        <v>917.0476796535221</v>
      </c>
      <c r="Q18" s="520">
        <f>SUM(K96:K107)</f>
        <v>250.93149000196522</v>
      </c>
      <c r="R18" s="521">
        <f t="shared" si="4"/>
        <v>2118.3801399996346</v>
      </c>
    </row>
    <row r="19" spans="1:20" x14ac:dyDescent="0.2">
      <c r="A19" s="524"/>
      <c r="B19" s="524"/>
      <c r="C19" s="524"/>
      <c r="D19" s="524"/>
      <c r="E19" s="524"/>
      <c r="F19" s="524"/>
      <c r="H19" s="52">
        <f t="shared" si="6"/>
        <v>8</v>
      </c>
      <c r="I19" s="58">
        <f t="shared" si="7"/>
        <v>7230.9530932387142</v>
      </c>
      <c r="J19" s="58">
        <f t="shared" si="8"/>
        <v>39.670962070989042</v>
      </c>
      <c r="K19" s="58">
        <f t="shared" si="9"/>
        <v>57.660635400301565</v>
      </c>
      <c r="L19" s="58">
        <f t="shared" si="10"/>
        <v>97.331597471290607</v>
      </c>
      <c r="M19" s="20">
        <f t="shared" si="11"/>
        <v>7191.2821311677253</v>
      </c>
      <c r="N19" s="518">
        <v>9</v>
      </c>
      <c r="O19" s="520">
        <f>SUM(L108:L119)</f>
        <v>1167.9791696554873</v>
      </c>
      <c r="P19" s="520">
        <f>SUM(J108:J119)</f>
        <v>1008.7524476188745</v>
      </c>
      <c r="Q19" s="520">
        <f>SUM(K108:K119)</f>
        <v>159.22672203661273</v>
      </c>
      <c r="R19" s="521">
        <f t="shared" si="4"/>
        <v>1109.62769238076</v>
      </c>
    </row>
    <row r="20" spans="1:20" x14ac:dyDescent="0.2">
      <c r="A20" s="525"/>
      <c r="B20" s="525"/>
      <c r="C20" s="525"/>
      <c r="D20" s="525"/>
      <c r="E20" s="525"/>
      <c r="F20" s="525"/>
      <c r="H20" s="52">
        <f t="shared" si="6"/>
        <v>9</v>
      </c>
      <c r="I20" s="58">
        <f t="shared" si="7"/>
        <v>7191.2821311677253</v>
      </c>
      <c r="J20" s="58">
        <f t="shared" si="8"/>
        <v>39.987303893492829</v>
      </c>
      <c r="K20" s="58">
        <f t="shared" si="9"/>
        <v>57.344293577797778</v>
      </c>
      <c r="L20" s="58">
        <f t="shared" si="10"/>
        <v>97.331597471290607</v>
      </c>
      <c r="M20" s="20">
        <f t="shared" si="11"/>
        <v>7151.2948272742324</v>
      </c>
      <c r="N20" s="518">
        <v>10</v>
      </c>
      <c r="O20" s="520">
        <f>SUM(L120:L131)</f>
        <v>1167.9791696554873</v>
      </c>
      <c r="P20" s="520">
        <f>SUM(J120:J131)</f>
        <v>1109.6276923807625</v>
      </c>
      <c r="Q20" s="520">
        <f>SUM(K120:K131)</f>
        <v>58.351477274724971</v>
      </c>
      <c r="R20" s="521">
        <f t="shared" si="4"/>
        <v>-2.5011104298755527E-12</v>
      </c>
    </row>
    <row r="21" spans="1:20" ht="12" thickBot="1" x14ac:dyDescent="0.25">
      <c r="A21" s="20"/>
      <c r="B21" s="20"/>
      <c r="C21" s="20"/>
      <c r="D21" s="20"/>
      <c r="E21" s="20"/>
      <c r="F21" s="20"/>
      <c r="H21" s="52">
        <f t="shared" si="6"/>
        <v>10</v>
      </c>
      <c r="I21" s="58">
        <f t="shared" si="7"/>
        <v>7151.2948272742324</v>
      </c>
      <c r="J21" s="58">
        <f t="shared" si="8"/>
        <v>40.306168270112792</v>
      </c>
      <c r="K21" s="58">
        <f t="shared" si="9"/>
        <v>57.025429201177815</v>
      </c>
      <c r="L21" s="58">
        <f t="shared" si="10"/>
        <v>97.331597471290607</v>
      </c>
      <c r="M21" s="20">
        <f t="shared" si="11"/>
        <v>7110.9886590041197</v>
      </c>
      <c r="N21" s="26"/>
      <c r="O21" s="39"/>
      <c r="P21" s="27"/>
      <c r="Q21" s="27"/>
      <c r="R21" s="74"/>
    </row>
    <row r="22" spans="1:20" x14ac:dyDescent="0.2">
      <c r="A22" s="20"/>
      <c r="B22" s="520"/>
      <c r="C22" s="20"/>
      <c r="D22" s="20"/>
      <c r="E22" s="20"/>
      <c r="F22" s="20"/>
      <c r="H22" s="52">
        <f t="shared" si="6"/>
        <v>11</v>
      </c>
      <c r="I22" s="58">
        <f t="shared" si="7"/>
        <v>7110.9886590041197</v>
      </c>
      <c r="J22" s="58">
        <f t="shared" si="8"/>
        <v>40.627575316049693</v>
      </c>
      <c r="K22" s="58">
        <f t="shared" si="9"/>
        <v>56.704022155240914</v>
      </c>
      <c r="L22" s="58">
        <f t="shared" si="10"/>
        <v>97.331597471290607</v>
      </c>
      <c r="M22" s="21">
        <f t="shared" si="11"/>
        <v>7070.3610836880698</v>
      </c>
      <c r="N22" s="29" t="s">
        <v>107</v>
      </c>
      <c r="O22" s="49" t="str">
        <f>+B74</f>
        <v>Año 0</v>
      </c>
      <c r="P22" s="49" t="str">
        <f t="shared" ref="P22:T22" si="12">+C74</f>
        <v>Año 1</v>
      </c>
      <c r="Q22" s="49" t="str">
        <f t="shared" si="12"/>
        <v>Año 2</v>
      </c>
      <c r="R22" s="49" t="str">
        <f t="shared" si="12"/>
        <v>Año 3</v>
      </c>
      <c r="S22" s="49" t="str">
        <f t="shared" si="12"/>
        <v>Año 4</v>
      </c>
      <c r="T22" s="50" t="str">
        <f t="shared" si="12"/>
        <v>Año 5</v>
      </c>
    </row>
    <row r="23" spans="1:20" x14ac:dyDescent="0.2">
      <c r="A23" s="20"/>
      <c r="B23" s="519"/>
      <c r="C23" s="20"/>
      <c r="D23" s="20"/>
      <c r="E23" s="20"/>
      <c r="F23" s="20"/>
      <c r="H23" s="52">
        <f t="shared" si="6"/>
        <v>12</v>
      </c>
      <c r="I23" s="58">
        <f t="shared" si="7"/>
        <v>7070.3610836880698</v>
      </c>
      <c r="J23" s="58">
        <f t="shared" si="8"/>
        <v>40.951545306905743</v>
      </c>
      <c r="K23" s="58">
        <f t="shared" si="9"/>
        <v>56.380052164384864</v>
      </c>
      <c r="L23" s="58">
        <f t="shared" si="10"/>
        <v>97.331597471290607</v>
      </c>
      <c r="M23" s="21">
        <f t="shared" si="11"/>
        <v>7029.4095383811637</v>
      </c>
      <c r="N23" s="19" t="s">
        <v>139</v>
      </c>
      <c r="O23" s="58">
        <v>0</v>
      </c>
      <c r="P23" s="58">
        <f>+Q11</f>
        <v>697.38870803665088</v>
      </c>
      <c r="Q23" s="58">
        <f>+Q12</f>
        <v>650.32966187476711</v>
      </c>
      <c r="R23" s="58">
        <f>+Q13</f>
        <v>598.56471109669485</v>
      </c>
      <c r="S23" s="58">
        <f>+Q14</f>
        <v>541.62326524081516</v>
      </c>
      <c r="T23" s="59">
        <f>+Q15</f>
        <v>478.98767479934787</v>
      </c>
    </row>
    <row r="24" spans="1:20" ht="12" thickBot="1" x14ac:dyDescent="0.25">
      <c r="A24" s="20"/>
      <c r="B24" s="23"/>
      <c r="C24" s="20"/>
      <c r="D24" s="20"/>
      <c r="E24" s="20"/>
      <c r="F24" s="20"/>
      <c r="H24" s="52">
        <f t="shared" si="6"/>
        <v>13</v>
      </c>
      <c r="I24" s="58">
        <f t="shared" si="7"/>
        <v>7029.4095383811637</v>
      </c>
      <c r="J24" s="58">
        <f t="shared" si="8"/>
        <v>41.278098679963627</v>
      </c>
      <c r="K24" s="58">
        <f t="shared" si="9"/>
        <v>56.05349879132698</v>
      </c>
      <c r="L24" s="58">
        <f t="shared" si="10"/>
        <v>97.331597471290607</v>
      </c>
      <c r="M24" s="21">
        <f t="shared" si="11"/>
        <v>6988.1314397012002</v>
      </c>
      <c r="N24" s="30" t="s">
        <v>109</v>
      </c>
      <c r="O24" s="17">
        <f>SUM(O23)</f>
        <v>0</v>
      </c>
      <c r="P24" s="17">
        <f t="shared" ref="P24:S24" si="13">SUM(P23)</f>
        <v>697.38870803665088</v>
      </c>
      <c r="Q24" s="17">
        <f t="shared" si="13"/>
        <v>650.32966187476711</v>
      </c>
      <c r="R24" s="17">
        <f t="shared" si="13"/>
        <v>598.56471109669485</v>
      </c>
      <c r="S24" s="17">
        <f t="shared" si="13"/>
        <v>541.62326524081516</v>
      </c>
      <c r="T24" s="18">
        <f>SUM(T23)</f>
        <v>478.98767479934787</v>
      </c>
    </row>
    <row r="25" spans="1:20" ht="12" thickBot="1" x14ac:dyDescent="0.25">
      <c r="A25" s="20"/>
      <c r="B25" s="520"/>
      <c r="C25" s="20"/>
      <c r="D25" s="20"/>
      <c r="E25" s="20"/>
      <c r="F25" s="20"/>
      <c r="H25" s="52">
        <f t="shared" si="6"/>
        <v>14</v>
      </c>
      <c r="I25" s="58">
        <f t="shared" si="7"/>
        <v>6988.1314397012002</v>
      </c>
      <c r="J25" s="58">
        <f t="shared" si="8"/>
        <v>41.6072560354758</v>
      </c>
      <c r="K25" s="58">
        <f t="shared" si="9"/>
        <v>55.724341435814807</v>
      </c>
      <c r="L25" s="58">
        <f t="shared" si="10"/>
        <v>97.331597471290607</v>
      </c>
      <c r="M25" s="21">
        <f t="shared" si="11"/>
        <v>6946.5241836657242</v>
      </c>
    </row>
    <row r="26" spans="1:20" x14ac:dyDescent="0.2">
      <c r="A26" s="20"/>
      <c r="B26" s="20"/>
      <c r="C26" s="20"/>
      <c r="D26" s="20"/>
      <c r="E26" s="20"/>
      <c r="F26" s="20"/>
      <c r="H26" s="52">
        <f t="shared" si="6"/>
        <v>15</v>
      </c>
      <c r="I26" s="58">
        <f t="shared" si="7"/>
        <v>6946.5241836657242</v>
      </c>
      <c r="J26" s="58">
        <f t="shared" si="8"/>
        <v>41.93903813796404</v>
      </c>
      <c r="K26" s="58">
        <f t="shared" si="9"/>
        <v>55.392559333326567</v>
      </c>
      <c r="L26" s="58">
        <f t="shared" si="10"/>
        <v>97.331597471290607</v>
      </c>
      <c r="M26" s="21">
        <f t="shared" si="11"/>
        <v>6904.5851455277598</v>
      </c>
      <c r="N26" s="29" t="s">
        <v>114</v>
      </c>
      <c r="O26" s="49" t="str">
        <f>+O22</f>
        <v>Año 0</v>
      </c>
      <c r="P26" s="49" t="str">
        <f t="shared" ref="P26:T26" si="14">+P22</f>
        <v>Año 1</v>
      </c>
      <c r="Q26" s="49" t="str">
        <f t="shared" si="14"/>
        <v>Año 2</v>
      </c>
      <c r="R26" s="49" t="str">
        <f t="shared" si="14"/>
        <v>Año 3</v>
      </c>
      <c r="S26" s="49" t="str">
        <f t="shared" si="14"/>
        <v>Año 4</v>
      </c>
      <c r="T26" s="50" t="str">
        <f t="shared" si="14"/>
        <v>Año 5</v>
      </c>
    </row>
    <row r="27" spans="1:20" x14ac:dyDescent="0.2">
      <c r="A27" s="520"/>
      <c r="B27" s="520"/>
      <c r="C27" s="520"/>
      <c r="D27" s="520"/>
      <c r="E27" s="520"/>
      <c r="F27" s="520"/>
      <c r="H27" s="52">
        <f t="shared" si="6"/>
        <v>16</v>
      </c>
      <c r="I27" s="58">
        <f t="shared" si="7"/>
        <v>6904.5851455277598</v>
      </c>
      <c r="J27" s="58">
        <f t="shared" si="8"/>
        <v>42.273465917529315</v>
      </c>
      <c r="K27" s="58">
        <f t="shared" si="9"/>
        <v>55.058131553761292</v>
      </c>
      <c r="L27" s="58">
        <f t="shared" si="10"/>
        <v>97.331597471290607</v>
      </c>
      <c r="M27" s="21">
        <f t="shared" si="11"/>
        <v>6862.3116796102304</v>
      </c>
      <c r="N27" s="19" t="s">
        <v>139</v>
      </c>
      <c r="O27" s="58">
        <v>0</v>
      </c>
      <c r="P27" s="58">
        <f>+P11</f>
        <v>470.5904616188364</v>
      </c>
      <c r="Q27" s="58">
        <f>+P12</f>
        <v>517.64950778072023</v>
      </c>
      <c r="R27" s="58">
        <f>+P13</f>
        <v>569.4144585587926</v>
      </c>
      <c r="S27" s="58">
        <f>+P14</f>
        <v>626.35590441467184</v>
      </c>
      <c r="T27" s="59">
        <f>+P15</f>
        <v>688.99149485613941</v>
      </c>
    </row>
    <row r="28" spans="1:20" ht="12" thickBot="1" x14ac:dyDescent="0.25">
      <c r="A28" s="519"/>
      <c r="B28" s="520"/>
      <c r="C28" s="520"/>
      <c r="D28" s="520"/>
      <c r="E28" s="520"/>
      <c r="F28" s="520"/>
      <c r="H28" s="52">
        <f t="shared" si="6"/>
        <v>17</v>
      </c>
      <c r="I28" s="58">
        <f t="shared" si="7"/>
        <v>6862.3116796102304</v>
      </c>
      <c r="J28" s="58">
        <f t="shared" si="8"/>
        <v>42.610560471172171</v>
      </c>
      <c r="K28" s="58">
        <f t="shared" si="9"/>
        <v>54.721037000118436</v>
      </c>
      <c r="L28" s="58">
        <f t="shared" si="10"/>
        <v>97.331597471290607</v>
      </c>
      <c r="M28" s="21">
        <f t="shared" si="11"/>
        <v>6819.7011191390584</v>
      </c>
      <c r="N28" s="30" t="s">
        <v>140</v>
      </c>
      <c r="O28" s="17">
        <f>SUM(O27)</f>
        <v>0</v>
      </c>
      <c r="P28" s="17">
        <f t="shared" ref="P28:T28" si="15">SUM(P27)</f>
        <v>470.5904616188364</v>
      </c>
      <c r="Q28" s="17">
        <f t="shared" si="15"/>
        <v>517.64950778072023</v>
      </c>
      <c r="R28" s="17">
        <f t="shared" si="15"/>
        <v>569.4144585587926</v>
      </c>
      <c r="S28" s="17">
        <f t="shared" si="15"/>
        <v>626.35590441467184</v>
      </c>
      <c r="T28" s="18">
        <f t="shared" si="15"/>
        <v>688.99149485613941</v>
      </c>
    </row>
    <row r="29" spans="1:20" ht="12" thickBot="1" x14ac:dyDescent="0.25">
      <c r="A29" s="519"/>
      <c r="B29" s="520"/>
      <c r="C29" s="520"/>
      <c r="D29" s="520"/>
      <c r="E29" s="520"/>
      <c r="F29" s="520"/>
      <c r="H29" s="52">
        <f t="shared" si="6"/>
        <v>18</v>
      </c>
      <c r="I29" s="58">
        <f t="shared" si="7"/>
        <v>6819.7011191390584</v>
      </c>
      <c r="J29" s="58">
        <f t="shared" si="8"/>
        <v>42.950343064123594</v>
      </c>
      <c r="K29" s="58">
        <f t="shared" si="9"/>
        <v>54.381254407167013</v>
      </c>
      <c r="L29" s="58">
        <f t="shared" si="10"/>
        <v>97.331597471290607</v>
      </c>
      <c r="M29" s="21">
        <f t="shared" si="11"/>
        <v>6776.7507760749349</v>
      </c>
    </row>
    <row r="30" spans="1:20" x14ac:dyDescent="0.2">
      <c r="A30" s="519"/>
      <c r="B30" s="520"/>
      <c r="C30" s="520"/>
      <c r="D30" s="520"/>
      <c r="E30" s="520"/>
      <c r="F30" s="520"/>
      <c r="H30" s="52">
        <f t="shared" si="6"/>
        <v>19</v>
      </c>
      <c r="I30" s="58">
        <f t="shared" si="7"/>
        <v>6776.7507760749349</v>
      </c>
      <c r="J30" s="58">
        <f t="shared" si="8"/>
        <v>43.292835131186514</v>
      </c>
      <c r="K30" s="58">
        <f t="shared" si="9"/>
        <v>54.038762340104093</v>
      </c>
      <c r="L30" s="58">
        <f t="shared" si="10"/>
        <v>97.331597471290607</v>
      </c>
      <c r="M30" s="21">
        <f t="shared" si="11"/>
        <v>6733.4579409437483</v>
      </c>
      <c r="N30" s="31"/>
      <c r="O30" s="49" t="str">
        <f>+O26</f>
        <v>Año 0</v>
      </c>
      <c r="P30" s="49" t="str">
        <f t="shared" ref="P30:T30" si="16">+P26</f>
        <v>Año 1</v>
      </c>
      <c r="Q30" s="49" t="str">
        <f t="shared" si="16"/>
        <v>Año 2</v>
      </c>
      <c r="R30" s="49" t="str">
        <f t="shared" si="16"/>
        <v>Año 3</v>
      </c>
      <c r="S30" s="49" t="str">
        <f t="shared" si="16"/>
        <v>Año 4</v>
      </c>
      <c r="T30" s="50" t="str">
        <f t="shared" si="16"/>
        <v>Año 5</v>
      </c>
    </row>
    <row r="31" spans="1:20" ht="12" thickBot="1" x14ac:dyDescent="0.25">
      <c r="A31" s="20"/>
      <c r="B31" s="20"/>
      <c r="C31" s="20"/>
      <c r="D31" s="20"/>
      <c r="E31" s="20"/>
      <c r="F31" s="20"/>
      <c r="H31" s="52">
        <f t="shared" si="6"/>
        <v>20</v>
      </c>
      <c r="I31" s="58">
        <f t="shared" si="7"/>
        <v>6733.4579409437483</v>
      </c>
      <c r="J31" s="58">
        <f t="shared" si="8"/>
        <v>43.638058278087968</v>
      </c>
      <c r="K31" s="58">
        <f t="shared" si="9"/>
        <v>53.693539193202639</v>
      </c>
      <c r="L31" s="58">
        <f t="shared" si="10"/>
        <v>97.331597471290607</v>
      </c>
      <c r="M31" s="21">
        <f t="shared" si="11"/>
        <v>6689.8198826656608</v>
      </c>
      <c r="N31" s="30" t="s">
        <v>141</v>
      </c>
      <c r="O31" s="27">
        <f>+I5</f>
        <v>7500</v>
      </c>
      <c r="P31" s="27">
        <f>+O31-P28</f>
        <v>7029.4095383811637</v>
      </c>
      <c r="Q31" s="27">
        <f t="shared" ref="Q31:T31" si="17">+P31-Q28</f>
        <v>6511.7600306004433</v>
      </c>
      <c r="R31" s="27">
        <f t="shared" si="17"/>
        <v>5942.3455720416505</v>
      </c>
      <c r="S31" s="27">
        <f t="shared" si="17"/>
        <v>5315.9896676269782</v>
      </c>
      <c r="T31" s="28">
        <f t="shared" si="17"/>
        <v>4626.9981727708391</v>
      </c>
    </row>
    <row r="32" spans="1:20" x14ac:dyDescent="0.2">
      <c r="A32" s="524"/>
      <c r="B32" s="524"/>
      <c r="C32" s="524"/>
      <c r="D32" s="524"/>
      <c r="E32" s="524"/>
      <c r="F32" s="524"/>
      <c r="H32" s="52">
        <f t="shared" si="6"/>
        <v>21</v>
      </c>
      <c r="I32" s="58">
        <f t="shared" si="7"/>
        <v>6689.8198826656608</v>
      </c>
      <c r="J32" s="58">
        <f t="shared" si="8"/>
        <v>43.98603428284212</v>
      </c>
      <c r="K32" s="58">
        <f t="shared" si="9"/>
        <v>53.345563188448487</v>
      </c>
      <c r="L32" s="58">
        <f t="shared" si="10"/>
        <v>97.331597471290607</v>
      </c>
      <c r="M32" s="21">
        <f t="shared" si="11"/>
        <v>6645.8338483828184</v>
      </c>
      <c r="N32" s="55"/>
    </row>
    <row r="33" spans="1:13" x14ac:dyDescent="0.2">
      <c r="A33" s="524"/>
      <c r="B33" s="524"/>
      <c r="C33" s="524"/>
      <c r="D33" s="524"/>
      <c r="E33" s="524"/>
      <c r="F33" s="524"/>
      <c r="H33" s="52">
        <f t="shared" si="6"/>
        <v>22</v>
      </c>
      <c r="I33" s="58">
        <f t="shared" si="7"/>
        <v>6645.8338483828184</v>
      </c>
      <c r="J33" s="58">
        <f t="shared" si="8"/>
        <v>44.336785097124086</v>
      </c>
      <c r="K33" s="58">
        <f t="shared" si="9"/>
        <v>52.994812374166521</v>
      </c>
      <c r="L33" s="58">
        <f t="shared" si="10"/>
        <v>97.331597471290607</v>
      </c>
      <c r="M33" s="21">
        <f t="shared" si="11"/>
        <v>6601.4970632856939</v>
      </c>
    </row>
    <row r="34" spans="1:13" x14ac:dyDescent="0.2">
      <c r="A34" s="525"/>
      <c r="B34" s="525"/>
      <c r="C34" s="525"/>
      <c r="D34" s="525"/>
      <c r="E34" s="525"/>
      <c r="F34" s="525"/>
      <c r="H34" s="52">
        <f t="shared" si="6"/>
        <v>23</v>
      </c>
      <c r="I34" s="58">
        <f t="shared" si="7"/>
        <v>6601.4970632856939</v>
      </c>
      <c r="J34" s="58">
        <f t="shared" si="8"/>
        <v>44.690332847654687</v>
      </c>
      <c r="K34" s="58">
        <f t="shared" si="9"/>
        <v>52.641264623635919</v>
      </c>
      <c r="L34" s="58">
        <f t="shared" si="10"/>
        <v>97.331597471290607</v>
      </c>
      <c r="M34" s="21">
        <f t="shared" si="11"/>
        <v>6556.8067304380393</v>
      </c>
    </row>
    <row r="35" spans="1:13" x14ac:dyDescent="0.2">
      <c r="A35" s="20"/>
      <c r="B35" s="20"/>
      <c r="C35" s="20"/>
      <c r="D35" s="20"/>
      <c r="E35" s="20"/>
      <c r="F35" s="20"/>
      <c r="H35" s="52">
        <f t="shared" si="6"/>
        <v>24</v>
      </c>
      <c r="I35" s="58">
        <f t="shared" si="7"/>
        <v>6556.8067304380393</v>
      </c>
      <c r="J35" s="58">
        <f t="shared" si="8"/>
        <v>45.046699837596336</v>
      </c>
      <c r="K35" s="58">
        <f t="shared" si="9"/>
        <v>52.284897633694271</v>
      </c>
      <c r="L35" s="58">
        <f t="shared" si="10"/>
        <v>97.331597471290607</v>
      </c>
      <c r="M35" s="21">
        <f t="shared" si="11"/>
        <v>6511.7600306004433</v>
      </c>
    </row>
    <row r="36" spans="1:13" x14ac:dyDescent="0.2">
      <c r="A36" s="20"/>
      <c r="B36" s="520"/>
      <c r="C36" s="20"/>
      <c r="D36" s="20"/>
      <c r="E36" s="20"/>
      <c r="F36" s="20"/>
      <c r="H36" s="52">
        <f t="shared" si="6"/>
        <v>25</v>
      </c>
      <c r="I36" s="58">
        <f t="shared" si="7"/>
        <v>6511.7600306004433</v>
      </c>
      <c r="J36" s="58">
        <f t="shared" si="8"/>
        <v>45.405908547960003</v>
      </c>
      <c r="K36" s="58">
        <f t="shared" si="9"/>
        <v>51.925688923330604</v>
      </c>
      <c r="L36" s="58">
        <f t="shared" si="10"/>
        <v>97.331597471290607</v>
      </c>
      <c r="M36" s="21">
        <f t="shared" si="11"/>
        <v>6466.354122052483</v>
      </c>
    </row>
    <row r="37" spans="1:13" x14ac:dyDescent="0.2">
      <c r="A37" s="20"/>
      <c r="B37" s="519"/>
      <c r="C37" s="20"/>
      <c r="D37" s="20"/>
      <c r="E37" s="20"/>
      <c r="F37" s="20"/>
      <c r="H37" s="52">
        <f t="shared" si="6"/>
        <v>26</v>
      </c>
      <c r="I37" s="58">
        <f t="shared" si="7"/>
        <v>6466.354122052483</v>
      </c>
      <c r="J37" s="58">
        <f t="shared" si="8"/>
        <v>45.767981639023397</v>
      </c>
      <c r="K37" s="58">
        <f t="shared" si="9"/>
        <v>51.56361583226721</v>
      </c>
      <c r="L37" s="58">
        <f t="shared" si="10"/>
        <v>97.331597471290607</v>
      </c>
      <c r="M37" s="21">
        <f t="shared" si="11"/>
        <v>6420.5861404134594</v>
      </c>
    </row>
    <row r="38" spans="1:13" x14ac:dyDescent="0.2">
      <c r="A38" s="20"/>
      <c r="B38" s="23"/>
      <c r="C38" s="20"/>
      <c r="D38" s="20"/>
      <c r="E38" s="20"/>
      <c r="F38" s="20"/>
      <c r="H38" s="52">
        <f t="shared" si="6"/>
        <v>27</v>
      </c>
      <c r="I38" s="58">
        <f t="shared" si="7"/>
        <v>6420.5861404134594</v>
      </c>
      <c r="J38" s="58">
        <f t="shared" si="8"/>
        <v>46.132941951760458</v>
      </c>
      <c r="K38" s="58">
        <f t="shared" si="9"/>
        <v>51.198655519530149</v>
      </c>
      <c r="L38" s="58">
        <f t="shared" si="10"/>
        <v>97.331597471290607</v>
      </c>
      <c r="M38" s="21">
        <f t="shared" si="11"/>
        <v>6374.4531984616988</v>
      </c>
    </row>
    <row r="39" spans="1:13" x14ac:dyDescent="0.2">
      <c r="A39" s="20"/>
      <c r="B39" s="520"/>
      <c r="C39" s="20"/>
      <c r="D39" s="20"/>
      <c r="E39" s="20"/>
      <c r="F39" s="20"/>
      <c r="H39" s="52">
        <f t="shared" si="6"/>
        <v>28</v>
      </c>
      <c r="I39" s="58">
        <f t="shared" si="7"/>
        <v>6374.4531984616988</v>
      </c>
      <c r="J39" s="58">
        <f t="shared" si="8"/>
        <v>46.500812509282262</v>
      </c>
      <c r="K39" s="58">
        <f t="shared" si="9"/>
        <v>50.830784962008345</v>
      </c>
      <c r="L39" s="58">
        <f t="shared" si="10"/>
        <v>97.331597471290607</v>
      </c>
      <c r="M39" s="21">
        <f t="shared" si="11"/>
        <v>6327.9523859524161</v>
      </c>
    </row>
    <row r="40" spans="1:13" x14ac:dyDescent="0.2">
      <c r="A40" s="20"/>
      <c r="B40" s="20"/>
      <c r="C40" s="20"/>
      <c r="D40" s="20"/>
      <c r="E40" s="20"/>
      <c r="F40" s="20"/>
      <c r="H40" s="52">
        <f t="shared" si="6"/>
        <v>29</v>
      </c>
      <c r="I40" s="58">
        <f t="shared" si="7"/>
        <v>6327.9523859524161</v>
      </c>
      <c r="J40" s="58">
        <f t="shared" si="8"/>
        <v>46.871616518289407</v>
      </c>
      <c r="K40" s="58">
        <f t="shared" si="9"/>
        <v>50.4599809530012</v>
      </c>
      <c r="L40" s="58">
        <f t="shared" si="10"/>
        <v>97.331597471290607</v>
      </c>
      <c r="M40" s="21">
        <f t="shared" si="11"/>
        <v>6281.0807694341265</v>
      </c>
    </row>
    <row r="41" spans="1:13" x14ac:dyDescent="0.2">
      <c r="A41" s="520"/>
      <c r="B41" s="520"/>
      <c r="C41" s="520"/>
      <c r="D41" s="520"/>
      <c r="E41" s="520"/>
      <c r="F41" s="520"/>
      <c r="H41" s="52">
        <f t="shared" si="6"/>
        <v>30</v>
      </c>
      <c r="I41" s="58">
        <f t="shared" si="7"/>
        <v>6281.0807694341265</v>
      </c>
      <c r="J41" s="58">
        <f t="shared" si="8"/>
        <v>47.245377370535969</v>
      </c>
      <c r="K41" s="58">
        <f t="shared" si="9"/>
        <v>50.086220100754637</v>
      </c>
      <c r="L41" s="58">
        <f t="shared" si="10"/>
        <v>97.331597471290607</v>
      </c>
      <c r="M41" s="21">
        <f t="shared" si="11"/>
        <v>6233.8353920635909</v>
      </c>
    </row>
    <row r="42" spans="1:13" x14ac:dyDescent="0.2">
      <c r="A42" s="519"/>
      <c r="B42" s="520"/>
      <c r="C42" s="520"/>
      <c r="D42" s="520"/>
      <c r="E42" s="520"/>
      <c r="F42" s="520"/>
      <c r="H42" s="52">
        <f t="shared" si="6"/>
        <v>31</v>
      </c>
      <c r="I42" s="58">
        <f t="shared" si="7"/>
        <v>6233.8353920635909</v>
      </c>
      <c r="J42" s="58">
        <f t="shared" si="8"/>
        <v>47.622118644305182</v>
      </c>
      <c r="K42" s="58">
        <f t="shared" si="9"/>
        <v>49.709478826985425</v>
      </c>
      <c r="L42" s="58">
        <f t="shared" si="10"/>
        <v>97.331597471290607</v>
      </c>
      <c r="M42" s="21">
        <f t="shared" si="11"/>
        <v>6186.2132734192855</v>
      </c>
    </row>
    <row r="43" spans="1:13" x14ac:dyDescent="0.2">
      <c r="A43" s="519"/>
      <c r="B43" s="520"/>
      <c r="C43" s="520"/>
      <c r="D43" s="520"/>
      <c r="E43" s="520"/>
      <c r="F43" s="520"/>
      <c r="H43" s="52">
        <f t="shared" si="6"/>
        <v>32</v>
      </c>
      <c r="I43" s="58">
        <f t="shared" si="7"/>
        <v>6186.2132734192855</v>
      </c>
      <c r="J43" s="58">
        <f t="shared" si="8"/>
        <v>48.001864105896786</v>
      </c>
      <c r="K43" s="58">
        <f t="shared" si="9"/>
        <v>49.329733365393821</v>
      </c>
      <c r="L43" s="58">
        <f t="shared" si="10"/>
        <v>97.331597471290607</v>
      </c>
      <c r="M43" s="21">
        <f t="shared" si="11"/>
        <v>6138.2114093133887</v>
      </c>
    </row>
    <row r="44" spans="1:13" x14ac:dyDescent="0.2">
      <c r="A44" s="519"/>
      <c r="B44" s="520"/>
      <c r="C44" s="520"/>
      <c r="D44" s="520"/>
      <c r="E44" s="520"/>
      <c r="F44" s="520"/>
      <c r="H44" s="52">
        <f t="shared" si="6"/>
        <v>33</v>
      </c>
      <c r="I44" s="58">
        <f t="shared" si="7"/>
        <v>6138.2114093133887</v>
      </c>
      <c r="J44" s="58">
        <f t="shared" si="8"/>
        <v>48.384637711126359</v>
      </c>
      <c r="K44" s="58">
        <f t="shared" si="9"/>
        <v>48.946959760164248</v>
      </c>
      <c r="L44" s="58">
        <f t="shared" si="10"/>
        <v>97.331597471290607</v>
      </c>
      <c r="M44" s="21">
        <f t="shared" si="11"/>
        <v>6089.8267716022619</v>
      </c>
    </row>
    <row r="45" spans="1:13" x14ac:dyDescent="0.2">
      <c r="A45" s="20"/>
      <c r="B45" s="20"/>
      <c r="C45" s="20"/>
      <c r="D45" s="20"/>
      <c r="E45" s="20"/>
      <c r="F45" s="20"/>
      <c r="H45" s="52">
        <f t="shared" si="6"/>
        <v>34</v>
      </c>
      <c r="I45" s="58">
        <f t="shared" si="7"/>
        <v>6089.8267716022619</v>
      </c>
      <c r="J45" s="58">
        <f t="shared" si="8"/>
        <v>48.770463606836522</v>
      </c>
      <c r="K45" s="58">
        <f t="shared" si="9"/>
        <v>48.561133864454085</v>
      </c>
      <c r="L45" s="58">
        <f t="shared" si="10"/>
        <v>97.331597471290607</v>
      </c>
      <c r="M45" s="21">
        <f t="shared" si="11"/>
        <v>6041.0563079954254</v>
      </c>
    </row>
    <row r="46" spans="1:13" x14ac:dyDescent="0.2">
      <c r="A46" s="524"/>
      <c r="B46" s="524"/>
      <c r="C46" s="524"/>
      <c r="D46" s="524"/>
      <c r="E46" s="524"/>
      <c r="F46" s="524"/>
      <c r="H46" s="52">
        <f t="shared" si="6"/>
        <v>35</v>
      </c>
      <c r="I46" s="58">
        <f t="shared" si="7"/>
        <v>6041.0563079954254</v>
      </c>
      <c r="J46" s="58">
        <f t="shared" si="8"/>
        <v>49.159366132420175</v>
      </c>
      <c r="K46" s="58">
        <f t="shared" si="9"/>
        <v>48.172231338870432</v>
      </c>
      <c r="L46" s="58">
        <f t="shared" si="10"/>
        <v>97.331597471290607</v>
      </c>
      <c r="M46" s="21">
        <f t="shared" si="11"/>
        <v>5991.8969418630049</v>
      </c>
    </row>
    <row r="47" spans="1:13" x14ac:dyDescent="0.2">
      <c r="A47" s="524"/>
      <c r="B47" s="524"/>
      <c r="C47" s="524"/>
      <c r="D47" s="524"/>
      <c r="E47" s="524"/>
      <c r="F47" s="524"/>
      <c r="H47" s="52">
        <f t="shared" si="6"/>
        <v>36</v>
      </c>
      <c r="I47" s="58">
        <f t="shared" si="7"/>
        <v>5991.8969418630049</v>
      </c>
      <c r="J47" s="58">
        <f t="shared" si="8"/>
        <v>49.551369821355998</v>
      </c>
      <c r="K47" s="58">
        <f t="shared" si="9"/>
        <v>47.780227649934609</v>
      </c>
      <c r="L47" s="58">
        <f t="shared" si="10"/>
        <v>97.331597471290607</v>
      </c>
      <c r="M47" s="21">
        <f t="shared" si="11"/>
        <v>5942.3455720416487</v>
      </c>
    </row>
    <row r="48" spans="1:13" x14ac:dyDescent="0.2">
      <c r="A48" s="525"/>
      <c r="B48" s="525"/>
      <c r="C48" s="525"/>
      <c r="D48" s="525"/>
      <c r="E48" s="525"/>
      <c r="F48" s="525"/>
      <c r="H48" s="52">
        <f t="shared" si="6"/>
        <v>37</v>
      </c>
      <c r="I48" s="58">
        <f t="shared" si="7"/>
        <v>5942.3455720416487</v>
      </c>
      <c r="J48" s="58">
        <f t="shared" si="8"/>
        <v>49.946499402756032</v>
      </c>
      <c r="K48" s="58">
        <f t="shared" si="9"/>
        <v>47.385098068534575</v>
      </c>
      <c r="L48" s="58">
        <f t="shared" si="10"/>
        <v>97.331597471290607</v>
      </c>
      <c r="M48" s="21">
        <f t="shared" si="11"/>
        <v>5892.3990726388929</v>
      </c>
    </row>
    <row r="49" spans="1:13" x14ac:dyDescent="0.2">
      <c r="A49" s="20"/>
      <c r="B49" s="20"/>
      <c r="C49" s="20"/>
      <c r="D49" s="20"/>
      <c r="E49" s="20"/>
      <c r="F49" s="20"/>
      <c r="H49" s="52">
        <f t="shared" si="6"/>
        <v>38</v>
      </c>
      <c r="I49" s="58">
        <f t="shared" si="7"/>
        <v>5892.3990726388929</v>
      </c>
      <c r="J49" s="58">
        <f t="shared" si="8"/>
        <v>50.344779802925764</v>
      </c>
      <c r="K49" s="58">
        <f t="shared" si="9"/>
        <v>46.986817668364843</v>
      </c>
      <c r="L49" s="58">
        <f t="shared" si="10"/>
        <v>97.331597471290607</v>
      </c>
      <c r="M49" s="21">
        <f t="shared" si="11"/>
        <v>5842.0542928359673</v>
      </c>
    </row>
    <row r="50" spans="1:13" x14ac:dyDescent="0.2">
      <c r="A50" s="20"/>
      <c r="B50" s="520"/>
      <c r="C50" s="20"/>
      <c r="D50" s="20"/>
      <c r="E50" s="20"/>
      <c r="F50" s="20"/>
      <c r="H50" s="52">
        <f t="shared" si="6"/>
        <v>39</v>
      </c>
      <c r="I50" s="58">
        <f t="shared" si="7"/>
        <v>5842.0542928359673</v>
      </c>
      <c r="J50" s="58">
        <f t="shared" si="8"/>
        <v>50.746236146936532</v>
      </c>
      <c r="K50" s="58">
        <f t="shared" si="9"/>
        <v>46.585361324354075</v>
      </c>
      <c r="L50" s="58">
        <f t="shared" si="10"/>
        <v>97.331597471290607</v>
      </c>
      <c r="M50" s="21">
        <f t="shared" si="11"/>
        <v>5791.3080566890312</v>
      </c>
    </row>
    <row r="51" spans="1:13" x14ac:dyDescent="0.2">
      <c r="A51" s="20"/>
      <c r="B51" s="519"/>
      <c r="C51" s="20"/>
      <c r="D51" s="20"/>
      <c r="E51" s="20"/>
      <c r="F51" s="20"/>
      <c r="H51" s="52">
        <f t="shared" si="6"/>
        <v>40</v>
      </c>
      <c r="I51" s="58">
        <f t="shared" si="7"/>
        <v>5791.3080566890312</v>
      </c>
      <c r="J51" s="58">
        <f t="shared" si="8"/>
        <v>51.150893760210508</v>
      </c>
      <c r="K51" s="58">
        <f t="shared" si="9"/>
        <v>46.180703711080099</v>
      </c>
      <c r="L51" s="58">
        <f t="shared" si="10"/>
        <v>97.331597471290607</v>
      </c>
      <c r="M51" s="21">
        <f t="shared" si="11"/>
        <v>5740.157162928821</v>
      </c>
    </row>
    <row r="52" spans="1:13" x14ac:dyDescent="0.2">
      <c r="A52" s="20"/>
      <c r="B52" s="23"/>
      <c r="C52" s="20"/>
      <c r="D52" s="20"/>
      <c r="E52" s="20"/>
      <c r="F52" s="20"/>
      <c r="H52" s="52">
        <f t="shared" si="6"/>
        <v>41</v>
      </c>
      <c r="I52" s="58">
        <f t="shared" si="7"/>
        <v>5740.157162928821</v>
      </c>
      <c r="J52" s="58">
        <f t="shared" si="8"/>
        <v>51.558778170118366</v>
      </c>
      <c r="K52" s="58">
        <f t="shared" si="9"/>
        <v>45.772819301172241</v>
      </c>
      <c r="L52" s="58">
        <f t="shared" si="10"/>
        <v>97.331597471290607</v>
      </c>
      <c r="M52" s="21">
        <f t="shared" si="11"/>
        <v>5688.5983847587022</v>
      </c>
    </row>
    <row r="53" spans="1:13" x14ac:dyDescent="0.2">
      <c r="A53" s="20"/>
      <c r="B53" s="520"/>
      <c r="C53" s="20"/>
      <c r="D53" s="20"/>
      <c r="E53" s="20"/>
      <c r="F53" s="20"/>
      <c r="H53" s="52">
        <f t="shared" si="6"/>
        <v>42</v>
      </c>
      <c r="I53" s="58">
        <f t="shared" si="7"/>
        <v>5688.5983847587022</v>
      </c>
      <c r="J53" s="58">
        <f t="shared" si="8"/>
        <v>51.969915107589586</v>
      </c>
      <c r="K53" s="58">
        <f t="shared" si="9"/>
        <v>45.361682363701021</v>
      </c>
      <c r="L53" s="58">
        <f t="shared" si="10"/>
        <v>97.331597471290607</v>
      </c>
      <c r="M53" s="21">
        <f t="shared" si="11"/>
        <v>5636.6284696511129</v>
      </c>
    </row>
    <row r="54" spans="1:13" x14ac:dyDescent="0.2">
      <c r="A54" s="20"/>
      <c r="B54" s="20"/>
      <c r="C54" s="20"/>
      <c r="D54" s="20"/>
      <c r="E54" s="20"/>
      <c r="F54" s="20"/>
      <c r="H54" s="52">
        <f t="shared" si="6"/>
        <v>43</v>
      </c>
      <c r="I54" s="58">
        <f t="shared" si="7"/>
        <v>5636.6284696511129</v>
      </c>
      <c r="J54" s="58">
        <f t="shared" si="8"/>
        <v>52.384330508735715</v>
      </c>
      <c r="K54" s="58">
        <f t="shared" si="9"/>
        <v>44.947266962554892</v>
      </c>
      <c r="L54" s="58">
        <f t="shared" si="10"/>
        <v>97.331597471290607</v>
      </c>
      <c r="M54" s="21">
        <f t="shared" si="11"/>
        <v>5584.2441391423772</v>
      </c>
    </row>
    <row r="55" spans="1:13" x14ac:dyDescent="0.2">
      <c r="A55" s="520"/>
      <c r="B55" s="520"/>
      <c r="C55" s="520"/>
      <c r="D55" s="520"/>
      <c r="E55" s="520"/>
      <c r="F55" s="520"/>
      <c r="H55" s="52">
        <f t="shared" si="6"/>
        <v>44</v>
      </c>
      <c r="I55" s="58">
        <f t="shared" si="7"/>
        <v>5584.2441391423772</v>
      </c>
      <c r="J55" s="58">
        <f t="shared" si="8"/>
        <v>52.802050516486482</v>
      </c>
      <c r="K55" s="58">
        <f t="shared" si="9"/>
        <v>44.529546954804125</v>
      </c>
      <c r="L55" s="58">
        <f t="shared" si="10"/>
        <v>97.331597471290607</v>
      </c>
      <c r="M55" s="21">
        <f t="shared" si="11"/>
        <v>5531.4420886258904</v>
      </c>
    </row>
    <row r="56" spans="1:13" x14ac:dyDescent="0.2">
      <c r="A56" s="519"/>
      <c r="B56" s="520"/>
      <c r="C56" s="520"/>
      <c r="D56" s="520"/>
      <c r="E56" s="520"/>
      <c r="F56" s="520"/>
      <c r="H56" s="52">
        <f t="shared" si="6"/>
        <v>45</v>
      </c>
      <c r="I56" s="58">
        <f t="shared" si="7"/>
        <v>5531.4420886258904</v>
      </c>
      <c r="J56" s="58">
        <f t="shared" si="8"/>
        <v>53.223101482239016</v>
      </c>
      <c r="K56" s="58">
        <f t="shared" si="9"/>
        <v>44.10849598905159</v>
      </c>
      <c r="L56" s="58">
        <f t="shared" si="10"/>
        <v>97.331597471290607</v>
      </c>
      <c r="M56" s="21">
        <f t="shared" si="11"/>
        <v>5478.2189871436512</v>
      </c>
    </row>
    <row r="57" spans="1:13" x14ac:dyDescent="0.2">
      <c r="A57" s="519"/>
      <c r="B57" s="520"/>
      <c r="C57" s="520"/>
      <c r="D57" s="520"/>
      <c r="E57" s="520"/>
      <c r="F57" s="520"/>
      <c r="H57" s="52">
        <f t="shared" si="6"/>
        <v>46</v>
      </c>
      <c r="I57" s="58">
        <f t="shared" si="7"/>
        <v>5478.2189871436512</v>
      </c>
      <c r="J57" s="58">
        <f t="shared" si="8"/>
        <v>53.647509967520186</v>
      </c>
      <c r="K57" s="58">
        <f t="shared" si="9"/>
        <v>43.684087503770421</v>
      </c>
      <c r="L57" s="58">
        <f t="shared" si="10"/>
        <v>97.331597471290607</v>
      </c>
      <c r="M57" s="21">
        <f t="shared" si="11"/>
        <v>5424.5714771761313</v>
      </c>
    </row>
    <row r="58" spans="1:13" x14ac:dyDescent="0.2">
      <c r="A58" s="519"/>
      <c r="B58" s="520"/>
      <c r="C58" s="520"/>
      <c r="D58" s="520"/>
      <c r="E58" s="520"/>
      <c r="F58" s="520"/>
      <c r="H58" s="52">
        <f t="shared" si="6"/>
        <v>47</v>
      </c>
      <c r="I58" s="58">
        <f t="shared" si="7"/>
        <v>5424.5714771761313</v>
      </c>
      <c r="J58" s="58">
        <f t="shared" si="8"/>
        <v>54.075302745662206</v>
      </c>
      <c r="K58" s="58">
        <f t="shared" si="9"/>
        <v>43.2562947256284</v>
      </c>
      <c r="L58" s="58">
        <f t="shared" si="10"/>
        <v>97.331597471290607</v>
      </c>
      <c r="M58" s="21">
        <f t="shared" si="11"/>
        <v>5370.4961744304692</v>
      </c>
    </row>
    <row r="59" spans="1:13" x14ac:dyDescent="0.2">
      <c r="A59" s="519"/>
      <c r="B59" s="520"/>
      <c r="C59" s="520"/>
      <c r="D59" s="520"/>
      <c r="E59" s="520"/>
      <c r="F59" s="520"/>
      <c r="H59" s="52">
        <f t="shared" si="6"/>
        <v>48</v>
      </c>
      <c r="I59" s="58">
        <f t="shared" si="7"/>
        <v>5370.4961744304692</v>
      </c>
      <c r="J59" s="58">
        <f t="shared" si="8"/>
        <v>54.506506803491604</v>
      </c>
      <c r="K59" s="58">
        <f t="shared" si="9"/>
        <v>42.825090667799003</v>
      </c>
      <c r="L59" s="58">
        <f t="shared" si="10"/>
        <v>97.331597471290607</v>
      </c>
      <c r="M59" s="21">
        <f t="shared" si="11"/>
        <v>5315.9896676269773</v>
      </c>
    </row>
    <row r="60" spans="1:13" x14ac:dyDescent="0.2">
      <c r="A60" s="524"/>
      <c r="B60" s="524"/>
      <c r="C60" s="524"/>
      <c r="D60" s="524"/>
      <c r="E60" s="524"/>
      <c r="F60" s="524"/>
      <c r="H60" s="52">
        <f t="shared" si="6"/>
        <v>49</v>
      </c>
      <c r="I60" s="58">
        <f t="shared" si="7"/>
        <v>5315.9896676269773</v>
      </c>
      <c r="J60" s="58">
        <f t="shared" si="8"/>
        <v>54.941149343031647</v>
      </c>
      <c r="K60" s="58">
        <f t="shared" si="9"/>
        <v>42.39044812825896</v>
      </c>
      <c r="L60" s="58">
        <f t="shared" si="10"/>
        <v>97.331597471290607</v>
      </c>
      <c r="M60" s="21">
        <f t="shared" si="11"/>
        <v>5261.0485182839457</v>
      </c>
    </row>
    <row r="61" spans="1:13" x14ac:dyDescent="0.2">
      <c r="A61" s="524"/>
      <c r="B61" s="524"/>
      <c r="C61" s="524"/>
      <c r="D61" s="524"/>
      <c r="E61" s="524"/>
      <c r="F61" s="524"/>
      <c r="H61" s="52">
        <f t="shared" si="6"/>
        <v>50</v>
      </c>
      <c r="I61" s="58">
        <f t="shared" si="7"/>
        <v>5261.0485182839457</v>
      </c>
      <c r="J61" s="58">
        <f t="shared" si="8"/>
        <v>55.37925778321835</v>
      </c>
      <c r="K61" s="58">
        <f t="shared" si="9"/>
        <v>41.952339688072257</v>
      </c>
      <c r="L61" s="58">
        <f t="shared" si="10"/>
        <v>97.331597471290607</v>
      </c>
      <c r="M61" s="21">
        <f t="shared" si="11"/>
        <v>5205.6692605007274</v>
      </c>
    </row>
    <row r="62" spans="1:13" x14ac:dyDescent="0.2">
      <c r="A62" s="525"/>
      <c r="B62" s="525"/>
      <c r="C62" s="525"/>
      <c r="D62" s="525"/>
      <c r="E62" s="525"/>
      <c r="F62" s="525"/>
      <c r="H62" s="52">
        <f t="shared" si="6"/>
        <v>51</v>
      </c>
      <c r="I62" s="58">
        <f t="shared" si="7"/>
        <v>5205.6692605007274</v>
      </c>
      <c r="J62" s="58">
        <f t="shared" si="8"/>
        <v>55.820859761630196</v>
      </c>
      <c r="K62" s="58">
        <f t="shared" si="9"/>
        <v>41.510737709660411</v>
      </c>
      <c r="L62" s="58">
        <f t="shared" si="10"/>
        <v>97.331597471290607</v>
      </c>
      <c r="M62" s="21">
        <f t="shared" si="11"/>
        <v>5149.8484007390971</v>
      </c>
    </row>
    <row r="63" spans="1:13" x14ac:dyDescent="0.2">
      <c r="A63" s="20"/>
      <c r="B63" s="20"/>
      <c r="C63" s="20"/>
      <c r="D63" s="20"/>
      <c r="E63" s="20"/>
      <c r="F63" s="20"/>
      <c r="H63" s="52">
        <f t="shared" si="6"/>
        <v>52</v>
      </c>
      <c r="I63" s="58">
        <f t="shared" si="7"/>
        <v>5149.8484007390971</v>
      </c>
      <c r="J63" s="58">
        <f t="shared" si="8"/>
        <v>56.265983136231576</v>
      </c>
      <c r="K63" s="58">
        <f t="shared" si="9"/>
        <v>41.065614335059031</v>
      </c>
      <c r="L63" s="58">
        <f t="shared" si="10"/>
        <v>97.331597471290607</v>
      </c>
      <c r="M63" s="21">
        <f t="shared" si="11"/>
        <v>5093.5824176028655</v>
      </c>
    </row>
    <row r="64" spans="1:13" x14ac:dyDescent="0.2">
      <c r="A64" s="20"/>
      <c r="B64" s="520"/>
      <c r="C64" s="20"/>
      <c r="D64" s="20"/>
      <c r="E64" s="20"/>
      <c r="F64" s="20"/>
      <c r="H64" s="52">
        <f t="shared" si="6"/>
        <v>53</v>
      </c>
      <c r="I64" s="58">
        <f t="shared" si="7"/>
        <v>5093.5824176028655</v>
      </c>
      <c r="J64" s="58">
        <f t="shared" si="8"/>
        <v>56.714655987130222</v>
      </c>
      <c r="K64" s="58">
        <f t="shared" si="9"/>
        <v>40.616941484160385</v>
      </c>
      <c r="L64" s="58">
        <f t="shared" si="10"/>
        <v>97.331597471290607</v>
      </c>
      <c r="M64" s="21">
        <f t="shared" si="11"/>
        <v>5036.8677616157356</v>
      </c>
    </row>
    <row r="65" spans="1:13" x14ac:dyDescent="0.2">
      <c r="A65" s="20"/>
      <c r="B65" s="519"/>
      <c r="C65" s="20"/>
      <c r="D65" s="20"/>
      <c r="E65" s="20"/>
      <c r="F65" s="20"/>
      <c r="H65" s="52">
        <f t="shared" si="6"/>
        <v>54</v>
      </c>
      <c r="I65" s="58">
        <f t="shared" si="7"/>
        <v>5036.8677616157356</v>
      </c>
      <c r="J65" s="58">
        <f t="shared" si="8"/>
        <v>57.166906618348563</v>
      </c>
      <c r="K65" s="58">
        <f t="shared" si="9"/>
        <v>40.164690852942044</v>
      </c>
      <c r="L65" s="58">
        <f t="shared" si="10"/>
        <v>97.331597471290607</v>
      </c>
      <c r="M65" s="21">
        <f t="shared" si="11"/>
        <v>4979.7008549973871</v>
      </c>
    </row>
    <row r="66" spans="1:13" x14ac:dyDescent="0.2">
      <c r="A66" s="20"/>
      <c r="B66" s="23"/>
      <c r="C66" s="20"/>
      <c r="D66" s="20"/>
      <c r="E66" s="20"/>
      <c r="F66" s="20"/>
      <c r="H66" s="52">
        <f t="shared" si="6"/>
        <v>55</v>
      </c>
      <c r="I66" s="58">
        <f t="shared" si="7"/>
        <v>4979.7008549973871</v>
      </c>
      <c r="J66" s="58">
        <f t="shared" si="8"/>
        <v>57.622763559609304</v>
      </c>
      <c r="K66" s="58">
        <f t="shared" si="9"/>
        <v>39.708833911681303</v>
      </c>
      <c r="L66" s="58">
        <f t="shared" si="10"/>
        <v>97.331597471290607</v>
      </c>
      <c r="M66" s="21">
        <f t="shared" si="11"/>
        <v>4922.0780914377774</v>
      </c>
    </row>
    <row r="67" spans="1:13" x14ac:dyDescent="0.2">
      <c r="A67" s="20"/>
      <c r="B67" s="520"/>
      <c r="C67" s="20"/>
      <c r="D67" s="20"/>
      <c r="E67" s="20"/>
      <c r="F67" s="20"/>
      <c r="H67" s="52">
        <f t="shared" si="6"/>
        <v>56</v>
      </c>
      <c r="I67" s="58">
        <f t="shared" si="7"/>
        <v>4922.0780914377774</v>
      </c>
      <c r="J67" s="58">
        <f t="shared" si="8"/>
        <v>58.082255568135146</v>
      </c>
      <c r="K67" s="58">
        <f t="shared" si="9"/>
        <v>39.249341903155461</v>
      </c>
      <c r="L67" s="58">
        <f t="shared" si="10"/>
        <v>97.331597471290607</v>
      </c>
      <c r="M67" s="21">
        <f t="shared" si="11"/>
        <v>4863.9958358696422</v>
      </c>
    </row>
    <row r="68" spans="1:13" x14ac:dyDescent="0.2">
      <c r="A68" s="20"/>
      <c r="B68" s="20"/>
      <c r="C68" s="20"/>
      <c r="D68" s="20"/>
      <c r="E68" s="20"/>
      <c r="F68" s="20"/>
      <c r="H68" s="52">
        <f t="shared" si="6"/>
        <v>57</v>
      </c>
      <c r="I68" s="58">
        <f t="shared" si="7"/>
        <v>4863.9958358696422</v>
      </c>
      <c r="J68" s="58">
        <f t="shared" si="8"/>
        <v>58.545411630462937</v>
      </c>
      <c r="K68" s="58">
        <f t="shared" si="9"/>
        <v>38.78618584082767</v>
      </c>
      <c r="L68" s="58">
        <f t="shared" si="10"/>
        <v>97.331597471290607</v>
      </c>
      <c r="M68" s="21">
        <f t="shared" si="11"/>
        <v>4805.4504242391795</v>
      </c>
    </row>
    <row r="69" spans="1:13" x14ac:dyDescent="0.2">
      <c r="A69" s="520"/>
      <c r="B69" s="520"/>
      <c r="C69" s="520"/>
      <c r="D69" s="520"/>
      <c r="E69" s="520"/>
      <c r="F69" s="520"/>
      <c r="H69" s="52">
        <f t="shared" si="6"/>
        <v>58</v>
      </c>
      <c r="I69" s="58">
        <f t="shared" si="7"/>
        <v>4805.4504242391795</v>
      </c>
      <c r="J69" s="58">
        <f t="shared" si="8"/>
        <v>59.012260964272222</v>
      </c>
      <c r="K69" s="58">
        <f t="shared" si="9"/>
        <v>38.319336507018384</v>
      </c>
      <c r="L69" s="58">
        <f t="shared" si="10"/>
        <v>97.331597471290607</v>
      </c>
      <c r="M69" s="21">
        <f t="shared" si="11"/>
        <v>4746.4381632749073</v>
      </c>
    </row>
    <row r="70" spans="1:13" x14ac:dyDescent="0.2">
      <c r="A70" s="519"/>
      <c r="B70" s="520"/>
      <c r="C70" s="520"/>
      <c r="D70" s="520"/>
      <c r="E70" s="520"/>
      <c r="F70" s="520"/>
      <c r="H70" s="52">
        <f t="shared" si="6"/>
        <v>59</v>
      </c>
      <c r="I70" s="58">
        <f t="shared" si="7"/>
        <v>4746.4381632749073</v>
      </c>
      <c r="J70" s="58">
        <f t="shared" si="8"/>
        <v>59.482833020228441</v>
      </c>
      <c r="K70" s="58">
        <f t="shared" si="9"/>
        <v>37.848764451062166</v>
      </c>
      <c r="L70" s="58">
        <f t="shared" si="10"/>
        <v>97.331597471290607</v>
      </c>
      <c r="M70" s="21">
        <f t="shared" si="11"/>
        <v>4686.9553302546792</v>
      </c>
    </row>
    <row r="71" spans="1:13" x14ac:dyDescent="0.2">
      <c r="A71" s="519"/>
      <c r="B71" s="520"/>
      <c r="C71" s="520"/>
      <c r="D71" s="520"/>
      <c r="E71" s="520"/>
      <c r="F71" s="520"/>
      <c r="H71" s="52">
        <f t="shared" si="6"/>
        <v>60</v>
      </c>
      <c r="I71" s="58">
        <f t="shared" si="7"/>
        <v>4686.9553302546792</v>
      </c>
      <c r="J71" s="58">
        <f t="shared" si="8"/>
        <v>59.957157483840774</v>
      </c>
      <c r="K71" s="58">
        <f t="shared" si="9"/>
        <v>37.374439987449833</v>
      </c>
      <c r="L71" s="58">
        <f t="shared" si="10"/>
        <v>97.331597471290607</v>
      </c>
      <c r="M71" s="21">
        <f t="shared" si="11"/>
        <v>4626.9981727708382</v>
      </c>
    </row>
    <row r="72" spans="1:13" x14ac:dyDescent="0.2">
      <c r="A72" s="519"/>
      <c r="B72" s="520"/>
      <c r="C72" s="520"/>
      <c r="D72" s="520"/>
      <c r="E72" s="520"/>
      <c r="F72" s="520"/>
      <c r="H72" s="52">
        <f t="shared" si="6"/>
        <v>61</v>
      </c>
      <c r="I72" s="58">
        <f t="shared" si="7"/>
        <v>4626.9981727708382</v>
      </c>
      <c r="J72" s="58">
        <f t="shared" si="8"/>
        <v>60.435264277334824</v>
      </c>
      <c r="K72" s="58">
        <f t="shared" si="9"/>
        <v>36.896333193955783</v>
      </c>
      <c r="L72" s="58">
        <f t="shared" si="10"/>
        <v>97.331597471290607</v>
      </c>
      <c r="M72" s="21">
        <f t="shared" si="11"/>
        <v>4566.5629084935035</v>
      </c>
    </row>
    <row r="73" spans="1:13" ht="12.75" customHeight="1" thickBot="1" x14ac:dyDescent="0.25">
      <c r="A73" s="46"/>
      <c r="B73" s="47"/>
      <c r="C73" s="47"/>
      <c r="D73" s="47"/>
      <c r="E73" s="47"/>
      <c r="F73" s="47"/>
      <c r="H73" s="52">
        <f t="shared" si="6"/>
        <v>62</v>
      </c>
      <c r="I73" s="58">
        <f t="shared" si="7"/>
        <v>4566.5629084935035</v>
      </c>
      <c r="J73" s="58">
        <f t="shared" si="8"/>
        <v>60.917183561540199</v>
      </c>
      <c r="K73" s="58">
        <f t="shared" si="9"/>
        <v>36.414413909750408</v>
      </c>
      <c r="L73" s="58">
        <f t="shared" si="10"/>
        <v>97.331597471290607</v>
      </c>
      <c r="M73" s="21">
        <f t="shared" si="11"/>
        <v>4505.6457249319637</v>
      </c>
    </row>
    <row r="74" spans="1:13" x14ac:dyDescent="0.2">
      <c r="A74" s="29" t="s">
        <v>107</v>
      </c>
      <c r="B74" s="13" t="str">
        <f>+'FLUJO DE CAJA'!B4</f>
        <v>Año 0</v>
      </c>
      <c r="C74" s="13" t="str">
        <f>+'FLUJO DE CAJA'!C4</f>
        <v>Año 1</v>
      </c>
      <c r="D74" s="13" t="str">
        <f>+'FLUJO DE CAJA'!D4</f>
        <v>Año 2</v>
      </c>
      <c r="E74" s="13" t="str">
        <f>+'FLUJO DE CAJA'!E4</f>
        <v>Año 3</v>
      </c>
      <c r="F74" s="13" t="str">
        <f>+'FLUJO DE CAJA'!F4</f>
        <v>Año 4</v>
      </c>
      <c r="G74" s="49" t="str">
        <f>+'FLUJO DE CAJA'!G4</f>
        <v>Año 5</v>
      </c>
      <c r="H74" s="52">
        <f t="shared" si="6"/>
        <v>63</v>
      </c>
      <c r="I74" s="58">
        <f t="shared" si="7"/>
        <v>4505.6457249319637</v>
      </c>
      <c r="J74" s="58">
        <f t="shared" si="8"/>
        <v>61.402945737793225</v>
      </c>
      <c r="K74" s="58">
        <f t="shared" si="9"/>
        <v>35.928651733497382</v>
      </c>
      <c r="L74" s="58">
        <f t="shared" si="10"/>
        <v>97.331597471290607</v>
      </c>
      <c r="M74" s="21">
        <f t="shared" si="11"/>
        <v>4444.2427791941709</v>
      </c>
    </row>
    <row r="75" spans="1:13" x14ac:dyDescent="0.2">
      <c r="A75" s="19" t="s">
        <v>108</v>
      </c>
      <c r="B75" s="15">
        <f>+D11</f>
        <v>0</v>
      </c>
      <c r="C75" s="15">
        <f>+D12+P24</f>
        <v>860.72453303665088</v>
      </c>
      <c r="D75" s="15">
        <f>+D13+Q24</f>
        <v>789.44024375313256</v>
      </c>
      <c r="E75" s="15">
        <f>+D14+R24+D29</f>
        <v>709.8162633851806</v>
      </c>
      <c r="F75" s="15">
        <f>+D15+S24+D30+D43</f>
        <v>620.83693350093927</v>
      </c>
      <c r="G75" s="58">
        <f>+D16+T24+D44+D57</f>
        <v>521.35777642685616</v>
      </c>
      <c r="H75" s="52">
        <f t="shared" si="6"/>
        <v>64</v>
      </c>
      <c r="I75" s="58">
        <f t="shared" si="7"/>
        <v>4444.2427791941709</v>
      </c>
      <c r="J75" s="58">
        <f t="shared" si="8"/>
        <v>61.892581449854745</v>
      </c>
      <c r="K75" s="58">
        <f t="shared" si="9"/>
        <v>35.439016021435862</v>
      </c>
      <c r="L75" s="58">
        <f t="shared" si="10"/>
        <v>97.331597471290607</v>
      </c>
      <c r="M75" s="21">
        <f t="shared" si="11"/>
        <v>4382.3501977443166</v>
      </c>
    </row>
    <row r="76" spans="1:13" ht="12" thickBot="1" x14ac:dyDescent="0.25">
      <c r="A76" s="30" t="s">
        <v>109</v>
      </c>
      <c r="B76" s="17">
        <f>SUM(B75)</f>
        <v>0</v>
      </c>
      <c r="C76" s="17">
        <f t="shared" ref="C76:F76" si="18">SUM(C75)</f>
        <v>860.72453303665088</v>
      </c>
      <c r="D76" s="17">
        <f t="shared" si="18"/>
        <v>789.44024375313256</v>
      </c>
      <c r="E76" s="17">
        <f t="shared" si="18"/>
        <v>709.8162633851806</v>
      </c>
      <c r="F76" s="17">
        <f t="shared" si="18"/>
        <v>620.83693350093927</v>
      </c>
      <c r="G76" s="17">
        <f>SUM(G75)</f>
        <v>521.35777642685616</v>
      </c>
      <c r="H76" s="52">
        <f t="shared" si="6"/>
        <v>65</v>
      </c>
      <c r="I76" s="58">
        <f t="shared" si="7"/>
        <v>4382.3501977443166</v>
      </c>
      <c r="J76" s="58">
        <f t="shared" si="8"/>
        <v>62.386121585843249</v>
      </c>
      <c r="K76" s="58">
        <f t="shared" si="9"/>
        <v>34.945475885447358</v>
      </c>
      <c r="L76" s="58">
        <f t="shared" si="10"/>
        <v>97.331597471290607</v>
      </c>
      <c r="M76" s="21">
        <f t="shared" si="11"/>
        <v>4319.9640761584733</v>
      </c>
    </row>
    <row r="77" spans="1:13" ht="12" thickBot="1" x14ac:dyDescent="0.25">
      <c r="H77" s="52">
        <f t="shared" si="6"/>
        <v>66</v>
      </c>
      <c r="I77" s="58">
        <f t="shared" si="7"/>
        <v>4319.9640761584733</v>
      </c>
      <c r="J77" s="58">
        <f t="shared" si="8"/>
        <v>62.883597280183423</v>
      </c>
      <c r="K77" s="58">
        <f t="shared" si="9"/>
        <v>34.448000191107184</v>
      </c>
      <c r="L77" s="58">
        <f t="shared" si="10"/>
        <v>97.331597471290607</v>
      </c>
      <c r="M77" s="21">
        <f t="shared" si="11"/>
        <v>4257.0804788782898</v>
      </c>
    </row>
    <row r="78" spans="1:13" x14ac:dyDescent="0.2">
      <c r="A78" s="29" t="s">
        <v>114</v>
      </c>
      <c r="B78" s="13" t="str">
        <f>+B74</f>
        <v>Año 0</v>
      </c>
      <c r="C78" s="13" t="str">
        <f t="shared" ref="C78:G78" si="19">+C74</f>
        <v>Año 1</v>
      </c>
      <c r="D78" s="13" t="str">
        <f t="shared" si="19"/>
        <v>Año 2</v>
      </c>
      <c r="E78" s="13" t="str">
        <f t="shared" si="19"/>
        <v>Año 3</v>
      </c>
      <c r="F78" s="13" t="str">
        <f t="shared" si="19"/>
        <v>Año 4</v>
      </c>
      <c r="G78" s="49" t="str">
        <f t="shared" si="19"/>
        <v>Año 5</v>
      </c>
      <c r="H78" s="52">
        <f t="shared" ref="H78:H131" si="20">+H77+1</f>
        <v>67</v>
      </c>
      <c r="I78" s="58">
        <f t="shared" si="7"/>
        <v>4257.0804788782898</v>
      </c>
      <c r="J78" s="58">
        <f t="shared" si="8"/>
        <v>63.385039915570239</v>
      </c>
      <c r="K78" s="58">
        <f t="shared" si="9"/>
        <v>33.946557555720368</v>
      </c>
      <c r="L78" s="58">
        <f t="shared" si="10"/>
        <v>97.331597471290607</v>
      </c>
      <c r="M78" s="21">
        <f t="shared" si="11"/>
        <v>4193.6954389627199</v>
      </c>
    </row>
    <row r="79" spans="1:13" x14ac:dyDescent="0.2">
      <c r="A79" s="19" t="s">
        <v>108</v>
      </c>
      <c r="B79" s="15">
        <f>+C11</f>
        <v>0</v>
      </c>
      <c r="C79" s="15">
        <f>+C12+P27</f>
        <v>632.09208242973318</v>
      </c>
      <c r="D79" s="15">
        <f>+C13+Q27</f>
        <v>703.3763717132515</v>
      </c>
      <c r="E79" s="15">
        <f>+C14+R27+C29</f>
        <v>783.00035208120357</v>
      </c>
      <c r="F79" s="15">
        <f>+C15+S27+C30+C43</f>
        <v>871.97968196544446</v>
      </c>
      <c r="G79" s="58">
        <f>+C16+T27+C44+C57</f>
        <v>971.4588390395279</v>
      </c>
      <c r="H79" s="52">
        <f t="shared" si="20"/>
        <v>68</v>
      </c>
      <c r="I79" s="58">
        <f t="shared" ref="I79:I131" si="21">+M78</f>
        <v>4193.6954389627199</v>
      </c>
      <c r="J79" s="58">
        <f t="shared" ref="J79:J131" si="22">+L79-K79</f>
        <v>63.890481124948664</v>
      </c>
      <c r="K79" s="58">
        <f t="shared" ref="K79:K131" si="23">+M78*$K$7/12</f>
        <v>33.441116346341943</v>
      </c>
      <c r="L79" s="58">
        <f t="shared" ref="L79:L131" si="24">+$I$8</f>
        <v>97.331597471290607</v>
      </c>
      <c r="M79" s="21">
        <f t="shared" ref="M79:M131" si="25">+I79-J79</f>
        <v>4129.8049578377713</v>
      </c>
    </row>
    <row r="80" spans="1:13" ht="12" thickBot="1" x14ac:dyDescent="0.25">
      <c r="A80" s="30" t="s">
        <v>109</v>
      </c>
      <c r="B80" s="17">
        <f>SUM(B79)</f>
        <v>0</v>
      </c>
      <c r="C80" s="17">
        <f t="shared" ref="C80" si="26">SUM(C79)</f>
        <v>632.09208242973318</v>
      </c>
      <c r="D80" s="17">
        <f t="shared" ref="D80" si="27">SUM(D79)</f>
        <v>703.3763717132515</v>
      </c>
      <c r="E80" s="17">
        <f t="shared" ref="E80" si="28">SUM(E79)</f>
        <v>783.00035208120357</v>
      </c>
      <c r="F80" s="17">
        <f t="shared" ref="F80" si="29">SUM(F79)</f>
        <v>871.97968196544446</v>
      </c>
      <c r="G80" s="17">
        <f t="shared" ref="G80" si="30">SUM(G79)</f>
        <v>971.4588390395279</v>
      </c>
      <c r="H80" s="52">
        <f t="shared" si="20"/>
        <v>69</v>
      </c>
      <c r="I80" s="58">
        <f t="shared" si="21"/>
        <v>4129.8049578377713</v>
      </c>
      <c r="J80" s="58">
        <f t="shared" si="22"/>
        <v>64.399952793509229</v>
      </c>
      <c r="K80" s="58">
        <f t="shared" si="23"/>
        <v>32.931644677781378</v>
      </c>
      <c r="L80" s="58">
        <f t="shared" si="24"/>
        <v>97.331597471290607</v>
      </c>
      <c r="M80" s="21">
        <f t="shared" si="25"/>
        <v>4065.405005044262</v>
      </c>
    </row>
    <row r="81" spans="1:13" ht="12" thickBot="1" x14ac:dyDescent="0.25">
      <c r="H81" s="52">
        <f t="shared" si="20"/>
        <v>70</v>
      </c>
      <c r="I81" s="58">
        <f t="shared" si="21"/>
        <v>4065.405005044262</v>
      </c>
      <c r="J81" s="58">
        <f t="shared" si="22"/>
        <v>64.913487060699453</v>
      </c>
      <c r="K81" s="58">
        <f t="shared" si="23"/>
        <v>32.418110410591161</v>
      </c>
      <c r="L81" s="58">
        <f t="shared" si="24"/>
        <v>97.331597471290607</v>
      </c>
      <c r="M81" s="21">
        <f t="shared" si="25"/>
        <v>4000.4915179835625</v>
      </c>
    </row>
    <row r="82" spans="1:13" x14ac:dyDescent="0.2">
      <c r="A82" s="31"/>
      <c r="B82" s="45" t="str">
        <f>+B78</f>
        <v>Año 0</v>
      </c>
      <c r="C82" s="45" t="str">
        <f t="shared" ref="C82:G82" si="31">+C78</f>
        <v>Año 1</v>
      </c>
      <c r="D82" s="45" t="str">
        <f t="shared" si="31"/>
        <v>Año 2</v>
      </c>
      <c r="E82" s="45" t="str">
        <f t="shared" si="31"/>
        <v>Año 3</v>
      </c>
      <c r="F82" s="45" t="str">
        <f t="shared" si="31"/>
        <v>Año 4</v>
      </c>
      <c r="G82" s="49" t="str">
        <f t="shared" si="31"/>
        <v>Año 5</v>
      </c>
      <c r="H82" s="52">
        <f t="shared" si="20"/>
        <v>71</v>
      </c>
      <c r="I82" s="58">
        <f t="shared" si="21"/>
        <v>4000.4915179835625</v>
      </c>
      <c r="J82" s="58">
        <f t="shared" si="22"/>
        <v>65.431116322251285</v>
      </c>
      <c r="K82" s="58">
        <f t="shared" si="23"/>
        <v>31.900481149039319</v>
      </c>
      <c r="L82" s="58">
        <f t="shared" si="24"/>
        <v>97.331597471290607</v>
      </c>
      <c r="M82" s="21">
        <f t="shared" si="25"/>
        <v>3935.0604016613111</v>
      </c>
    </row>
    <row r="83" spans="1:13" ht="12" thickBot="1" x14ac:dyDescent="0.25">
      <c r="A83" s="30" t="s">
        <v>106</v>
      </c>
      <c r="B83" s="27">
        <f>+F11+O31</f>
        <v>8588.9055000000008</v>
      </c>
      <c r="C83" s="27">
        <f>+F12+P31</f>
        <v>7956.8134175702671</v>
      </c>
      <c r="D83" s="27">
        <f>+F13+Q31+F28</f>
        <v>7253.4370458570156</v>
      </c>
      <c r="E83" s="27">
        <f>+F14+R31+F29+F42</f>
        <v>6470.4366937758114</v>
      </c>
      <c r="F83" s="27">
        <f>+S31+F15+F30+F43+F56</f>
        <v>5598.4570118103666</v>
      </c>
      <c r="G83" s="27">
        <f>+T31+F16+F44+F57+F70</f>
        <v>4626.9981727708391</v>
      </c>
      <c r="H83" s="52">
        <f t="shared" si="20"/>
        <v>72</v>
      </c>
      <c r="I83" s="58">
        <f t="shared" si="21"/>
        <v>3935.0604016613111</v>
      </c>
      <c r="J83" s="58">
        <f t="shared" si="22"/>
        <v>65.95287323222486</v>
      </c>
      <c r="K83" s="58">
        <f t="shared" si="23"/>
        <v>31.378724239065747</v>
      </c>
      <c r="L83" s="58">
        <f t="shared" si="24"/>
        <v>97.331597471290607</v>
      </c>
      <c r="M83" s="21">
        <f t="shared" si="25"/>
        <v>3869.1075284290864</v>
      </c>
    </row>
    <row r="84" spans="1:13" ht="12" thickBot="1" x14ac:dyDescent="0.25">
      <c r="H84" s="52">
        <f t="shared" si="20"/>
        <v>73</v>
      </c>
      <c r="I84" s="58">
        <f t="shared" si="21"/>
        <v>3869.1075284290864</v>
      </c>
      <c r="J84" s="58">
        <f t="shared" si="22"/>
        <v>66.478790705068306</v>
      </c>
      <c r="K84" s="58">
        <f t="shared" si="23"/>
        <v>30.852806766222297</v>
      </c>
      <c r="L84" s="58">
        <f t="shared" si="24"/>
        <v>97.331597471290607</v>
      </c>
      <c r="M84" s="21">
        <f t="shared" si="25"/>
        <v>3802.6287377240183</v>
      </c>
    </row>
    <row r="85" spans="1:13" x14ac:dyDescent="0.2">
      <c r="A85" s="617" t="s">
        <v>186</v>
      </c>
      <c r="B85" s="618"/>
      <c r="C85" s="620"/>
      <c r="H85" s="52">
        <f t="shared" si="20"/>
        <v>74</v>
      </c>
      <c r="I85" s="58">
        <f t="shared" si="21"/>
        <v>3802.6287377240183</v>
      </c>
      <c r="J85" s="58">
        <f t="shared" si="22"/>
        <v>67.008901917694217</v>
      </c>
      <c r="K85" s="58">
        <f t="shared" si="23"/>
        <v>30.322695553596386</v>
      </c>
      <c r="L85" s="58">
        <f t="shared" si="24"/>
        <v>97.331597471290607</v>
      </c>
      <c r="M85" s="21">
        <f t="shared" si="25"/>
        <v>3735.6198358063239</v>
      </c>
    </row>
    <row r="86" spans="1:13" x14ac:dyDescent="0.2">
      <c r="A86" s="64" t="s">
        <v>187</v>
      </c>
      <c r="B86" s="65" t="s">
        <v>189</v>
      </c>
      <c r="C86" s="66" t="s">
        <v>188</v>
      </c>
      <c r="H86" s="52">
        <f t="shared" si="20"/>
        <v>75</v>
      </c>
      <c r="I86" s="58">
        <f t="shared" si="21"/>
        <v>3735.6198358063239</v>
      </c>
      <c r="J86" s="58">
        <f t="shared" si="22"/>
        <v>67.543240311572561</v>
      </c>
      <c r="K86" s="58">
        <f t="shared" si="23"/>
        <v>29.78835715971805</v>
      </c>
      <c r="L86" s="58">
        <f t="shared" si="24"/>
        <v>97.331597471290607</v>
      </c>
      <c r="M86" s="21">
        <f t="shared" si="25"/>
        <v>3668.0765954947515</v>
      </c>
    </row>
    <row r="87" spans="1:13" x14ac:dyDescent="0.2">
      <c r="A87" s="19" t="s">
        <v>193</v>
      </c>
      <c r="B87" s="63">
        <v>5</v>
      </c>
      <c r="C87" s="68">
        <f>+B5</f>
        <v>1088.9055000000001</v>
      </c>
      <c r="H87" s="52">
        <f t="shared" si="20"/>
        <v>76</v>
      </c>
      <c r="I87" s="58">
        <f t="shared" si="21"/>
        <v>3668.0765954947515</v>
      </c>
      <c r="J87" s="58">
        <f t="shared" si="22"/>
        <v>68.081839594840233</v>
      </c>
      <c r="K87" s="58">
        <f t="shared" si="23"/>
        <v>29.249757876450378</v>
      </c>
      <c r="L87" s="58">
        <f t="shared" si="24"/>
        <v>97.331597471290607</v>
      </c>
      <c r="M87" s="21">
        <f t="shared" si="25"/>
        <v>3599.9947558999111</v>
      </c>
    </row>
    <row r="88" spans="1:13" x14ac:dyDescent="0.2">
      <c r="A88" s="19" t="s">
        <v>190</v>
      </c>
      <c r="B88" s="63">
        <v>10</v>
      </c>
      <c r="C88" s="68">
        <f>+I5</f>
        <v>7500</v>
      </c>
      <c r="H88" s="52">
        <f t="shared" si="20"/>
        <v>77</v>
      </c>
      <c r="I88" s="58">
        <f t="shared" si="21"/>
        <v>3599.9947558999111</v>
      </c>
      <c r="J88" s="58">
        <f t="shared" si="22"/>
        <v>68.624733744427587</v>
      </c>
      <c r="K88" s="58">
        <f t="shared" si="23"/>
        <v>28.70686372686302</v>
      </c>
      <c r="L88" s="58">
        <f t="shared" si="24"/>
        <v>97.331597471290607</v>
      </c>
      <c r="M88" s="21">
        <f t="shared" si="25"/>
        <v>3531.3700221554836</v>
      </c>
    </row>
    <row r="89" spans="1:13" ht="12" thickBot="1" x14ac:dyDescent="0.25">
      <c r="A89" s="37" t="s">
        <v>191</v>
      </c>
      <c r="B89" s="39"/>
      <c r="C89" s="28">
        <f>+C87+C88</f>
        <v>8588.9055000000008</v>
      </c>
      <c r="H89" s="52">
        <f t="shared" si="20"/>
        <v>78</v>
      </c>
      <c r="I89" s="58">
        <f t="shared" si="21"/>
        <v>3531.3700221554836</v>
      </c>
      <c r="J89" s="58">
        <f t="shared" si="22"/>
        <v>69.171957008201787</v>
      </c>
      <c r="K89" s="58">
        <f t="shared" si="23"/>
        <v>28.159640463088824</v>
      </c>
      <c r="L89" s="58">
        <f t="shared" si="24"/>
        <v>97.331597471290607</v>
      </c>
      <c r="M89" s="21">
        <f t="shared" si="25"/>
        <v>3462.1980651472818</v>
      </c>
    </row>
    <row r="90" spans="1:13" x14ac:dyDescent="0.2">
      <c r="H90" s="52">
        <f t="shared" si="20"/>
        <v>79</v>
      </c>
      <c r="I90" s="58">
        <f t="shared" si="21"/>
        <v>3462.1980651472818</v>
      </c>
      <c r="J90" s="58">
        <f t="shared" si="22"/>
        <v>69.723543907127279</v>
      </c>
      <c r="K90" s="58">
        <f t="shared" si="23"/>
        <v>27.608053564163328</v>
      </c>
      <c r="L90" s="58">
        <f t="shared" si="24"/>
        <v>97.331597471290607</v>
      </c>
      <c r="M90" s="21">
        <f t="shared" si="25"/>
        <v>3392.4745212401544</v>
      </c>
    </row>
    <row r="91" spans="1:13" x14ac:dyDescent="0.2">
      <c r="H91" s="52">
        <f t="shared" si="20"/>
        <v>80</v>
      </c>
      <c r="I91" s="58">
        <f t="shared" si="21"/>
        <v>3392.4745212401544</v>
      </c>
      <c r="J91" s="58">
        <f t="shared" si="22"/>
        <v>70.279529237443555</v>
      </c>
      <c r="K91" s="58">
        <f t="shared" si="23"/>
        <v>27.052068233847056</v>
      </c>
      <c r="L91" s="58">
        <f t="shared" si="24"/>
        <v>97.331597471290607</v>
      </c>
      <c r="M91" s="21">
        <f t="shared" si="25"/>
        <v>3322.1949920027109</v>
      </c>
    </row>
    <row r="92" spans="1:13" x14ac:dyDescent="0.2">
      <c r="H92" s="52">
        <f t="shared" si="20"/>
        <v>81</v>
      </c>
      <c r="I92" s="58">
        <f t="shared" si="21"/>
        <v>3322.1949920027109</v>
      </c>
      <c r="J92" s="58">
        <f t="shared" si="22"/>
        <v>70.839948072860167</v>
      </c>
      <c r="K92" s="58">
        <f t="shared" si="23"/>
        <v>26.491649398430436</v>
      </c>
      <c r="L92" s="58">
        <f t="shared" si="24"/>
        <v>97.331597471290607</v>
      </c>
      <c r="M92" s="21">
        <f t="shared" si="25"/>
        <v>3251.3550439298506</v>
      </c>
    </row>
    <row r="93" spans="1:13" x14ac:dyDescent="0.2">
      <c r="H93" s="52">
        <f t="shared" si="20"/>
        <v>82</v>
      </c>
      <c r="I93" s="58">
        <f t="shared" si="21"/>
        <v>3251.3550439298506</v>
      </c>
      <c r="J93" s="58">
        <f t="shared" si="22"/>
        <v>71.404835766769409</v>
      </c>
      <c r="K93" s="58">
        <f t="shared" si="23"/>
        <v>25.926761704521198</v>
      </c>
      <c r="L93" s="58">
        <f t="shared" si="24"/>
        <v>97.331597471290607</v>
      </c>
      <c r="M93" s="21">
        <f t="shared" si="25"/>
        <v>3179.9502081630812</v>
      </c>
    </row>
    <row r="94" spans="1:13" x14ac:dyDescent="0.2">
      <c r="H94" s="52">
        <f t="shared" si="20"/>
        <v>83</v>
      </c>
      <c r="I94" s="58">
        <f t="shared" si="21"/>
        <v>3179.9502081630812</v>
      </c>
      <c r="J94" s="58">
        <f t="shared" si="22"/>
        <v>71.974227954476433</v>
      </c>
      <c r="K94" s="58">
        <f t="shared" si="23"/>
        <v>25.35736951681417</v>
      </c>
      <c r="L94" s="58">
        <f t="shared" si="24"/>
        <v>97.331597471290607</v>
      </c>
      <c r="M94" s="21">
        <f t="shared" si="25"/>
        <v>3107.9759802086046</v>
      </c>
    </row>
    <row r="95" spans="1:13" x14ac:dyDescent="0.2">
      <c r="H95" s="52">
        <f t="shared" si="20"/>
        <v>84</v>
      </c>
      <c r="I95" s="58">
        <f t="shared" si="21"/>
        <v>3107.9759802086046</v>
      </c>
      <c r="J95" s="58">
        <f t="shared" si="22"/>
        <v>72.548160555447367</v>
      </c>
      <c r="K95" s="58">
        <f t="shared" si="23"/>
        <v>24.783436915843239</v>
      </c>
      <c r="L95" s="58">
        <f t="shared" si="24"/>
        <v>97.331597471290607</v>
      </c>
      <c r="M95" s="21">
        <f t="shared" si="25"/>
        <v>3035.4278196531573</v>
      </c>
    </row>
    <row r="96" spans="1:13" x14ac:dyDescent="0.2">
      <c r="H96" s="52">
        <f t="shared" si="20"/>
        <v>85</v>
      </c>
      <c r="I96" s="58">
        <f t="shared" si="21"/>
        <v>3035.4278196531573</v>
      </c>
      <c r="J96" s="58">
        <f t="shared" si="22"/>
        <v>73.126669775575166</v>
      </c>
      <c r="K96" s="58">
        <f t="shared" si="23"/>
        <v>24.204927695715444</v>
      </c>
      <c r="L96" s="58">
        <f t="shared" si="24"/>
        <v>97.331597471290607</v>
      </c>
      <c r="M96" s="21">
        <f t="shared" si="25"/>
        <v>2962.3011498775822</v>
      </c>
    </row>
    <row r="97" spans="8:13" x14ac:dyDescent="0.2">
      <c r="H97" s="52">
        <f t="shared" si="20"/>
        <v>86</v>
      </c>
      <c r="I97" s="58">
        <f t="shared" si="21"/>
        <v>2962.3011498775822</v>
      </c>
      <c r="J97" s="58">
        <f t="shared" si="22"/>
        <v>73.709792109463663</v>
      </c>
      <c r="K97" s="58">
        <f t="shared" si="23"/>
        <v>23.62180536182694</v>
      </c>
      <c r="L97" s="58">
        <f t="shared" si="24"/>
        <v>97.331597471290607</v>
      </c>
      <c r="M97" s="21">
        <f t="shared" si="25"/>
        <v>2888.5913577681185</v>
      </c>
    </row>
    <row r="98" spans="8:13" x14ac:dyDescent="0.2">
      <c r="H98" s="52">
        <f t="shared" si="20"/>
        <v>87</v>
      </c>
      <c r="I98" s="58">
        <f t="shared" si="21"/>
        <v>2888.5913577681185</v>
      </c>
      <c r="J98" s="58">
        <f t="shared" si="22"/>
        <v>74.297564342729842</v>
      </c>
      <c r="K98" s="58">
        <f t="shared" si="23"/>
        <v>23.034033128560768</v>
      </c>
      <c r="L98" s="58">
        <f t="shared" si="24"/>
        <v>97.331597471290607</v>
      </c>
      <c r="M98" s="21">
        <f t="shared" si="25"/>
        <v>2814.2937934253887</v>
      </c>
    </row>
    <row r="99" spans="8:13" x14ac:dyDescent="0.2">
      <c r="H99" s="52">
        <f t="shared" si="20"/>
        <v>88</v>
      </c>
      <c r="I99" s="58">
        <f t="shared" si="21"/>
        <v>2814.2937934253887</v>
      </c>
      <c r="J99" s="58">
        <f t="shared" si="22"/>
        <v>74.890023554324273</v>
      </c>
      <c r="K99" s="58">
        <f t="shared" si="23"/>
        <v>22.44157391696633</v>
      </c>
      <c r="L99" s="58">
        <f t="shared" si="24"/>
        <v>97.331597471290607</v>
      </c>
      <c r="M99" s="21">
        <f t="shared" si="25"/>
        <v>2739.4037698710645</v>
      </c>
    </row>
    <row r="100" spans="8:13" x14ac:dyDescent="0.2">
      <c r="H100" s="52">
        <f t="shared" si="20"/>
        <v>89</v>
      </c>
      <c r="I100" s="58">
        <f t="shared" si="21"/>
        <v>2739.4037698710645</v>
      </c>
      <c r="J100" s="58">
        <f t="shared" si="22"/>
        <v>75.487207118870373</v>
      </c>
      <c r="K100" s="58">
        <f t="shared" si="23"/>
        <v>21.844390352420238</v>
      </c>
      <c r="L100" s="58">
        <f t="shared" si="24"/>
        <v>97.331597471290607</v>
      </c>
      <c r="M100" s="21">
        <f t="shared" si="25"/>
        <v>2663.9165627521943</v>
      </c>
    </row>
    <row r="101" spans="8:13" x14ac:dyDescent="0.2">
      <c r="H101" s="52">
        <f t="shared" si="20"/>
        <v>90</v>
      </c>
      <c r="I101" s="58">
        <f t="shared" si="21"/>
        <v>2663.9165627521943</v>
      </c>
      <c r="J101" s="58">
        <f t="shared" si="22"/>
        <v>76.089152709021988</v>
      </c>
      <c r="K101" s="58">
        <f t="shared" si="23"/>
        <v>21.242444762268622</v>
      </c>
      <c r="L101" s="58">
        <f t="shared" si="24"/>
        <v>97.331597471290607</v>
      </c>
      <c r="M101" s="21">
        <f t="shared" si="25"/>
        <v>2587.8274100431722</v>
      </c>
    </row>
    <row r="102" spans="8:13" x14ac:dyDescent="0.2">
      <c r="H102" s="52">
        <f t="shared" si="20"/>
        <v>91</v>
      </c>
      <c r="I102" s="58">
        <f t="shared" si="21"/>
        <v>2587.8274100431722</v>
      </c>
      <c r="J102" s="58">
        <f t="shared" si="22"/>
        <v>76.695898297840031</v>
      </c>
      <c r="K102" s="58">
        <f t="shared" si="23"/>
        <v>20.635699173450579</v>
      </c>
      <c r="L102" s="58">
        <f t="shared" si="24"/>
        <v>97.331597471290607</v>
      </c>
      <c r="M102" s="21">
        <f t="shared" si="25"/>
        <v>2511.1315117453323</v>
      </c>
    </row>
    <row r="103" spans="8:13" x14ac:dyDescent="0.2">
      <c r="H103" s="52">
        <f t="shared" si="20"/>
        <v>92</v>
      </c>
      <c r="I103" s="58">
        <f t="shared" si="21"/>
        <v>2511.1315117453323</v>
      </c>
      <c r="J103" s="58">
        <f t="shared" si="22"/>
        <v>77.30748216118792</v>
      </c>
      <c r="K103" s="58">
        <f t="shared" si="23"/>
        <v>20.024115310102683</v>
      </c>
      <c r="L103" s="58">
        <f t="shared" si="24"/>
        <v>97.331597471290607</v>
      </c>
      <c r="M103" s="21">
        <f t="shared" si="25"/>
        <v>2433.8240295841442</v>
      </c>
    </row>
    <row r="104" spans="8:13" x14ac:dyDescent="0.2">
      <c r="H104" s="52">
        <f t="shared" si="20"/>
        <v>93</v>
      </c>
      <c r="I104" s="58">
        <f t="shared" si="21"/>
        <v>2433.8240295841442</v>
      </c>
      <c r="J104" s="58">
        <f t="shared" si="22"/>
        <v>77.923942880146214</v>
      </c>
      <c r="K104" s="58">
        <f t="shared" si="23"/>
        <v>19.407654591144397</v>
      </c>
      <c r="L104" s="58">
        <f t="shared" si="24"/>
        <v>97.331597471290607</v>
      </c>
      <c r="M104" s="21">
        <f t="shared" si="25"/>
        <v>2355.9000867039981</v>
      </c>
    </row>
    <row r="105" spans="8:13" x14ac:dyDescent="0.2">
      <c r="H105" s="52">
        <f t="shared" si="20"/>
        <v>94</v>
      </c>
      <c r="I105" s="58">
        <f t="shared" si="21"/>
        <v>2355.9000867039981</v>
      </c>
      <c r="J105" s="58">
        <f t="shared" si="22"/>
        <v>78.54531934344638</v>
      </c>
      <c r="K105" s="58">
        <f t="shared" si="23"/>
        <v>18.786278127844234</v>
      </c>
      <c r="L105" s="58">
        <f t="shared" si="24"/>
        <v>97.331597471290607</v>
      </c>
      <c r="M105" s="21">
        <f t="shared" si="25"/>
        <v>2277.3547673605517</v>
      </c>
    </row>
    <row r="106" spans="8:13" x14ac:dyDescent="0.2">
      <c r="H106" s="52">
        <f t="shared" si="20"/>
        <v>95</v>
      </c>
      <c r="I106" s="58">
        <f t="shared" si="21"/>
        <v>2277.3547673605517</v>
      </c>
      <c r="J106" s="58">
        <f t="shared" si="22"/>
        <v>79.171650749924112</v>
      </c>
      <c r="K106" s="58">
        <f t="shared" si="23"/>
        <v>18.159946721366502</v>
      </c>
      <c r="L106" s="58">
        <f t="shared" si="24"/>
        <v>97.331597471290607</v>
      </c>
      <c r="M106" s="21">
        <f t="shared" si="25"/>
        <v>2198.1831166106276</v>
      </c>
    </row>
    <row r="107" spans="8:13" x14ac:dyDescent="0.2">
      <c r="H107" s="52">
        <f t="shared" si="20"/>
        <v>96</v>
      </c>
      <c r="I107" s="58">
        <f t="shared" si="21"/>
        <v>2198.1831166106276</v>
      </c>
      <c r="J107" s="58">
        <f t="shared" si="22"/>
        <v>79.802976610992118</v>
      </c>
      <c r="K107" s="58">
        <f t="shared" si="23"/>
        <v>17.528620860298485</v>
      </c>
      <c r="L107" s="58">
        <f t="shared" si="24"/>
        <v>97.331597471290607</v>
      </c>
      <c r="M107" s="21">
        <f t="shared" si="25"/>
        <v>2118.3801399996355</v>
      </c>
    </row>
    <row r="108" spans="8:13" x14ac:dyDescent="0.2">
      <c r="H108" s="52">
        <f t="shared" si="20"/>
        <v>97</v>
      </c>
      <c r="I108" s="58">
        <f t="shared" si="21"/>
        <v>2118.3801399996355</v>
      </c>
      <c r="J108" s="58">
        <f t="shared" si="22"/>
        <v>80.439336753132693</v>
      </c>
      <c r="K108" s="58">
        <f t="shared" si="23"/>
        <v>16.89226071815791</v>
      </c>
      <c r="L108" s="58">
        <f t="shared" si="24"/>
        <v>97.331597471290607</v>
      </c>
      <c r="M108" s="21">
        <f t="shared" si="25"/>
        <v>2037.9408032465028</v>
      </c>
    </row>
    <row r="109" spans="8:13" x14ac:dyDescent="0.2">
      <c r="H109" s="52">
        <f t="shared" si="20"/>
        <v>98</v>
      </c>
      <c r="I109" s="58">
        <f t="shared" si="21"/>
        <v>2037.9408032465028</v>
      </c>
      <c r="J109" s="58">
        <f t="shared" si="22"/>
        <v>81.080771320410065</v>
      </c>
      <c r="K109" s="58">
        <f t="shared" si="23"/>
        <v>16.250826150880549</v>
      </c>
      <c r="L109" s="58">
        <f t="shared" si="24"/>
        <v>97.331597471290607</v>
      </c>
      <c r="M109" s="21">
        <f t="shared" si="25"/>
        <v>1956.8600319260927</v>
      </c>
    </row>
    <row r="110" spans="8:13" x14ac:dyDescent="0.2">
      <c r="H110" s="52">
        <f t="shared" si="20"/>
        <v>99</v>
      </c>
      <c r="I110" s="58">
        <f t="shared" si="21"/>
        <v>1956.8600319260927</v>
      </c>
      <c r="J110" s="58">
        <f t="shared" si="22"/>
        <v>81.727320777002845</v>
      </c>
      <c r="K110" s="58">
        <f t="shared" si="23"/>
        <v>15.604276694287767</v>
      </c>
      <c r="L110" s="58">
        <f t="shared" si="24"/>
        <v>97.331597471290607</v>
      </c>
      <c r="M110" s="21">
        <f t="shared" si="25"/>
        <v>1875.1327111490898</v>
      </c>
    </row>
    <row r="111" spans="8:13" x14ac:dyDescent="0.2">
      <c r="H111" s="52">
        <f t="shared" si="20"/>
        <v>100</v>
      </c>
      <c r="I111" s="58">
        <f t="shared" si="21"/>
        <v>1875.1327111490898</v>
      </c>
      <c r="J111" s="58">
        <f t="shared" si="22"/>
        <v>82.37902590975672</v>
      </c>
      <c r="K111" s="58">
        <f t="shared" si="23"/>
        <v>14.952571561533881</v>
      </c>
      <c r="L111" s="58">
        <f t="shared" si="24"/>
        <v>97.331597471290607</v>
      </c>
      <c r="M111" s="21">
        <f t="shared" si="25"/>
        <v>1792.753685239333</v>
      </c>
    </row>
    <row r="112" spans="8:13" x14ac:dyDescent="0.2">
      <c r="H112" s="52">
        <f t="shared" si="20"/>
        <v>101</v>
      </c>
      <c r="I112" s="58">
        <f t="shared" si="21"/>
        <v>1792.753685239333</v>
      </c>
      <c r="J112" s="58">
        <f t="shared" si="22"/>
        <v>83.03592783075743</v>
      </c>
      <c r="K112" s="58">
        <f t="shared" si="23"/>
        <v>14.295669640533179</v>
      </c>
      <c r="L112" s="58">
        <f t="shared" si="24"/>
        <v>97.331597471290607</v>
      </c>
      <c r="M112" s="21">
        <f t="shared" si="25"/>
        <v>1709.7177574085756</v>
      </c>
    </row>
    <row r="113" spans="8:13" x14ac:dyDescent="0.2">
      <c r="H113" s="52">
        <f t="shared" si="20"/>
        <v>102</v>
      </c>
      <c r="I113" s="58">
        <f t="shared" si="21"/>
        <v>1709.7177574085756</v>
      </c>
      <c r="J113" s="58">
        <f t="shared" si="22"/>
        <v>83.698067979924204</v>
      </c>
      <c r="K113" s="58">
        <f t="shared" si="23"/>
        <v>13.633529491366401</v>
      </c>
      <c r="L113" s="58">
        <f t="shared" si="24"/>
        <v>97.331597471290607</v>
      </c>
      <c r="M113" s="21">
        <f t="shared" si="25"/>
        <v>1626.0196894286514</v>
      </c>
    </row>
    <row r="114" spans="8:13" x14ac:dyDescent="0.2">
      <c r="H114" s="52">
        <f t="shared" si="20"/>
        <v>103</v>
      </c>
      <c r="I114" s="58">
        <f t="shared" si="21"/>
        <v>1626.0196894286514</v>
      </c>
      <c r="J114" s="58">
        <f t="shared" si="22"/>
        <v>84.365488127624047</v>
      </c>
      <c r="K114" s="58">
        <f t="shared" si="23"/>
        <v>12.966109343666552</v>
      </c>
      <c r="L114" s="58">
        <f t="shared" si="24"/>
        <v>97.331597471290607</v>
      </c>
      <c r="M114" s="21">
        <f t="shared" si="25"/>
        <v>1541.6542013010273</v>
      </c>
    </row>
    <row r="115" spans="8:13" x14ac:dyDescent="0.2">
      <c r="H115" s="52">
        <f t="shared" si="20"/>
        <v>104</v>
      </c>
      <c r="I115" s="58">
        <f t="shared" si="21"/>
        <v>1541.6542013010273</v>
      </c>
      <c r="J115" s="58">
        <f t="shared" si="22"/>
        <v>85.038230377306746</v>
      </c>
      <c r="K115" s="58">
        <f t="shared" si="23"/>
        <v>12.293367093983866</v>
      </c>
      <c r="L115" s="58">
        <f t="shared" si="24"/>
        <v>97.331597471290607</v>
      </c>
      <c r="M115" s="21">
        <f t="shared" si="25"/>
        <v>1456.6159709237206</v>
      </c>
    </row>
    <row r="116" spans="8:13" x14ac:dyDescent="0.2">
      <c r="H116" s="52">
        <f t="shared" si="20"/>
        <v>105</v>
      </c>
      <c r="I116" s="58">
        <f t="shared" si="21"/>
        <v>1456.6159709237206</v>
      </c>
      <c r="J116" s="58">
        <f t="shared" si="22"/>
        <v>85.716337168160862</v>
      </c>
      <c r="K116" s="58">
        <f t="shared" si="23"/>
        <v>11.615260303129752</v>
      </c>
      <c r="L116" s="58">
        <f t="shared" si="24"/>
        <v>97.331597471290607</v>
      </c>
      <c r="M116" s="21">
        <f t="shared" si="25"/>
        <v>1370.8996337555598</v>
      </c>
    </row>
    <row r="117" spans="8:13" x14ac:dyDescent="0.2">
      <c r="H117" s="52">
        <f t="shared" si="20"/>
        <v>106</v>
      </c>
      <c r="I117" s="58">
        <f t="shared" si="21"/>
        <v>1370.8996337555598</v>
      </c>
      <c r="J117" s="58">
        <f t="shared" si="22"/>
        <v>86.399851277791029</v>
      </c>
      <c r="K117" s="58">
        <f t="shared" si="23"/>
        <v>10.931746193499572</v>
      </c>
      <c r="L117" s="58">
        <f t="shared" si="24"/>
        <v>97.331597471290607</v>
      </c>
      <c r="M117" s="21">
        <f t="shared" si="25"/>
        <v>1284.4997824777688</v>
      </c>
    </row>
    <row r="118" spans="8:13" x14ac:dyDescent="0.2">
      <c r="H118" s="52">
        <f t="shared" si="20"/>
        <v>107</v>
      </c>
      <c r="I118" s="58">
        <f t="shared" si="21"/>
        <v>1284.4997824777688</v>
      </c>
      <c r="J118" s="58">
        <f t="shared" si="22"/>
        <v>87.088815824916537</v>
      </c>
      <c r="K118" s="58">
        <f t="shared" si="23"/>
        <v>10.242781646374068</v>
      </c>
      <c r="L118" s="58">
        <f t="shared" si="24"/>
        <v>97.331597471290607</v>
      </c>
      <c r="M118" s="21">
        <f t="shared" si="25"/>
        <v>1197.4109666528523</v>
      </c>
    </row>
    <row r="119" spans="8:13" x14ac:dyDescent="0.2">
      <c r="H119" s="52">
        <f t="shared" si="20"/>
        <v>108</v>
      </c>
      <c r="I119" s="58">
        <f t="shared" si="21"/>
        <v>1197.4109666528523</v>
      </c>
      <c r="J119" s="58">
        <f t="shared" si="22"/>
        <v>87.783274272091361</v>
      </c>
      <c r="K119" s="58">
        <f t="shared" si="23"/>
        <v>9.5483231991992472</v>
      </c>
      <c r="L119" s="58">
        <f t="shared" si="24"/>
        <v>97.331597471290607</v>
      </c>
      <c r="M119" s="21">
        <f t="shared" si="25"/>
        <v>1109.6276923807609</v>
      </c>
    </row>
    <row r="120" spans="8:13" x14ac:dyDescent="0.2">
      <c r="H120" s="52">
        <f t="shared" si="20"/>
        <v>109</v>
      </c>
      <c r="I120" s="58">
        <f t="shared" si="21"/>
        <v>1109.6276923807609</v>
      </c>
      <c r="J120" s="58">
        <f t="shared" si="22"/>
        <v>88.483270428445991</v>
      </c>
      <c r="K120" s="58">
        <f t="shared" si="23"/>
        <v>8.8483270428446144</v>
      </c>
      <c r="L120" s="58">
        <f t="shared" si="24"/>
        <v>97.331597471290607</v>
      </c>
      <c r="M120" s="21">
        <f t="shared" si="25"/>
        <v>1021.1444219523149</v>
      </c>
    </row>
    <row r="121" spans="8:13" x14ac:dyDescent="0.2">
      <c r="H121" s="52">
        <f t="shared" si="20"/>
        <v>110</v>
      </c>
      <c r="I121" s="58">
        <f t="shared" si="21"/>
        <v>1021.1444219523149</v>
      </c>
      <c r="J121" s="58">
        <f t="shared" si="22"/>
        <v>89.188848452451083</v>
      </c>
      <c r="K121" s="58">
        <f t="shared" si="23"/>
        <v>8.1427490188395186</v>
      </c>
      <c r="L121" s="58">
        <f t="shared" si="24"/>
        <v>97.331597471290607</v>
      </c>
      <c r="M121" s="21">
        <f t="shared" si="25"/>
        <v>931.95557349986382</v>
      </c>
    </row>
    <row r="122" spans="8:13" x14ac:dyDescent="0.2">
      <c r="H122" s="52">
        <f t="shared" si="20"/>
        <v>111</v>
      </c>
      <c r="I122" s="58">
        <f t="shared" si="21"/>
        <v>931.95557349986382</v>
      </c>
      <c r="J122" s="58">
        <f t="shared" si="22"/>
        <v>89.900052854703148</v>
      </c>
      <c r="K122" s="58">
        <f t="shared" si="23"/>
        <v>7.4315446165874581</v>
      </c>
      <c r="L122" s="58">
        <f t="shared" si="24"/>
        <v>97.331597471290607</v>
      </c>
      <c r="M122" s="21">
        <f t="shared" si="25"/>
        <v>842.05552064516064</v>
      </c>
    </row>
    <row r="123" spans="8:13" x14ac:dyDescent="0.2">
      <c r="H123" s="52">
        <f t="shared" si="20"/>
        <v>112</v>
      </c>
      <c r="I123" s="58">
        <f t="shared" si="21"/>
        <v>842.05552064516064</v>
      </c>
      <c r="J123" s="58">
        <f t="shared" si="22"/>
        <v>90.616928500732428</v>
      </c>
      <c r="K123" s="58">
        <f t="shared" si="23"/>
        <v>6.7146689705581837</v>
      </c>
      <c r="L123" s="58">
        <f t="shared" si="24"/>
        <v>97.331597471290607</v>
      </c>
      <c r="M123" s="21">
        <f t="shared" si="25"/>
        <v>751.43859214442818</v>
      </c>
    </row>
    <row r="124" spans="8:13" x14ac:dyDescent="0.2">
      <c r="H124" s="52">
        <f t="shared" si="20"/>
        <v>113</v>
      </c>
      <c r="I124" s="58">
        <f t="shared" si="21"/>
        <v>751.43859214442818</v>
      </c>
      <c r="J124" s="58">
        <f t="shared" si="22"/>
        <v>91.339520613833201</v>
      </c>
      <c r="K124" s="58">
        <f t="shared" si="23"/>
        <v>5.9920768574574117</v>
      </c>
      <c r="L124" s="58">
        <f t="shared" si="24"/>
        <v>97.331597471290607</v>
      </c>
      <c r="M124" s="21">
        <f t="shared" si="25"/>
        <v>660.09907153059498</v>
      </c>
    </row>
    <row r="125" spans="8:13" x14ac:dyDescent="0.2">
      <c r="H125" s="52">
        <f t="shared" si="20"/>
        <v>114</v>
      </c>
      <c r="I125" s="58">
        <f t="shared" si="21"/>
        <v>660.09907153059498</v>
      </c>
      <c r="J125" s="58">
        <f t="shared" si="22"/>
        <v>92.067874777916657</v>
      </c>
      <c r="K125" s="58">
        <f t="shared" si="23"/>
        <v>5.2637226933739552</v>
      </c>
      <c r="L125" s="58">
        <f t="shared" si="24"/>
        <v>97.331597471290607</v>
      </c>
      <c r="M125" s="21">
        <f t="shared" si="25"/>
        <v>568.03119675267828</v>
      </c>
    </row>
    <row r="126" spans="8:13" x14ac:dyDescent="0.2">
      <c r="H126" s="52">
        <f t="shared" si="20"/>
        <v>115</v>
      </c>
      <c r="I126" s="58">
        <f t="shared" si="21"/>
        <v>568.03119675267828</v>
      </c>
      <c r="J126" s="58">
        <f t="shared" si="22"/>
        <v>92.802036940386486</v>
      </c>
      <c r="K126" s="58">
        <f t="shared" si="23"/>
        <v>4.5295605309041207</v>
      </c>
      <c r="L126" s="58">
        <f t="shared" si="24"/>
        <v>97.331597471290607</v>
      </c>
      <c r="M126" s="21">
        <f t="shared" si="25"/>
        <v>475.22915981229181</v>
      </c>
    </row>
    <row r="127" spans="8:13" x14ac:dyDescent="0.2">
      <c r="H127" s="52">
        <f t="shared" si="20"/>
        <v>116</v>
      </c>
      <c r="I127" s="58">
        <f t="shared" si="21"/>
        <v>475.22915981229181</v>
      </c>
      <c r="J127" s="58">
        <f t="shared" si="22"/>
        <v>93.542053415037444</v>
      </c>
      <c r="K127" s="58">
        <f t="shared" si="23"/>
        <v>3.7895440562531646</v>
      </c>
      <c r="L127" s="58">
        <f t="shared" si="24"/>
        <v>97.331597471290607</v>
      </c>
      <c r="M127" s="21">
        <f t="shared" si="25"/>
        <v>381.68710639725435</v>
      </c>
    </row>
    <row r="128" spans="8:13" x14ac:dyDescent="0.2">
      <c r="H128" s="52">
        <f t="shared" si="20"/>
        <v>117</v>
      </c>
      <c r="I128" s="58">
        <f t="shared" si="21"/>
        <v>381.68710639725435</v>
      </c>
      <c r="J128" s="58">
        <f t="shared" si="22"/>
        <v>94.287970884976971</v>
      </c>
      <c r="K128" s="58">
        <f t="shared" si="23"/>
        <v>3.0436265863136387</v>
      </c>
      <c r="L128" s="58">
        <f t="shared" si="24"/>
        <v>97.331597471290607</v>
      </c>
      <c r="M128" s="21">
        <f t="shared" si="25"/>
        <v>287.39913551227738</v>
      </c>
    </row>
    <row r="129" spans="8:13" x14ac:dyDescent="0.2">
      <c r="H129" s="52">
        <f t="shared" si="20"/>
        <v>118</v>
      </c>
      <c r="I129" s="58">
        <f t="shared" si="21"/>
        <v>287.39913551227738</v>
      </c>
      <c r="J129" s="58">
        <f t="shared" si="22"/>
        <v>95.039836405570171</v>
      </c>
      <c r="K129" s="58">
        <f t="shared" si="23"/>
        <v>2.2917610657204426</v>
      </c>
      <c r="L129" s="58">
        <f t="shared" si="24"/>
        <v>97.331597471290607</v>
      </c>
      <c r="M129" s="21">
        <f t="shared" si="25"/>
        <v>192.35929910670723</v>
      </c>
    </row>
    <row r="130" spans="8:13" x14ac:dyDescent="0.2">
      <c r="H130" s="52">
        <f t="shared" si="20"/>
        <v>119</v>
      </c>
      <c r="I130" s="58">
        <f t="shared" si="21"/>
        <v>192.35929910670723</v>
      </c>
      <c r="J130" s="58">
        <f t="shared" si="22"/>
        <v>95.797697407408222</v>
      </c>
      <c r="K130" s="58">
        <f t="shared" si="23"/>
        <v>1.5339000638823859</v>
      </c>
      <c r="L130" s="58">
        <f t="shared" si="24"/>
        <v>97.331597471290607</v>
      </c>
      <c r="M130" s="21">
        <f t="shared" si="25"/>
        <v>96.561601699299004</v>
      </c>
    </row>
    <row r="131" spans="8:13" ht="12" thickBot="1" x14ac:dyDescent="0.25">
      <c r="H131" s="26">
        <f t="shared" si="20"/>
        <v>120</v>
      </c>
      <c r="I131" s="27">
        <f t="shared" si="21"/>
        <v>96.561601699299004</v>
      </c>
      <c r="J131" s="27">
        <f t="shared" si="22"/>
        <v>96.561601699300525</v>
      </c>
      <c r="K131" s="27">
        <f t="shared" si="23"/>
        <v>0.76999577199008262</v>
      </c>
      <c r="L131" s="27">
        <f t="shared" si="24"/>
        <v>97.331597471290607</v>
      </c>
      <c r="M131" s="74">
        <f t="shared" si="25"/>
        <v>-1.5205614545266144E-12</v>
      </c>
    </row>
    <row r="132" spans="8:13" x14ac:dyDescent="0.2">
      <c r="H132" s="55"/>
    </row>
    <row r="133" spans="8:13" x14ac:dyDescent="0.2">
      <c r="H133" s="51"/>
    </row>
    <row r="134" spans="8:13" x14ac:dyDescent="0.2">
      <c r="H134" s="51"/>
    </row>
    <row r="135" spans="8:13" x14ac:dyDescent="0.2">
      <c r="H135" s="51"/>
    </row>
    <row r="136" spans="8:13" x14ac:dyDescent="0.2">
      <c r="H136" s="51"/>
    </row>
    <row r="137" spans="8:13" x14ac:dyDescent="0.2">
      <c r="H137" s="51"/>
    </row>
    <row r="138" spans="8:13" x14ac:dyDescent="0.2">
      <c r="H138" s="51"/>
    </row>
    <row r="139" spans="8:13" x14ac:dyDescent="0.2">
      <c r="H139" s="51"/>
    </row>
    <row r="140" spans="8:13" x14ac:dyDescent="0.2">
      <c r="H140" s="51"/>
    </row>
    <row r="141" spans="8:13" x14ac:dyDescent="0.2">
      <c r="H141" s="51"/>
    </row>
    <row r="142" spans="8:13" x14ac:dyDescent="0.2">
      <c r="H142" s="51"/>
    </row>
    <row r="143" spans="8:13" x14ac:dyDescent="0.2">
      <c r="H143" s="51"/>
    </row>
    <row r="144" spans="8:13" x14ac:dyDescent="0.2">
      <c r="H144" s="51"/>
    </row>
    <row r="145" spans="8:8" x14ac:dyDescent="0.2">
      <c r="H145" s="51"/>
    </row>
    <row r="146" spans="8:8" x14ac:dyDescent="0.2">
      <c r="H146" s="51"/>
    </row>
    <row r="147" spans="8:8" x14ac:dyDescent="0.2">
      <c r="H147" s="51"/>
    </row>
    <row r="148" spans="8:8" x14ac:dyDescent="0.2">
      <c r="H148" s="51"/>
    </row>
    <row r="149" spans="8:8" x14ac:dyDescent="0.2">
      <c r="H149" s="51"/>
    </row>
    <row r="150" spans="8:8" x14ac:dyDescent="0.2">
      <c r="H150" s="51"/>
    </row>
    <row r="151" spans="8:8" x14ac:dyDescent="0.2">
      <c r="H151" s="51"/>
    </row>
    <row r="152" spans="8:8" x14ac:dyDescent="0.2">
      <c r="H152" s="51"/>
    </row>
    <row r="153" spans="8:8" x14ac:dyDescent="0.2">
      <c r="H153" s="51"/>
    </row>
    <row r="154" spans="8:8" x14ac:dyDescent="0.2">
      <c r="H154" s="51"/>
    </row>
    <row r="155" spans="8:8" x14ac:dyDescent="0.2">
      <c r="H155" s="51"/>
    </row>
  </sheetData>
  <mergeCells count="10">
    <mergeCell ref="N1:R1"/>
    <mergeCell ref="N2:R2"/>
    <mergeCell ref="N3:R3"/>
    <mergeCell ref="A85:C85"/>
    <mergeCell ref="H3:M3"/>
    <mergeCell ref="H1:M1"/>
    <mergeCell ref="H2:M2"/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opLeftCell="C8" workbookViewId="0">
      <selection activeCell="M37" sqref="M37"/>
    </sheetView>
  </sheetViews>
  <sheetFormatPr baseColWidth="10" defaultRowHeight="11.25" x14ac:dyDescent="0.2"/>
  <cols>
    <col min="1" max="1" width="41.140625" style="1" bestFit="1" customWidth="1"/>
    <col min="2" max="2" width="11.42578125" style="5" hidden="1" customWidth="1"/>
    <col min="3" max="3" width="11.42578125" style="5"/>
    <col min="4" max="7" width="11.42578125" style="1"/>
    <col min="8" max="8" width="5.140625" style="1" customWidth="1"/>
    <col min="9" max="9" width="27.5703125" style="1" customWidth="1"/>
    <col min="10" max="10" width="0" style="1" hidden="1" customWidth="1"/>
    <col min="11" max="16384" width="11.42578125" style="1"/>
  </cols>
  <sheetData>
    <row r="1" spans="1:15" x14ac:dyDescent="0.2">
      <c r="A1" s="1" t="s">
        <v>49</v>
      </c>
      <c r="C1" s="510">
        <f>+WACC!C325</f>
        <v>3.9629999999999992E-2</v>
      </c>
      <c r="D1" s="510">
        <f>+C1</f>
        <v>3.9629999999999992E-2</v>
      </c>
      <c r="E1" s="510">
        <f>+D1</f>
        <v>3.9629999999999992E-2</v>
      </c>
      <c r="F1" s="510">
        <f>+E1</f>
        <v>3.9629999999999992E-2</v>
      </c>
      <c r="G1" s="510">
        <f>+F1</f>
        <v>3.9629999999999992E-2</v>
      </c>
    </row>
    <row r="2" spans="1:15" x14ac:dyDescent="0.2">
      <c r="A2" s="1" t="s">
        <v>66</v>
      </c>
      <c r="C2" s="510">
        <f>+C1+1%</f>
        <v>4.9629999999999994E-2</v>
      </c>
      <c r="D2" s="510">
        <f>+D1+1%</f>
        <v>4.9629999999999994E-2</v>
      </c>
      <c r="E2" s="510">
        <f>+E1+1%</f>
        <v>4.9629999999999994E-2</v>
      </c>
      <c r="F2" s="510">
        <f>+F1+1%</f>
        <v>4.9629999999999994E-2</v>
      </c>
      <c r="G2" s="510">
        <f>+G1+1%</f>
        <v>4.9629999999999994E-2</v>
      </c>
    </row>
    <row r="3" spans="1:15" x14ac:dyDescent="0.2">
      <c r="A3" s="1" t="s">
        <v>67</v>
      </c>
      <c r="C3" s="42">
        <v>0.42</v>
      </c>
      <c r="D3" s="42">
        <f t="shared" ref="D3:G5" si="0">+C3</f>
        <v>0.42</v>
      </c>
      <c r="E3" s="42">
        <f t="shared" si="0"/>
        <v>0.42</v>
      </c>
      <c r="F3" s="42">
        <f t="shared" si="0"/>
        <v>0.42</v>
      </c>
      <c r="G3" s="42">
        <f t="shared" si="0"/>
        <v>0.42</v>
      </c>
    </row>
    <row r="4" spans="1:15" x14ac:dyDescent="0.2">
      <c r="A4" s="1" t="s">
        <v>184</v>
      </c>
      <c r="C4" s="42">
        <f>+'BASES DE LAS PROYECCIONE'!B93</f>
        <v>0.06</v>
      </c>
      <c r="D4" s="42">
        <f t="shared" si="0"/>
        <v>0.06</v>
      </c>
      <c r="E4" s="42">
        <f t="shared" si="0"/>
        <v>0.06</v>
      </c>
      <c r="F4" s="42">
        <f t="shared" si="0"/>
        <v>0.06</v>
      </c>
      <c r="G4" s="42">
        <f t="shared" si="0"/>
        <v>0.06</v>
      </c>
    </row>
    <row r="5" spans="1:15" s="3" customFormat="1" ht="12" thickBot="1" x14ac:dyDescent="0.25">
      <c r="A5" s="3" t="s">
        <v>185</v>
      </c>
      <c r="C5" s="42">
        <f>+'BASES DE LAS PROYECCIONE'!B91</f>
        <v>0</v>
      </c>
      <c r="D5" s="42">
        <f t="shared" si="0"/>
        <v>0</v>
      </c>
      <c r="E5" s="42">
        <f t="shared" si="0"/>
        <v>0</v>
      </c>
      <c r="F5" s="42">
        <f t="shared" si="0"/>
        <v>0</v>
      </c>
      <c r="G5" s="42">
        <f t="shared" si="0"/>
        <v>0</v>
      </c>
    </row>
    <row r="6" spans="1:15" s="3" customFormat="1" x14ac:dyDescent="0.2">
      <c r="A6" s="617" t="s">
        <v>476</v>
      </c>
      <c r="B6" s="618"/>
      <c r="C6" s="618"/>
      <c r="D6" s="618"/>
      <c r="E6" s="618"/>
      <c r="F6" s="618"/>
      <c r="G6" s="620"/>
      <c r="I6" s="617" t="s">
        <v>476</v>
      </c>
      <c r="J6" s="618"/>
      <c r="K6" s="618"/>
      <c r="L6" s="618"/>
      <c r="M6" s="618"/>
      <c r="N6" s="618"/>
      <c r="O6" s="620"/>
    </row>
    <row r="7" spans="1:15" s="3" customFormat="1" x14ac:dyDescent="0.2">
      <c r="A7" s="614" t="s">
        <v>473</v>
      </c>
      <c r="B7" s="615"/>
      <c r="C7" s="615"/>
      <c r="D7" s="615"/>
      <c r="E7" s="615"/>
      <c r="F7" s="615"/>
      <c r="G7" s="616"/>
      <c r="I7" s="614" t="s">
        <v>473</v>
      </c>
      <c r="J7" s="615"/>
      <c r="K7" s="615"/>
      <c r="L7" s="615"/>
      <c r="M7" s="615"/>
      <c r="N7" s="615"/>
      <c r="O7" s="616"/>
    </row>
    <row r="8" spans="1:15" s="3" customFormat="1" ht="12" thickBot="1" x14ac:dyDescent="0.25">
      <c r="A8" s="624" t="s">
        <v>4</v>
      </c>
      <c r="B8" s="625"/>
      <c r="C8" s="625"/>
      <c r="D8" s="625"/>
      <c r="E8" s="625"/>
      <c r="F8" s="625"/>
      <c r="G8" s="626"/>
      <c r="I8" s="624" t="s">
        <v>514</v>
      </c>
      <c r="J8" s="625"/>
      <c r="K8" s="625"/>
      <c r="L8" s="625"/>
      <c r="M8" s="625"/>
      <c r="N8" s="625"/>
      <c r="O8" s="626"/>
    </row>
    <row r="9" spans="1:15" s="3" customFormat="1" ht="12" thickBot="1" x14ac:dyDescent="0.25">
      <c r="A9" s="578" t="s">
        <v>425</v>
      </c>
      <c r="B9" s="6"/>
      <c r="C9" s="541" t="s">
        <v>6</v>
      </c>
      <c r="D9" s="541" t="s">
        <v>7</v>
      </c>
      <c r="E9" s="541" t="s">
        <v>8</v>
      </c>
      <c r="F9" s="541" t="s">
        <v>9</v>
      </c>
      <c r="G9" s="541" t="s">
        <v>10</v>
      </c>
      <c r="I9" s="34"/>
      <c r="J9" s="577"/>
      <c r="K9" s="541" t="s">
        <v>6</v>
      </c>
      <c r="L9" s="541" t="s">
        <v>7</v>
      </c>
      <c r="M9" s="541" t="s">
        <v>8</v>
      </c>
      <c r="N9" s="541" t="s">
        <v>9</v>
      </c>
      <c r="O9" s="541" t="s">
        <v>10</v>
      </c>
    </row>
    <row r="10" spans="1:15" s="3" customFormat="1" ht="12" thickBot="1" x14ac:dyDescent="0.25">
      <c r="A10" s="537" t="s">
        <v>16</v>
      </c>
      <c r="B10" s="538"/>
      <c r="C10" s="539">
        <f>+'BASES DE LAS PROYECCIONE'!D57</f>
        <v>6583.0286120616838</v>
      </c>
      <c r="D10" s="539">
        <f>+'BASES DE LAS PROYECCIONE'!E57</f>
        <v>7545.4152246433514</v>
      </c>
      <c r="E10" s="539">
        <f>+'BASES DE LAS PROYECCIONE'!F57</f>
        <v>8648.4951330705535</v>
      </c>
      <c r="F10" s="539">
        <f>+'BASES DE LAS PROYECCIONE'!G57</f>
        <v>9912.8365822015403</v>
      </c>
      <c r="G10" s="539">
        <f>+'BASES DE LAS PROYECCIONE'!H57</f>
        <v>11362.014731289493</v>
      </c>
      <c r="I10" s="537" t="s">
        <v>16</v>
      </c>
      <c r="J10" s="538"/>
      <c r="K10" s="588">
        <f>+C10/C10</f>
        <v>1</v>
      </c>
      <c r="L10" s="588">
        <f t="shared" ref="L10:O10" si="1">+D10/D10</f>
        <v>1</v>
      </c>
      <c r="M10" s="588">
        <f t="shared" si="1"/>
        <v>1</v>
      </c>
      <c r="N10" s="588">
        <f t="shared" si="1"/>
        <v>1</v>
      </c>
      <c r="O10" s="588">
        <f t="shared" si="1"/>
        <v>1</v>
      </c>
    </row>
    <row r="11" spans="1:15" s="3" customFormat="1" x14ac:dyDescent="0.2">
      <c r="A11" s="4" t="s">
        <v>17</v>
      </c>
      <c r="B11" s="5"/>
      <c r="C11" s="531">
        <f>SUM(C12:C13)</f>
        <v>2040.1765286120617</v>
      </c>
      <c r="D11" s="531">
        <f>SUM(D12:D13)</f>
        <v>2168.2487565566435</v>
      </c>
      <c r="E11" s="531">
        <f>SUM(E12:E13)</f>
        <v>2383.8270153487329</v>
      </c>
      <c r="F11" s="531">
        <f>SUM(F12:F13)</f>
        <v>2645.2732557426743</v>
      </c>
      <c r="G11" s="531">
        <f>SUM(G12:G13)</f>
        <v>2958.8285776212419</v>
      </c>
      <c r="I11" s="34" t="s">
        <v>17</v>
      </c>
      <c r="J11" s="579"/>
      <c r="K11" s="589">
        <f>+C11/C10</f>
        <v>0.30991457714067505</v>
      </c>
      <c r="L11" s="589">
        <f t="shared" ref="L11:O11" si="2">+D11/D10</f>
        <v>0.28735976642811328</v>
      </c>
      <c r="M11" s="589">
        <f t="shared" si="2"/>
        <v>0.27563489123481544</v>
      </c>
      <c r="N11" s="589">
        <f t="shared" si="2"/>
        <v>0.26685331023132697</v>
      </c>
      <c r="O11" s="589">
        <f t="shared" si="2"/>
        <v>0.26041407686904483</v>
      </c>
    </row>
    <row r="12" spans="1:15" s="3" customFormat="1" x14ac:dyDescent="0.2">
      <c r="A12" s="3" t="s">
        <v>19</v>
      </c>
      <c r="B12" s="62"/>
      <c r="C12" s="532">
        <f>(+'BASES DE LAS PROYECCIONE'!D87*(1+C3))*12</f>
        <v>1260.96</v>
      </c>
      <c r="D12" s="532">
        <f>+C12*(1+D2)*(1+'BASES DE LAS PROYECCIONE'!C142)</f>
        <v>1459.2044428920001</v>
      </c>
      <c r="E12" s="532">
        <f>+D12*(1+E2)*(1+'BASES DE LAS PROYECCIONE'!D142)</f>
        <v>1688.6162972304849</v>
      </c>
      <c r="F12" s="532">
        <f>+E12*(1+F2)*(1+'BASES DE LAS PROYECCIONE'!E142)</f>
        <v>1954.095612278393</v>
      </c>
      <c r="G12" s="532">
        <f>+F12*(1+G2)*(1+'BASES DE LAS PROYECCIONE'!F142)</f>
        <v>2261.3128087111359</v>
      </c>
      <c r="I12" s="19" t="s">
        <v>19</v>
      </c>
      <c r="J12" s="579"/>
      <c r="K12" s="549">
        <f>+C12/C10</f>
        <v>0.19154709394542499</v>
      </c>
      <c r="L12" s="549">
        <f t="shared" ref="L12:O12" si="3">+D12/D10</f>
        <v>0.19338954841427858</v>
      </c>
      <c r="M12" s="549">
        <f t="shared" si="3"/>
        <v>0.19524972509650476</v>
      </c>
      <c r="N12" s="549">
        <f t="shared" si="3"/>
        <v>0.19712779445864811</v>
      </c>
      <c r="O12" s="549">
        <f t="shared" si="3"/>
        <v>0.19902392860693782</v>
      </c>
    </row>
    <row r="13" spans="1:15" s="3" customFormat="1" x14ac:dyDescent="0.2">
      <c r="A13" s="3" t="s">
        <v>136</v>
      </c>
      <c r="B13" s="62"/>
      <c r="C13" s="532">
        <f>SUM(C14:C22)</f>
        <v>779.21652861206167</v>
      </c>
      <c r="D13" s="532">
        <f>SUM(D14:D22)</f>
        <v>709.04431366464337</v>
      </c>
      <c r="E13" s="532">
        <f>SUM(E14:E22)</f>
        <v>695.21071811824777</v>
      </c>
      <c r="F13" s="532">
        <f>SUM(F14:F22)</f>
        <v>691.17764346428135</v>
      </c>
      <c r="G13" s="532">
        <f>SUM(G14:G22)</f>
        <v>697.51576891010609</v>
      </c>
      <c r="I13" s="19" t="s">
        <v>136</v>
      </c>
      <c r="J13" s="579"/>
      <c r="K13" s="549">
        <f>+C13/C10</f>
        <v>0.11836748319525006</v>
      </c>
      <c r="L13" s="549">
        <f t="shared" ref="L13:O13" si="4">+D13/D10</f>
        <v>9.3970218013834719E-2</v>
      </c>
      <c r="M13" s="549">
        <f t="shared" si="4"/>
        <v>8.0385166138310676E-2</v>
      </c>
      <c r="N13" s="549">
        <f t="shared" si="4"/>
        <v>6.9725515772678839E-2</v>
      </c>
      <c r="O13" s="549">
        <f t="shared" si="4"/>
        <v>6.1390148262107022E-2</v>
      </c>
    </row>
    <row r="14" spans="1:15" s="3" customFormat="1" x14ac:dyDescent="0.2">
      <c r="A14" s="3" t="s">
        <v>48</v>
      </c>
      <c r="B14" s="5"/>
      <c r="C14" s="532">
        <v>6.3</v>
      </c>
      <c r="D14" s="532">
        <f>+C14*(1+D1)</f>
        <v>6.5496689999999997</v>
      </c>
      <c r="E14" s="532">
        <f>+D14*(1+E1)</f>
        <v>6.8092323824700003</v>
      </c>
      <c r="F14" s="532">
        <f>+E14*(1+F1)</f>
        <v>7.0790822617872866</v>
      </c>
      <c r="G14" s="532">
        <f>+F14*(1+G1)</f>
        <v>7.3596262918219173</v>
      </c>
      <c r="I14" s="19" t="s">
        <v>48</v>
      </c>
      <c r="J14" s="579"/>
      <c r="K14" s="549">
        <f>+C14/C10</f>
        <v>9.5700632205317963E-4</v>
      </c>
      <c r="L14" s="549">
        <f t="shared" ref="L14:O14" si="5">+D14/D10</f>
        <v>8.6803294517295198E-4</v>
      </c>
      <c r="M14" s="549">
        <f t="shared" si="5"/>
        <v>7.8733146954462784E-4</v>
      </c>
      <c r="N14" s="549">
        <f t="shared" si="5"/>
        <v>7.1413285219467369E-4</v>
      </c>
      <c r="O14" s="549">
        <f t="shared" si="5"/>
        <v>6.4773954847589441E-4</v>
      </c>
    </row>
    <row r="15" spans="1:15" s="3" customFormat="1" x14ac:dyDescent="0.2">
      <c r="A15" s="3" t="s">
        <v>485</v>
      </c>
      <c r="B15" s="5"/>
      <c r="C15" s="532">
        <v>4.5</v>
      </c>
      <c r="D15" s="532">
        <f>+C15*(1+D1)</f>
        <v>4.6783350000000006</v>
      </c>
      <c r="E15" s="532">
        <f>+D15*(1+E1)</f>
        <v>4.8637374160500011</v>
      </c>
      <c r="F15" s="532">
        <f>+E15*(1+F1)</f>
        <v>5.0564873298480633</v>
      </c>
      <c r="G15" s="532">
        <f>+F15*(1+G1)</f>
        <v>5.2568759227299422</v>
      </c>
      <c r="I15" s="19" t="s">
        <v>485</v>
      </c>
      <c r="J15" s="579"/>
      <c r="K15" s="549">
        <f>+C15/C10</f>
        <v>6.8357594432369971E-4</v>
      </c>
      <c r="L15" s="549">
        <f t="shared" ref="L15:O15" si="6">+D15/D10</f>
        <v>6.2002353226639441E-4</v>
      </c>
      <c r="M15" s="549">
        <f t="shared" si="6"/>
        <v>5.6237962110330573E-4</v>
      </c>
      <c r="N15" s="549">
        <f t="shared" si="6"/>
        <v>5.10094894424767E-4</v>
      </c>
      <c r="O15" s="549">
        <f t="shared" si="6"/>
        <v>4.6267110605421039E-4</v>
      </c>
    </row>
    <row r="16" spans="1:15" s="3" customFormat="1" x14ac:dyDescent="0.2">
      <c r="A16" s="3" t="s">
        <v>58</v>
      </c>
      <c r="B16" s="5"/>
      <c r="C16" s="532">
        <v>2.4</v>
      </c>
      <c r="D16" s="532">
        <f>+C16*(1+D1)</f>
        <v>2.4951120000000002</v>
      </c>
      <c r="E16" s="532">
        <f>+D16*(1+E1)</f>
        <v>2.5939932885600006</v>
      </c>
      <c r="F16" s="532">
        <f>+E16*(1+F1)</f>
        <v>2.6967932425856334</v>
      </c>
      <c r="G16" s="532">
        <f>+F16*(1+G1)</f>
        <v>2.8036671587893021</v>
      </c>
      <c r="I16" s="19" t="s">
        <v>58</v>
      </c>
      <c r="J16" s="579"/>
      <c r="K16" s="549">
        <f>+C16/C10</f>
        <v>3.6457383697263983E-4</v>
      </c>
      <c r="L16" s="549">
        <f t="shared" ref="L16:O16" si="7">+D16/D10</f>
        <v>3.3067921720874368E-4</v>
      </c>
      <c r="M16" s="549">
        <f t="shared" si="7"/>
        <v>2.9993579792176304E-4</v>
      </c>
      <c r="N16" s="549">
        <f t="shared" si="7"/>
        <v>2.7205061035987573E-4</v>
      </c>
      <c r="O16" s="549">
        <f t="shared" si="7"/>
        <v>2.4675792322891217E-4</v>
      </c>
    </row>
    <row r="17" spans="1:15" s="3" customFormat="1" x14ac:dyDescent="0.2">
      <c r="A17" s="3" t="s">
        <v>57</v>
      </c>
      <c r="B17" s="5"/>
      <c r="C17" s="532">
        <f>(3*12)+(2*12)+(1.5*12)+(0.045*12)+(0.204*12)</f>
        <v>80.988</v>
      </c>
      <c r="D17" s="532">
        <f>+C17*(1+D1)</f>
        <v>84.197554440000005</v>
      </c>
      <c r="E17" s="532">
        <f>+D17*(1+E1)</f>
        <v>87.534303522457208</v>
      </c>
      <c r="F17" s="532">
        <f>+E17*(1+F1)</f>
        <v>91.003287971052188</v>
      </c>
      <c r="G17" s="532">
        <f>+F17*(1+G1)</f>
        <v>94.609748273344991</v>
      </c>
      <c r="I17" s="19" t="s">
        <v>57</v>
      </c>
      <c r="J17" s="579"/>
      <c r="K17" s="549">
        <f>+C17/C10</f>
        <v>1.2302544128641733E-2</v>
      </c>
      <c r="L17" s="549">
        <f t="shared" ref="L17:O17" si="8">+D17/D10</f>
        <v>1.1158770184709055E-2</v>
      </c>
      <c r="M17" s="549">
        <f t="shared" si="8"/>
        <v>1.0121333500869892E-2</v>
      </c>
      <c r="N17" s="549">
        <f t="shared" si="8"/>
        <v>9.1803478465940051E-3</v>
      </c>
      <c r="O17" s="549">
        <f t="shared" si="8"/>
        <v>8.3268461193596408E-3</v>
      </c>
    </row>
    <row r="18" spans="1:15" s="3" customFormat="1" x14ac:dyDescent="0.2">
      <c r="A18" s="3" t="s">
        <v>60</v>
      </c>
      <c r="B18" s="5"/>
      <c r="C18" s="532">
        <f>1*12</f>
        <v>12</v>
      </c>
      <c r="D18" s="532">
        <f>+C18*(1+D1)</f>
        <v>12.475560000000002</v>
      </c>
      <c r="E18" s="532">
        <f>+D18*(1+E1)</f>
        <v>12.969966442800002</v>
      </c>
      <c r="F18" s="532">
        <f>+E18*(1+F1)</f>
        <v>13.483966212928166</v>
      </c>
      <c r="G18" s="532">
        <f>+F18*(1+G1)</f>
        <v>14.018335793946511</v>
      </c>
      <c r="I18" s="19" t="s">
        <v>60</v>
      </c>
      <c r="J18" s="579"/>
      <c r="K18" s="549">
        <f>+C18/C10</f>
        <v>1.8228691848631994E-3</v>
      </c>
      <c r="L18" s="549">
        <f t="shared" ref="L18:O18" si="9">+D18/D10</f>
        <v>1.6533960860437185E-3</v>
      </c>
      <c r="M18" s="549">
        <f t="shared" si="9"/>
        <v>1.499678989608815E-3</v>
      </c>
      <c r="N18" s="549">
        <f t="shared" si="9"/>
        <v>1.3602530517993784E-3</v>
      </c>
      <c r="O18" s="549">
        <f t="shared" si="9"/>
        <v>1.233789616144561E-3</v>
      </c>
    </row>
    <row r="19" spans="1:15" s="3" customFormat="1" x14ac:dyDescent="0.2">
      <c r="A19" s="3" t="s">
        <v>64</v>
      </c>
      <c r="B19" s="5"/>
      <c r="C19" s="532">
        <f>0.3*12</f>
        <v>3.5999999999999996</v>
      </c>
      <c r="D19" s="532">
        <f>+C19*(1+D1)</f>
        <v>3.7426679999999997</v>
      </c>
      <c r="E19" s="532">
        <f>+D19*(1+E1)</f>
        <v>3.8909899328399997</v>
      </c>
      <c r="F19" s="532">
        <f>+E19*(1+F1)</f>
        <v>4.0451898638784494</v>
      </c>
      <c r="G19" s="532">
        <f>+F19*(1+G1)</f>
        <v>4.2055007381839529</v>
      </c>
      <c r="I19" s="19" t="s">
        <v>64</v>
      </c>
      <c r="J19" s="579"/>
      <c r="K19" s="549">
        <f>+C19/C10</f>
        <v>5.4686075545895974E-4</v>
      </c>
      <c r="L19" s="549">
        <f t="shared" ref="L19:O19" si="10">+D19/D10</f>
        <v>4.9601882581311546E-4</v>
      </c>
      <c r="M19" s="549">
        <f t="shared" si="10"/>
        <v>4.499036968826444E-4</v>
      </c>
      <c r="N19" s="549">
        <f t="shared" si="10"/>
        <v>4.0807591553981349E-4</v>
      </c>
      <c r="O19" s="549">
        <f t="shared" si="10"/>
        <v>3.7013688484336825E-4</v>
      </c>
    </row>
    <row r="20" spans="1:15" s="3" customFormat="1" x14ac:dyDescent="0.2">
      <c r="A20" s="3" t="s">
        <v>65</v>
      </c>
      <c r="B20" s="5"/>
      <c r="C20" s="532">
        <f>+(0.5/500)*C10</f>
        <v>6.5830286120616837</v>
      </c>
      <c r="D20" s="532">
        <f>+(0.5/500)*D10</f>
        <v>7.5454152246433512</v>
      </c>
      <c r="E20" s="532">
        <f>+(0.5/500)*E10</f>
        <v>8.6484951330705542</v>
      </c>
      <c r="F20" s="532">
        <f>+(0.5/500)*F10</f>
        <v>9.9128365822015407</v>
      </c>
      <c r="G20" s="532">
        <f>+(0.5/500)*G10</f>
        <v>11.362014731289493</v>
      </c>
      <c r="I20" s="19" t="s">
        <v>65</v>
      </c>
      <c r="J20" s="579"/>
      <c r="K20" s="549">
        <f>+C20/C10</f>
        <v>1E-3</v>
      </c>
      <c r="L20" s="549">
        <f t="shared" ref="L20:O20" si="11">+D20/D10</f>
        <v>1E-3</v>
      </c>
      <c r="M20" s="549">
        <f t="shared" si="11"/>
        <v>1E-3</v>
      </c>
      <c r="N20" s="549">
        <f t="shared" si="11"/>
        <v>1E-3</v>
      </c>
      <c r="O20" s="549">
        <f t="shared" si="11"/>
        <v>1E-3</v>
      </c>
    </row>
    <row r="21" spans="1:15" s="3" customFormat="1" x14ac:dyDescent="0.2">
      <c r="A21" s="3" t="s">
        <v>33</v>
      </c>
      <c r="B21" s="5"/>
      <c r="C21" s="532">
        <f>+'BASES DE LAS PROYECCIONE'!D18+'BASES DE LAS PROYECCIONE'!D27</f>
        <v>657.84550000000002</v>
      </c>
      <c r="D21" s="532">
        <f>+'BASES DE LAS PROYECCIONE'!E18+'BASES DE LAS PROYECCIONE'!E27</f>
        <v>587.36</v>
      </c>
      <c r="E21" s="532">
        <f>+'BASES DE LAS PROYECCIONE'!F18+'BASES DE LAS PROYECCIONE'!F27</f>
        <v>567.9</v>
      </c>
      <c r="F21" s="532">
        <f>+'BASES DE LAS PROYECCIONE'!G18+'BASES DE LAS PROYECCIONE'!G27</f>
        <v>557.9</v>
      </c>
      <c r="G21" s="532">
        <f>+'BASES DE LAS PROYECCIONE'!H18+'BASES DE LAS PROYECCIONE'!H27</f>
        <v>557.9</v>
      </c>
      <c r="I21" s="19" t="s">
        <v>33</v>
      </c>
      <c r="J21" s="579"/>
      <c r="K21" s="549">
        <f>+C21/C10</f>
        <v>9.9930524195910322E-2</v>
      </c>
      <c r="L21" s="549">
        <f t="shared" ref="L21:O21" si="12">+D21/D10</f>
        <v>7.7843297222620733E-2</v>
      </c>
      <c r="M21" s="549">
        <f t="shared" si="12"/>
        <v>6.5664603062379631E-2</v>
      </c>
      <c r="N21" s="549">
        <f t="shared" si="12"/>
        <v>5.6280560601766325E-2</v>
      </c>
      <c r="O21" s="549">
        <f t="shared" si="12"/>
        <v>4.9102207064000439E-2</v>
      </c>
    </row>
    <row r="22" spans="1:15" s="3" customFormat="1" ht="12" thickBot="1" x14ac:dyDescent="0.25">
      <c r="A22" s="3" t="s">
        <v>63</v>
      </c>
      <c r="B22" s="5"/>
      <c r="C22" s="532">
        <f>+'BASES DE LAS PROYECCIONE'!D41</f>
        <v>5</v>
      </c>
      <c r="D22" s="532">
        <f>+'BASES DE LAS PROYECCIONE'!E41</f>
        <v>0</v>
      </c>
      <c r="E22" s="532">
        <f>+'BASES DE LAS PROYECCIONE'!F41</f>
        <v>0</v>
      </c>
      <c r="F22" s="532">
        <f>+'BASES DE LAS PROYECCIONE'!G41</f>
        <v>0</v>
      </c>
      <c r="G22" s="532">
        <f>+'BASES DE LAS PROYECCIONE'!H41</f>
        <v>0</v>
      </c>
      <c r="I22" s="19" t="s">
        <v>63</v>
      </c>
      <c r="J22" s="579"/>
      <c r="K22" s="549">
        <f>+C22/C10</f>
        <v>7.5952882702633303E-4</v>
      </c>
      <c r="L22" s="549">
        <f t="shared" ref="L22:O22" si="13">+D22/D10</f>
        <v>0</v>
      </c>
      <c r="M22" s="549">
        <f t="shared" si="13"/>
        <v>0</v>
      </c>
      <c r="N22" s="549">
        <f t="shared" si="13"/>
        <v>0</v>
      </c>
      <c r="O22" s="549">
        <f t="shared" si="13"/>
        <v>0</v>
      </c>
    </row>
    <row r="23" spans="1:15" s="3" customFormat="1" ht="12" thickBot="1" x14ac:dyDescent="0.25">
      <c r="A23" s="537" t="s">
        <v>18</v>
      </c>
      <c r="B23" s="540"/>
      <c r="C23" s="539">
        <f>+C10-C11</f>
        <v>4542.8520834496221</v>
      </c>
      <c r="D23" s="539">
        <f>+D10-D11</f>
        <v>5377.1664680867079</v>
      </c>
      <c r="E23" s="539">
        <f>+E10-E11</f>
        <v>6264.6681177218206</v>
      </c>
      <c r="F23" s="539">
        <f>+F10-F11</f>
        <v>7267.563326458866</v>
      </c>
      <c r="G23" s="539">
        <f>+G10-G11</f>
        <v>8403.1861536682518</v>
      </c>
      <c r="I23" s="537" t="s">
        <v>488</v>
      </c>
      <c r="J23" s="540"/>
      <c r="K23" s="588">
        <f>+C23/C10</f>
        <v>0.69008542285932495</v>
      </c>
      <c r="L23" s="588">
        <f t="shared" ref="L23:O23" si="14">+D23/D10</f>
        <v>0.71264023357188666</v>
      </c>
      <c r="M23" s="588">
        <f t="shared" si="14"/>
        <v>0.72436510876518456</v>
      </c>
      <c r="N23" s="588">
        <f t="shared" si="14"/>
        <v>0.73314668976867303</v>
      </c>
      <c r="O23" s="588">
        <f t="shared" si="14"/>
        <v>0.73958592313095517</v>
      </c>
    </row>
    <row r="24" spans="1:15" s="3" customFormat="1" x14ac:dyDescent="0.2">
      <c r="A24" s="4" t="s">
        <v>513</v>
      </c>
      <c r="B24" s="5"/>
      <c r="C24" s="531">
        <f>SUM(C25:C27)</f>
        <v>476.58176472370104</v>
      </c>
      <c r="D24" s="531">
        <f t="shared" ref="D24:G24" si="15">SUM(D25:D27)</f>
        <v>538.33877186084112</v>
      </c>
      <c r="E24" s="531">
        <f t="shared" si="15"/>
        <v>608.73515547798365</v>
      </c>
      <c r="F24" s="531">
        <f t="shared" si="15"/>
        <v>689.01476948562947</v>
      </c>
      <c r="G24" s="531">
        <f t="shared" si="15"/>
        <v>780.60236476735986</v>
      </c>
      <c r="I24" s="34" t="s">
        <v>513</v>
      </c>
      <c r="J24" s="579"/>
      <c r="K24" s="589">
        <f>+C24/C10</f>
        <v>7.2395517748546495E-2</v>
      </c>
      <c r="L24" s="589">
        <f t="shared" ref="L24:O24" si="16">+D24/D10</f>
        <v>7.1346474094974244E-2</v>
      </c>
      <c r="M24" s="589">
        <f t="shared" si="16"/>
        <v>7.0386251724912391E-2</v>
      </c>
      <c r="N24" s="589">
        <f t="shared" si="16"/>
        <v>6.9507326563090208E-2</v>
      </c>
      <c r="O24" s="589">
        <f t="shared" si="16"/>
        <v>6.8702812241361003E-2</v>
      </c>
    </row>
    <row r="25" spans="1:15" s="3" customFormat="1" x14ac:dyDescent="0.2">
      <c r="A25" s="3" t="s">
        <v>52</v>
      </c>
      <c r="B25" s="5"/>
      <c r="C25" s="532">
        <f>+C10*C4</f>
        <v>394.98171672370103</v>
      </c>
      <c r="D25" s="532">
        <f>+D10*D4</f>
        <v>452.72491347860108</v>
      </c>
      <c r="E25" s="532">
        <f>+E10*E4</f>
        <v>518.90970798423314</v>
      </c>
      <c r="F25" s="532">
        <f>+F10*F4</f>
        <v>594.77019493209241</v>
      </c>
      <c r="G25" s="532">
        <f>+G10*G4</f>
        <v>681.7208838773696</v>
      </c>
      <c r="I25" s="19" t="s">
        <v>52</v>
      </c>
      <c r="J25" s="579"/>
      <c r="K25" s="549">
        <f>+C25/C10</f>
        <v>0.06</v>
      </c>
      <c r="L25" s="549">
        <f t="shared" ref="L25:O25" si="17">+D25/D10</f>
        <v>0.06</v>
      </c>
      <c r="M25" s="549">
        <f t="shared" si="17"/>
        <v>5.9999999999999991E-2</v>
      </c>
      <c r="N25" s="549">
        <f t="shared" si="17"/>
        <v>0.06</v>
      </c>
      <c r="O25" s="549">
        <f t="shared" si="17"/>
        <v>0.06</v>
      </c>
    </row>
    <row r="26" spans="1:15" s="3" customFormat="1" x14ac:dyDescent="0.2">
      <c r="A26" s="3" t="s">
        <v>61</v>
      </c>
      <c r="B26" s="5"/>
      <c r="C26" s="532">
        <f>6.500004*12</f>
        <v>78.000047999999992</v>
      </c>
      <c r="D26" s="532">
        <f>+C26*(1+D2)</f>
        <v>81.871190382240002</v>
      </c>
      <c r="E26" s="532">
        <f>+D26*(1+E2)</f>
        <v>85.934457560910573</v>
      </c>
      <c r="F26" s="532">
        <f>+E26*(1+F2)</f>
        <v>90.199384689658572</v>
      </c>
      <c r="G26" s="532">
        <f>+F26*(1+G2)</f>
        <v>94.675980151806328</v>
      </c>
      <c r="I26" s="19" t="s">
        <v>61</v>
      </c>
      <c r="J26" s="579"/>
      <c r="K26" s="549">
        <f>+C26/C10</f>
        <v>1.1848656993087533E-2</v>
      </c>
      <c r="L26" s="549">
        <f t="shared" ref="L26:O26" si="18">+D26/D10</f>
        <v>1.0850455269161122E-2</v>
      </c>
      <c r="M26" s="549">
        <f t="shared" si="18"/>
        <v>9.9363480280297602E-3</v>
      </c>
      <c r="N26" s="549">
        <f t="shared" si="18"/>
        <v>9.0992506475503915E-3</v>
      </c>
      <c r="O26" s="549">
        <f t="shared" si="18"/>
        <v>8.3326753565176378E-3</v>
      </c>
    </row>
    <row r="27" spans="1:15" s="3" customFormat="1" ht="12" thickBot="1" x14ac:dyDescent="0.25">
      <c r="A27" s="3" t="s">
        <v>59</v>
      </c>
      <c r="B27" s="5"/>
      <c r="C27" s="532">
        <f>0.3*12</f>
        <v>3.5999999999999996</v>
      </c>
      <c r="D27" s="532">
        <f>+C27*(1+D1)</f>
        <v>3.7426679999999997</v>
      </c>
      <c r="E27" s="532">
        <f>+D27*(1+E1)</f>
        <v>3.8909899328399997</v>
      </c>
      <c r="F27" s="532">
        <f>+E27*(1+F1)</f>
        <v>4.0451898638784494</v>
      </c>
      <c r="G27" s="532">
        <f>+F27*(1+G1)</f>
        <v>4.2055007381839529</v>
      </c>
      <c r="I27" s="19" t="s">
        <v>59</v>
      </c>
      <c r="J27" s="579"/>
      <c r="K27" s="549">
        <f>+C27/C10</f>
        <v>5.4686075545895974E-4</v>
      </c>
      <c r="L27" s="549">
        <f t="shared" ref="L27:O27" si="19">+D27/D10</f>
        <v>4.9601882581311546E-4</v>
      </c>
      <c r="M27" s="549">
        <f t="shared" si="19"/>
        <v>4.499036968826444E-4</v>
      </c>
      <c r="N27" s="549">
        <f t="shared" si="19"/>
        <v>4.0807591553981349E-4</v>
      </c>
      <c r="O27" s="549">
        <f t="shared" si="19"/>
        <v>3.7013688484336825E-4</v>
      </c>
    </row>
    <row r="28" spans="1:15" s="3" customFormat="1" ht="12" thickBot="1" x14ac:dyDescent="0.25">
      <c r="A28" s="537" t="s">
        <v>22</v>
      </c>
      <c r="B28" s="540"/>
      <c r="C28" s="539">
        <f>+C23-C24</f>
        <v>4066.2703187259212</v>
      </c>
      <c r="D28" s="539">
        <f t="shared" ref="D28:G28" si="20">+D23-D24</f>
        <v>4838.8276962258669</v>
      </c>
      <c r="E28" s="539">
        <f t="shared" si="20"/>
        <v>5655.9329622438372</v>
      </c>
      <c r="F28" s="539">
        <f t="shared" si="20"/>
        <v>6578.5485569732364</v>
      </c>
      <c r="G28" s="539">
        <f t="shared" si="20"/>
        <v>7622.5837889008917</v>
      </c>
      <c r="I28" s="537" t="s">
        <v>516</v>
      </c>
      <c r="J28" s="540"/>
      <c r="K28" s="588">
        <f>+C28/C10</f>
        <v>0.61768990511077848</v>
      </c>
      <c r="L28" s="588">
        <f t="shared" ref="L28:O28" si="21">+D28/D10</f>
        <v>0.64129375947691247</v>
      </c>
      <c r="M28" s="588">
        <f t="shared" si="21"/>
        <v>0.65397885704027214</v>
      </c>
      <c r="N28" s="588">
        <f t="shared" si="21"/>
        <v>0.66363936320558281</v>
      </c>
      <c r="O28" s="588">
        <f t="shared" si="21"/>
        <v>0.67088311088959418</v>
      </c>
    </row>
    <row r="29" spans="1:15" s="3" customFormat="1" x14ac:dyDescent="0.2">
      <c r="A29" s="3" t="s">
        <v>23</v>
      </c>
      <c r="B29" s="5"/>
      <c r="C29" s="531">
        <v>0</v>
      </c>
      <c r="D29" s="531">
        <v>0</v>
      </c>
      <c r="E29" s="531">
        <v>0</v>
      </c>
      <c r="F29" s="531">
        <v>0</v>
      </c>
      <c r="G29" s="531">
        <v>0</v>
      </c>
      <c r="I29" s="19" t="s">
        <v>23</v>
      </c>
      <c r="J29" s="579"/>
      <c r="K29" s="589">
        <f>+C29/C10</f>
        <v>0</v>
      </c>
      <c r="L29" s="589">
        <f t="shared" ref="L29:O29" si="22">+D29/D10</f>
        <v>0</v>
      </c>
      <c r="M29" s="589">
        <f t="shared" si="22"/>
        <v>0</v>
      </c>
      <c r="N29" s="589">
        <f t="shared" si="22"/>
        <v>0</v>
      </c>
      <c r="O29" s="589">
        <f t="shared" si="22"/>
        <v>0</v>
      </c>
    </row>
    <row r="30" spans="1:15" s="3" customFormat="1" x14ac:dyDescent="0.2">
      <c r="A30" s="3" t="s">
        <v>24</v>
      </c>
      <c r="B30" s="5"/>
      <c r="C30" s="531">
        <f>SUM(C31:C31)</f>
        <v>860.72453303665088</v>
      </c>
      <c r="D30" s="531">
        <f>SUM(D31:D31)</f>
        <v>789.44024375313256</v>
      </c>
      <c r="E30" s="531">
        <f>SUM(E31:E31)</f>
        <v>709.8162633851806</v>
      </c>
      <c r="F30" s="531">
        <f>SUM(F31:F31)</f>
        <v>620.83693350093927</v>
      </c>
      <c r="G30" s="531">
        <f>SUM(G31:G31)</f>
        <v>521.35777642685616</v>
      </c>
      <c r="I30" s="19" t="s">
        <v>24</v>
      </c>
      <c r="J30" s="579"/>
      <c r="K30" s="589">
        <f>+C30/C10</f>
        <v>0.13074901899402314</v>
      </c>
      <c r="L30" s="589">
        <f t="shared" ref="L30:O30" si="23">+D30/D10</f>
        <v>0.10462515583964394</v>
      </c>
      <c r="M30" s="589">
        <f t="shared" si="23"/>
        <v>8.2073962286334567E-2</v>
      </c>
      <c r="N30" s="589">
        <f t="shared" si="23"/>
        <v>6.2629594299541833E-2</v>
      </c>
      <c r="O30" s="589">
        <f t="shared" si="23"/>
        <v>4.5886032429715611E-2</v>
      </c>
    </row>
    <row r="31" spans="1:15" s="3" customFormat="1" x14ac:dyDescent="0.2">
      <c r="A31" s="3" t="s">
        <v>25</v>
      </c>
      <c r="B31" s="5"/>
      <c r="C31" s="532">
        <f>+'PLAN DE AMORTIZACIÓN'!C75</f>
        <v>860.72453303665088</v>
      </c>
      <c r="D31" s="532">
        <f>+'PLAN DE AMORTIZACIÓN'!D75</f>
        <v>789.44024375313256</v>
      </c>
      <c r="E31" s="532">
        <f>+'PLAN DE AMORTIZACIÓN'!E75</f>
        <v>709.8162633851806</v>
      </c>
      <c r="F31" s="532">
        <f>+'PLAN DE AMORTIZACIÓN'!F75</f>
        <v>620.83693350093927</v>
      </c>
      <c r="G31" s="532">
        <f>+'PLAN DE AMORTIZACIÓN'!G75</f>
        <v>521.35777642685616</v>
      </c>
      <c r="I31" s="19" t="s">
        <v>25</v>
      </c>
      <c r="J31" s="579"/>
      <c r="K31" s="549">
        <f>+C31/C10</f>
        <v>0.13074901899402314</v>
      </c>
      <c r="L31" s="549">
        <f t="shared" ref="L31:O31" si="24">+D31/D10</f>
        <v>0.10462515583964394</v>
      </c>
      <c r="M31" s="549">
        <f t="shared" si="24"/>
        <v>8.2073962286334567E-2</v>
      </c>
      <c r="N31" s="549">
        <f t="shared" si="24"/>
        <v>6.2629594299541833E-2</v>
      </c>
      <c r="O31" s="549">
        <f t="shared" si="24"/>
        <v>4.5886032429715611E-2</v>
      </c>
    </row>
    <row r="32" spans="1:15" s="3" customFormat="1" x14ac:dyDescent="0.2">
      <c r="A32" s="4" t="s">
        <v>26</v>
      </c>
      <c r="B32" s="6"/>
      <c r="C32" s="531">
        <f>+C28+C29-C30</f>
        <v>3205.5457856892704</v>
      </c>
      <c r="D32" s="531">
        <f>+D28+D29-D30</f>
        <v>4049.3874524727344</v>
      </c>
      <c r="E32" s="531">
        <f>+E28+E29-E30</f>
        <v>4946.1166988586565</v>
      </c>
      <c r="F32" s="531">
        <f>+F28+F29-F30</f>
        <v>5957.7116234722971</v>
      </c>
      <c r="G32" s="531">
        <f>+G28+G29-G30</f>
        <v>7101.2260124740351</v>
      </c>
      <c r="I32" s="34" t="s">
        <v>26</v>
      </c>
      <c r="J32" s="577"/>
      <c r="K32" s="589">
        <f>+C32/C10</f>
        <v>0.48694088611675534</v>
      </c>
      <c r="L32" s="589">
        <f t="shared" ref="L32:O32" si="25">+D32/D10</f>
        <v>0.53666860363726854</v>
      </c>
      <c r="M32" s="589">
        <f t="shared" si="25"/>
        <v>0.57190489475393758</v>
      </c>
      <c r="N32" s="589">
        <f t="shared" si="25"/>
        <v>0.60100976890604096</v>
      </c>
      <c r="O32" s="589">
        <f t="shared" si="25"/>
        <v>0.62499707845987851</v>
      </c>
    </row>
    <row r="33" spans="1:15" s="3" customFormat="1" x14ac:dyDescent="0.2">
      <c r="A33" s="3" t="s">
        <v>27</v>
      </c>
      <c r="B33" s="101">
        <v>0.25</v>
      </c>
      <c r="C33" s="532">
        <f>+B33*C32</f>
        <v>801.38644642231759</v>
      </c>
      <c r="D33" s="532">
        <f>+D32*B33</f>
        <v>1012.3468631181836</v>
      </c>
      <c r="E33" s="532">
        <f>+E32*B33</f>
        <v>1236.5291747146641</v>
      </c>
      <c r="F33" s="532">
        <f>+F32*B33</f>
        <v>1489.4279058680743</v>
      </c>
      <c r="G33" s="532">
        <f>+G32*B33</f>
        <v>1775.3065031185088</v>
      </c>
      <c r="I33" s="19" t="s">
        <v>27</v>
      </c>
      <c r="J33" s="590">
        <v>0.25</v>
      </c>
      <c r="K33" s="549">
        <f>+C33/C10</f>
        <v>0.12173522152918884</v>
      </c>
      <c r="L33" s="549">
        <f t="shared" ref="L33:O33" si="26">+D33/D10</f>
        <v>0.13416715090931713</v>
      </c>
      <c r="M33" s="549">
        <f t="shared" si="26"/>
        <v>0.14297622368848439</v>
      </c>
      <c r="N33" s="549">
        <f t="shared" si="26"/>
        <v>0.15025244222651024</v>
      </c>
      <c r="O33" s="549">
        <f t="shared" si="26"/>
        <v>0.15624926961496963</v>
      </c>
    </row>
    <row r="34" spans="1:15" s="3" customFormat="1" ht="12" thickBot="1" x14ac:dyDescent="0.25">
      <c r="A34" s="3" t="s">
        <v>28</v>
      </c>
      <c r="B34" s="101">
        <v>0.09</v>
      </c>
      <c r="C34" s="532">
        <f>+B34*C32</f>
        <v>288.49912071203431</v>
      </c>
      <c r="D34" s="532">
        <f>+D32*B34</f>
        <v>364.44487072254606</v>
      </c>
      <c r="E34" s="532">
        <f>+E32*B34</f>
        <v>445.15050289727907</v>
      </c>
      <c r="F34" s="532">
        <f>+F32*B34</f>
        <v>536.19404611250673</v>
      </c>
      <c r="G34" s="532">
        <f>+G32*B34</f>
        <v>639.11034112266316</v>
      </c>
      <c r="I34" s="19" t="s">
        <v>28</v>
      </c>
      <c r="J34" s="590">
        <v>0.09</v>
      </c>
      <c r="K34" s="549">
        <f>+C34/C10</f>
        <v>4.382467975050798E-2</v>
      </c>
      <c r="L34" s="549">
        <f t="shared" ref="L34:O34" si="27">+D34/D10</f>
        <v>4.8300174327354166E-2</v>
      </c>
      <c r="M34" s="549">
        <f t="shared" si="27"/>
        <v>5.1471440527854385E-2</v>
      </c>
      <c r="N34" s="549">
        <f t="shared" si="27"/>
        <v>5.4090879201543686E-2</v>
      </c>
      <c r="O34" s="549">
        <f t="shared" si="27"/>
        <v>5.6249737061389068E-2</v>
      </c>
    </row>
    <row r="35" spans="1:15" s="3" customFormat="1" ht="12" thickBot="1" x14ac:dyDescent="0.25">
      <c r="A35" s="537" t="s">
        <v>29</v>
      </c>
      <c r="B35" s="538"/>
      <c r="C35" s="539">
        <f>+C32-C33-C34</f>
        <v>2115.6602185549186</v>
      </c>
      <c r="D35" s="539">
        <f>+D32-D33-D34</f>
        <v>2672.5957186320047</v>
      </c>
      <c r="E35" s="539">
        <f>+E32-E33-E34</f>
        <v>3264.4370212467134</v>
      </c>
      <c r="F35" s="539">
        <f>+F32-F33-F34</f>
        <v>3932.0896714917162</v>
      </c>
      <c r="G35" s="539">
        <f>+G32-G33-G34</f>
        <v>4686.8091682328632</v>
      </c>
      <c r="I35" s="537" t="s">
        <v>490</v>
      </c>
      <c r="J35" s="538"/>
      <c r="K35" s="588">
        <f>+C35/C10</f>
        <v>0.32138098483705857</v>
      </c>
      <c r="L35" s="588">
        <f t="shared" ref="L35:O35" si="28">+D35/D10</f>
        <v>0.35420127840059723</v>
      </c>
      <c r="M35" s="588">
        <f t="shared" si="28"/>
        <v>0.37745723053759883</v>
      </c>
      <c r="N35" s="588">
        <f t="shared" si="28"/>
        <v>0.39666644747798707</v>
      </c>
      <c r="O35" s="588">
        <f t="shared" si="28"/>
        <v>0.41249807178351983</v>
      </c>
    </row>
    <row r="36" spans="1:15" s="3" customFormat="1" ht="12" thickBot="1" x14ac:dyDescent="0.25">
      <c r="B36" s="5"/>
      <c r="C36" s="532"/>
      <c r="D36" s="532"/>
      <c r="E36" s="532"/>
      <c r="F36" s="532"/>
      <c r="G36" s="532"/>
    </row>
    <row r="37" spans="1:15" s="3" customFormat="1" ht="12" thickBot="1" x14ac:dyDescent="0.25">
      <c r="A37" s="534" t="s">
        <v>76</v>
      </c>
      <c r="B37" s="535"/>
      <c r="C37" s="536">
        <f>+C35/C10</f>
        <v>0.32138098483705857</v>
      </c>
      <c r="D37" s="536">
        <f>+D35/D10</f>
        <v>0.35420127840059723</v>
      </c>
      <c r="E37" s="536">
        <f>+E35/E10</f>
        <v>0.37745723053759883</v>
      </c>
      <c r="F37" s="536">
        <f>+F35/F10</f>
        <v>0.39666644747798707</v>
      </c>
      <c r="G37" s="536">
        <f>+G35/G10</f>
        <v>0.41249807178351983</v>
      </c>
    </row>
    <row r="38" spans="1:15" s="3" customFormat="1" x14ac:dyDescent="0.2">
      <c r="B38" s="5"/>
      <c r="C38" s="5"/>
    </row>
    <row r="40" spans="1:15" x14ac:dyDescent="0.2">
      <c r="A40" s="7"/>
    </row>
  </sheetData>
  <mergeCells count="6">
    <mergeCell ref="A6:G6"/>
    <mergeCell ref="A7:G7"/>
    <mergeCell ref="A8:G8"/>
    <mergeCell ref="I6:O6"/>
    <mergeCell ref="I7:O7"/>
    <mergeCell ref="I8:O8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opLeftCell="A24" workbookViewId="0">
      <selection activeCell="H55" sqref="H55"/>
    </sheetView>
  </sheetViews>
  <sheetFormatPr baseColWidth="10" defaultRowHeight="11.25" x14ac:dyDescent="0.2"/>
  <cols>
    <col min="1" max="1" width="33.7109375" style="1" bestFit="1" customWidth="1"/>
    <col min="2" max="10" width="11.42578125" style="5"/>
    <col min="11" max="16384" width="11.42578125" style="1"/>
  </cols>
  <sheetData>
    <row r="1" spans="1:7" x14ac:dyDescent="0.2">
      <c r="A1" s="627" t="str">
        <f>+'ESTADO DE RESULTADOS'!A6:G6</f>
        <v>Redetrans S.A. Desconsolidación de Contenedores en Puerto de Buenaventura</v>
      </c>
      <c r="B1" s="628"/>
      <c r="C1" s="628"/>
      <c r="D1" s="628"/>
      <c r="E1" s="628"/>
      <c r="F1" s="628"/>
      <c r="G1" s="629"/>
    </row>
    <row r="2" spans="1:7" x14ac:dyDescent="0.2">
      <c r="A2" s="630" t="s">
        <v>40</v>
      </c>
      <c r="B2" s="631"/>
      <c r="C2" s="631"/>
      <c r="D2" s="631"/>
      <c r="E2" s="631"/>
      <c r="F2" s="631"/>
      <c r="G2" s="632"/>
    </row>
    <row r="3" spans="1:7" ht="12" thickBot="1" x14ac:dyDescent="0.25">
      <c r="A3" s="633" t="s">
        <v>4</v>
      </c>
      <c r="B3" s="634"/>
      <c r="C3" s="634"/>
      <c r="D3" s="634"/>
      <c r="E3" s="634"/>
      <c r="F3" s="634"/>
      <c r="G3" s="635"/>
    </row>
    <row r="4" spans="1:7" ht="12" thickBot="1" x14ac:dyDescent="0.25">
      <c r="A4" s="592" t="s">
        <v>425</v>
      </c>
      <c r="B4" s="542" t="s">
        <v>45</v>
      </c>
      <c r="C4" s="542" t="s">
        <v>6</v>
      </c>
      <c r="D4" s="542" t="s">
        <v>7</v>
      </c>
      <c r="E4" s="542" t="s">
        <v>8</v>
      </c>
      <c r="F4" s="542" t="s">
        <v>9</v>
      </c>
      <c r="G4" s="542" t="s">
        <v>10</v>
      </c>
    </row>
    <row r="5" spans="1:7" x14ac:dyDescent="0.2">
      <c r="A5" s="591" t="s">
        <v>41</v>
      </c>
      <c r="B5" s="532"/>
      <c r="C5" s="532"/>
      <c r="D5" s="532"/>
      <c r="E5" s="532"/>
      <c r="F5" s="532"/>
      <c r="G5" s="532"/>
    </row>
    <row r="6" spans="1:7" x14ac:dyDescent="0.2">
      <c r="A6" s="14" t="s">
        <v>42</v>
      </c>
      <c r="B6" s="532">
        <v>0</v>
      </c>
      <c r="C6" s="532">
        <f>+'BASES DE LAS PROYECCIONE'!D68</f>
        <v>329.15143060308424</v>
      </c>
      <c r="D6" s="532">
        <f>+'BASES DE LAS PROYECCIONE'!E68</f>
        <v>377.27076123216762</v>
      </c>
      <c r="E6" s="532">
        <f>+'BASES DE LAS PROYECCIONE'!F68</f>
        <v>432.42475665352771</v>
      </c>
      <c r="F6" s="532">
        <f>+'BASES DE LAS PROYECCIONE'!G68</f>
        <v>495.64182911007703</v>
      </c>
      <c r="G6" s="532">
        <f>+'BASES DE LAS PROYECCIONE'!H68</f>
        <v>568.10073656447469</v>
      </c>
    </row>
    <row r="7" spans="1:7" x14ac:dyDescent="0.2">
      <c r="A7" s="14" t="s">
        <v>43</v>
      </c>
      <c r="B7" s="532">
        <v>0</v>
      </c>
      <c r="C7" s="532">
        <f>+'BASES DE LAS PROYECCIONE'!D69+'BASES DE LAS PROYECCIONE'!D70</f>
        <v>5430.998604950888</v>
      </c>
      <c r="D7" s="532">
        <f>+'BASES DE LAS PROYECCIONE'!E69+'BASES DE LAS PROYECCIONE'!E70</f>
        <v>6224.9675603307642</v>
      </c>
      <c r="E7" s="532">
        <f>+'BASES DE LAS PROYECCIONE'!F69+'BASES DE LAS PROYECCIONE'!F70</f>
        <v>7135.0084847832059</v>
      </c>
      <c r="F7" s="532">
        <f>+'BASES DE LAS PROYECCIONE'!G69+'BASES DE LAS PROYECCIONE'!G70</f>
        <v>8178.0901803162687</v>
      </c>
      <c r="G7" s="532">
        <f>+'BASES DE LAS PROYECCIONE'!H69+'BASES DE LAS PROYECCIONE'!H70</f>
        <v>9373.6621533138314</v>
      </c>
    </row>
    <row r="8" spans="1:7" x14ac:dyDescent="0.2">
      <c r="A8" s="591" t="s">
        <v>44</v>
      </c>
      <c r="B8" s="531">
        <f>SUM(B6:B7)</f>
        <v>0</v>
      </c>
      <c r="C8" s="531">
        <f t="shared" ref="C8:G8" si="0">SUM(C6:C7)</f>
        <v>5760.150035553972</v>
      </c>
      <c r="D8" s="531">
        <f t="shared" si="0"/>
        <v>6602.2383215629316</v>
      </c>
      <c r="E8" s="531">
        <f t="shared" si="0"/>
        <v>7567.4332414367336</v>
      </c>
      <c r="F8" s="531">
        <f t="shared" si="0"/>
        <v>8673.732009426345</v>
      </c>
      <c r="G8" s="531">
        <f t="shared" si="0"/>
        <v>9941.7628898783059</v>
      </c>
    </row>
    <row r="9" spans="1:7" x14ac:dyDescent="0.2">
      <c r="A9" s="14"/>
      <c r="B9" s="532"/>
      <c r="C9" s="532"/>
      <c r="D9" s="532"/>
      <c r="E9" s="532"/>
      <c r="F9" s="532"/>
      <c r="G9" s="532"/>
    </row>
    <row r="10" spans="1:7" x14ac:dyDescent="0.2">
      <c r="A10" s="591" t="s">
        <v>174</v>
      </c>
      <c r="B10" s="532"/>
      <c r="C10" s="532"/>
      <c r="D10" s="532"/>
      <c r="E10" s="532"/>
      <c r="F10" s="532"/>
      <c r="G10" s="532"/>
    </row>
    <row r="11" spans="1:7" x14ac:dyDescent="0.2">
      <c r="A11" s="14" t="s">
        <v>52</v>
      </c>
      <c r="B11" s="532">
        <v>0</v>
      </c>
      <c r="C11" s="532">
        <f>+'BASES DE LAS PROYECCIONE'!D97+'BASES DE LAS PROYECCIONE'!D99</f>
        <v>1558.7620385122163</v>
      </c>
      <c r="D11" s="532">
        <f>+'BASES DE LAS PROYECCIONE'!E97+'BASES DE LAS PROYECCIONE'!E99</f>
        <v>1799.7269293535471</v>
      </c>
      <c r="E11" s="532">
        <f>+'BASES DE LAS PROYECCIONE'!F97+'BASES DE LAS PROYECCIONE'!F99</f>
        <v>2077.9763570213659</v>
      </c>
      <c r="F11" s="532">
        <f>+'BASES DE LAS PROYECCIONE'!G97+'BASES DE LAS PROYECCIONE'!G99</f>
        <v>2399.2844804962551</v>
      </c>
      <c r="G11" s="532">
        <f>+'BASES DE LAS PROYECCIONE'!H97+'BASES DE LAS PROYECCIONE'!H99</f>
        <v>2770.3204477182881</v>
      </c>
    </row>
    <row r="12" spans="1:7" x14ac:dyDescent="0.2">
      <c r="A12" s="14" t="s">
        <v>125</v>
      </c>
      <c r="B12" s="532">
        <v>0</v>
      </c>
      <c r="C12" s="532">
        <v>0</v>
      </c>
      <c r="D12" s="532">
        <f>+'BASES DE LAS PROYECCIONE'!D98</f>
        <v>97.179678211484813</v>
      </c>
      <c r="E12" s="532">
        <f>+'BASES DE LAS PROYECCIONE'!E98</f>
        <v>112.20242701705406</v>
      </c>
      <c r="F12" s="532">
        <f>+'BASES DE LAS PROYECCIONE'!F98</f>
        <v>129.549648193352</v>
      </c>
      <c r="G12" s="532">
        <f>+'BASES DE LAS PROYECCIONE'!G98</f>
        <v>149.58132671423036</v>
      </c>
    </row>
    <row r="13" spans="1:7" x14ac:dyDescent="0.2">
      <c r="A13" s="14" t="s">
        <v>46</v>
      </c>
      <c r="B13" s="532">
        <v>0</v>
      </c>
      <c r="C13" s="532">
        <f>+'ESTADO DE RESULTADOS'!C14</f>
        <v>6.3</v>
      </c>
      <c r="D13" s="532">
        <f>+'ESTADO DE RESULTADOS'!D14</f>
        <v>6.5496689999999997</v>
      </c>
      <c r="E13" s="532">
        <f>+'ESTADO DE RESULTADOS'!E14</f>
        <v>6.8092323824700003</v>
      </c>
      <c r="F13" s="532">
        <f>+'ESTADO DE RESULTADOS'!F14</f>
        <v>7.0790822617872866</v>
      </c>
      <c r="G13" s="532">
        <f>+'ESTADO DE RESULTADOS'!G14</f>
        <v>7.3596262918219173</v>
      </c>
    </row>
    <row r="14" spans="1:7" x14ac:dyDescent="0.2">
      <c r="A14" s="14" t="s">
        <v>50</v>
      </c>
      <c r="B14" s="532">
        <v>0</v>
      </c>
      <c r="C14" s="532">
        <f>+'ESTADO DE RESULTADOS'!C15</f>
        <v>4.5</v>
      </c>
      <c r="D14" s="532">
        <f>+'ESTADO DE RESULTADOS'!D15</f>
        <v>4.6783350000000006</v>
      </c>
      <c r="E14" s="532">
        <f>+'ESTADO DE RESULTADOS'!E15</f>
        <v>4.8637374160500011</v>
      </c>
      <c r="F14" s="532">
        <f>+'ESTADO DE RESULTADOS'!F15</f>
        <v>5.0564873298480633</v>
      </c>
      <c r="G14" s="532">
        <f>+'ESTADO DE RESULTADOS'!G15</f>
        <v>5.2568759227299422</v>
      </c>
    </row>
    <row r="15" spans="1:7" x14ac:dyDescent="0.2">
      <c r="A15" s="14" t="s">
        <v>58</v>
      </c>
      <c r="B15" s="532">
        <v>0</v>
      </c>
      <c r="C15" s="532">
        <f>+'ESTADO DE RESULTADOS'!C16</f>
        <v>2.4</v>
      </c>
      <c r="D15" s="532">
        <f>+'ESTADO DE RESULTADOS'!D16</f>
        <v>2.4951120000000002</v>
      </c>
      <c r="E15" s="532">
        <f>+'ESTADO DE RESULTADOS'!E16</f>
        <v>2.5939932885600006</v>
      </c>
      <c r="F15" s="532">
        <f>+'ESTADO DE RESULTADOS'!F16</f>
        <v>2.6967932425856334</v>
      </c>
      <c r="G15" s="532">
        <f>+'ESTADO DE RESULTADOS'!G16</f>
        <v>2.8036671587893021</v>
      </c>
    </row>
    <row r="16" spans="1:7" x14ac:dyDescent="0.2">
      <c r="A16" s="14" t="s">
        <v>57</v>
      </c>
      <c r="B16" s="532">
        <v>0</v>
      </c>
      <c r="C16" s="532">
        <f>+'ESTADO DE RESULTADOS'!C17</f>
        <v>80.988</v>
      </c>
      <c r="D16" s="532">
        <f>+'ESTADO DE RESULTADOS'!D17</f>
        <v>84.197554440000005</v>
      </c>
      <c r="E16" s="532">
        <f>+'ESTADO DE RESULTADOS'!E17</f>
        <v>87.534303522457208</v>
      </c>
      <c r="F16" s="532">
        <f>+'ESTADO DE RESULTADOS'!F17</f>
        <v>91.003287971052188</v>
      </c>
      <c r="G16" s="532">
        <f>+'ESTADO DE RESULTADOS'!G17</f>
        <v>94.609748273344991</v>
      </c>
    </row>
    <row r="17" spans="1:7" x14ac:dyDescent="0.2">
      <c r="A17" s="14" t="s">
        <v>60</v>
      </c>
      <c r="B17" s="532">
        <v>0</v>
      </c>
      <c r="C17" s="532">
        <f>+'ESTADO DE RESULTADOS'!C18</f>
        <v>12</v>
      </c>
      <c r="D17" s="532">
        <f>+'ESTADO DE RESULTADOS'!D18</f>
        <v>12.475560000000002</v>
      </c>
      <c r="E17" s="532">
        <f>+'ESTADO DE RESULTADOS'!E18</f>
        <v>12.969966442800002</v>
      </c>
      <c r="F17" s="532">
        <f>+'ESTADO DE RESULTADOS'!F18</f>
        <v>13.483966212928166</v>
      </c>
      <c r="G17" s="532">
        <f>+'ESTADO DE RESULTADOS'!G18</f>
        <v>14.018335793946511</v>
      </c>
    </row>
    <row r="18" spans="1:7" x14ac:dyDescent="0.2">
      <c r="A18" s="14" t="s">
        <v>64</v>
      </c>
      <c r="B18" s="532">
        <v>0</v>
      </c>
      <c r="C18" s="532">
        <f>+'ESTADO DE RESULTADOS'!C19</f>
        <v>3.5999999999999996</v>
      </c>
      <c r="D18" s="532">
        <f>+'ESTADO DE RESULTADOS'!D19</f>
        <v>3.7426679999999997</v>
      </c>
      <c r="E18" s="532">
        <f>+'ESTADO DE RESULTADOS'!E19</f>
        <v>3.8909899328399997</v>
      </c>
      <c r="F18" s="532">
        <f>+'ESTADO DE RESULTADOS'!F19</f>
        <v>4.0451898638784494</v>
      </c>
      <c r="G18" s="532">
        <f>+'ESTADO DE RESULTADOS'!G19</f>
        <v>4.2055007381839529</v>
      </c>
    </row>
    <row r="19" spans="1:7" x14ac:dyDescent="0.2">
      <c r="A19" s="14" t="s">
        <v>78</v>
      </c>
      <c r="B19" s="532">
        <v>0</v>
      </c>
      <c r="C19" s="532">
        <f>+'ESTADO DE RESULTADOS'!C20</f>
        <v>6.5830286120616837</v>
      </c>
      <c r="D19" s="532">
        <f>+'ESTADO DE RESULTADOS'!D20</f>
        <v>7.5454152246433512</v>
      </c>
      <c r="E19" s="532">
        <f>+'ESTADO DE RESULTADOS'!E20</f>
        <v>8.6484951330705542</v>
      </c>
      <c r="F19" s="532">
        <f>+'ESTADO DE RESULTADOS'!F20</f>
        <v>9.9128365822015407</v>
      </c>
      <c r="G19" s="532">
        <f>+'ESTADO DE RESULTADOS'!G20</f>
        <v>11.362014731289493</v>
      </c>
    </row>
    <row r="20" spans="1:7" x14ac:dyDescent="0.2">
      <c r="A20" s="14" t="s">
        <v>61</v>
      </c>
      <c r="B20" s="532">
        <v>0</v>
      </c>
      <c r="C20" s="532">
        <f>+'ESTADO DE RESULTADOS'!C26</f>
        <v>78.000047999999992</v>
      </c>
      <c r="D20" s="532">
        <f>+'ESTADO DE RESULTADOS'!D26</f>
        <v>81.871190382240002</v>
      </c>
      <c r="E20" s="532">
        <f>+'ESTADO DE RESULTADOS'!E26</f>
        <v>85.934457560910573</v>
      </c>
      <c r="F20" s="532">
        <f>+'ESTADO DE RESULTADOS'!F26</f>
        <v>90.199384689658572</v>
      </c>
      <c r="G20" s="532">
        <f>+'ESTADO DE RESULTADOS'!G26</f>
        <v>94.675980151806328</v>
      </c>
    </row>
    <row r="21" spans="1:7" x14ac:dyDescent="0.2">
      <c r="A21" s="14" t="s">
        <v>59</v>
      </c>
      <c r="B21" s="532">
        <v>0</v>
      </c>
      <c r="C21" s="532">
        <f>+'ESTADO DE RESULTADOS'!C27</f>
        <v>3.5999999999999996</v>
      </c>
      <c r="D21" s="532">
        <f>+'ESTADO DE RESULTADOS'!D27</f>
        <v>3.7426679999999997</v>
      </c>
      <c r="E21" s="532">
        <f>+'ESTADO DE RESULTADOS'!E27</f>
        <v>3.8909899328399997</v>
      </c>
      <c r="F21" s="532">
        <f>+'ESTADO DE RESULTADOS'!F27</f>
        <v>4.0451898638784494</v>
      </c>
      <c r="G21" s="532">
        <f>+'ESTADO DE RESULTADOS'!G27</f>
        <v>4.2055007381839529</v>
      </c>
    </row>
    <row r="22" spans="1:7" x14ac:dyDescent="0.2">
      <c r="A22" s="14" t="s">
        <v>128</v>
      </c>
      <c r="B22" s="532">
        <v>0</v>
      </c>
      <c r="C22" s="532">
        <v>0</v>
      </c>
      <c r="D22" s="532">
        <f>+'BALANCE GENERAL'!C21</f>
        <v>1089.885567134352</v>
      </c>
      <c r="E22" s="532">
        <f>+'BALANCE GENERAL'!D21</f>
        <v>1376.7917338407296</v>
      </c>
      <c r="F22" s="532">
        <f>+'BALANCE GENERAL'!E21</f>
        <v>1681.6796776119431</v>
      </c>
      <c r="G22" s="532">
        <f>+'BALANCE GENERAL'!F21</f>
        <v>2025.6219519805809</v>
      </c>
    </row>
    <row r="23" spans="1:7" x14ac:dyDescent="0.2">
      <c r="A23" s="591" t="s">
        <v>47</v>
      </c>
      <c r="B23" s="531">
        <f t="shared" ref="B23:G23" si="1">SUM(B11:B22)</f>
        <v>0</v>
      </c>
      <c r="C23" s="531">
        <f t="shared" si="1"/>
        <v>1756.7331151242779</v>
      </c>
      <c r="D23" s="531">
        <f t="shared" si="1"/>
        <v>3194.0903467462676</v>
      </c>
      <c r="E23" s="531">
        <f t="shared" si="1"/>
        <v>3784.1066834911476</v>
      </c>
      <c r="F23" s="531">
        <f t="shared" si="1"/>
        <v>4438.0360243193682</v>
      </c>
      <c r="G23" s="531">
        <f t="shared" si="1"/>
        <v>5184.0209762131963</v>
      </c>
    </row>
    <row r="24" spans="1:7" ht="12" thickBot="1" x14ac:dyDescent="0.25">
      <c r="A24" s="14"/>
      <c r="B24" s="532"/>
      <c r="C24" s="532"/>
      <c r="D24" s="532"/>
      <c r="E24" s="532"/>
      <c r="F24" s="532"/>
      <c r="G24" s="532"/>
    </row>
    <row r="25" spans="1:7" ht="12" thickBot="1" x14ac:dyDescent="0.25">
      <c r="A25" s="543" t="s">
        <v>85</v>
      </c>
      <c r="B25" s="539">
        <f t="shared" ref="B25:G25" si="2">+B8-B23</f>
        <v>0</v>
      </c>
      <c r="C25" s="539">
        <f t="shared" si="2"/>
        <v>4003.4169204296941</v>
      </c>
      <c r="D25" s="539">
        <f t="shared" si="2"/>
        <v>3408.1479748166639</v>
      </c>
      <c r="E25" s="539">
        <f t="shared" si="2"/>
        <v>3783.326557945586</v>
      </c>
      <c r="F25" s="539">
        <f t="shared" si="2"/>
        <v>4235.6959851069769</v>
      </c>
      <c r="G25" s="539">
        <f t="shared" si="2"/>
        <v>4757.7419136651097</v>
      </c>
    </row>
    <row r="26" spans="1:7" x14ac:dyDescent="0.2">
      <c r="A26" s="14"/>
      <c r="B26" s="532"/>
      <c r="C26" s="532"/>
      <c r="D26" s="532"/>
      <c r="E26" s="532"/>
      <c r="F26" s="532"/>
      <c r="G26" s="532"/>
    </row>
    <row r="27" spans="1:7" x14ac:dyDescent="0.2">
      <c r="A27" s="591" t="s">
        <v>79</v>
      </c>
      <c r="B27" s="532"/>
      <c r="C27" s="532"/>
      <c r="D27" s="532"/>
      <c r="E27" s="532"/>
      <c r="F27" s="532"/>
      <c r="G27" s="532"/>
    </row>
    <row r="28" spans="1:7" x14ac:dyDescent="0.2">
      <c r="A28" s="14" t="s">
        <v>192</v>
      </c>
      <c r="B28" s="532">
        <f>+'BALANCE GENERAL'!B28</f>
        <v>500</v>
      </c>
      <c r="C28" s="532">
        <v>0</v>
      </c>
      <c r="D28" s="532">
        <v>0</v>
      </c>
      <c r="E28" s="532">
        <v>0</v>
      </c>
      <c r="F28" s="532">
        <v>0</v>
      </c>
      <c r="G28" s="532">
        <v>0</v>
      </c>
    </row>
    <row r="29" spans="1:7" x14ac:dyDescent="0.2">
      <c r="A29" s="591" t="s">
        <v>80</v>
      </c>
      <c r="B29" s="531">
        <f>+B28</f>
        <v>500</v>
      </c>
      <c r="C29" s="531">
        <f>+C28</f>
        <v>0</v>
      </c>
      <c r="D29" s="531">
        <f t="shared" ref="D29:G29" si="3">+D28</f>
        <v>0</v>
      </c>
      <c r="E29" s="531">
        <f t="shared" si="3"/>
        <v>0</v>
      </c>
      <c r="F29" s="531">
        <f t="shared" si="3"/>
        <v>0</v>
      </c>
      <c r="G29" s="531">
        <f t="shared" si="3"/>
        <v>0</v>
      </c>
    </row>
    <row r="30" spans="1:7" x14ac:dyDescent="0.2">
      <c r="A30" s="14"/>
      <c r="B30" s="532"/>
      <c r="C30" s="532"/>
      <c r="D30" s="532"/>
      <c r="E30" s="532"/>
      <c r="F30" s="532"/>
      <c r="G30" s="532"/>
    </row>
    <row r="31" spans="1:7" x14ac:dyDescent="0.2">
      <c r="A31" s="591" t="s">
        <v>81</v>
      </c>
      <c r="B31" s="532"/>
      <c r="C31" s="532"/>
      <c r="D31" s="532"/>
      <c r="E31" s="532"/>
      <c r="F31" s="532"/>
      <c r="G31" s="532"/>
    </row>
    <row r="32" spans="1:7" x14ac:dyDescent="0.2">
      <c r="A32" s="14" t="s">
        <v>82</v>
      </c>
      <c r="B32" s="532">
        <v>0</v>
      </c>
      <c r="C32" s="532">
        <v>0</v>
      </c>
      <c r="D32" s="532">
        <v>0</v>
      </c>
      <c r="E32" s="532">
        <v>0</v>
      </c>
      <c r="F32" s="532">
        <v>0</v>
      </c>
      <c r="G32" s="532">
        <v>0</v>
      </c>
    </row>
    <row r="33" spans="1:7" x14ac:dyDescent="0.2">
      <c r="A33" s="14" t="s">
        <v>14</v>
      </c>
      <c r="B33" s="532">
        <f>+'BASES DE LAS PROYECCIONE'!B18+'BASES DE LAS PROYECCIONE'!B27+'BASES DE LAS PROYECCIONE'!B32</f>
        <v>8583.9055000000026</v>
      </c>
      <c r="C33" s="532">
        <v>0</v>
      </c>
      <c r="D33" s="532">
        <v>0</v>
      </c>
      <c r="E33" s="532">
        <v>0</v>
      </c>
      <c r="F33" s="532">
        <v>0</v>
      </c>
      <c r="G33" s="532">
        <v>0</v>
      </c>
    </row>
    <row r="34" spans="1:7" x14ac:dyDescent="0.2">
      <c r="A34" s="14" t="s">
        <v>83</v>
      </c>
      <c r="B34" s="532">
        <f>+'BASES DE LAS PROYECCIONE'!B41</f>
        <v>5</v>
      </c>
      <c r="C34" s="532">
        <v>0</v>
      </c>
      <c r="D34" s="532">
        <v>0</v>
      </c>
      <c r="E34" s="532">
        <v>0</v>
      </c>
      <c r="F34" s="532">
        <v>0</v>
      </c>
      <c r="G34" s="532">
        <v>0</v>
      </c>
    </row>
    <row r="35" spans="1:7" x14ac:dyDescent="0.2">
      <c r="A35" s="591" t="s">
        <v>81</v>
      </c>
      <c r="B35" s="531">
        <f>SUM(B32:B34)</f>
        <v>8588.9055000000026</v>
      </c>
      <c r="C35" s="531">
        <f t="shared" ref="C35:G35" si="4">SUM(C32:C34)</f>
        <v>0</v>
      </c>
      <c r="D35" s="531">
        <f t="shared" si="4"/>
        <v>0</v>
      </c>
      <c r="E35" s="531">
        <f t="shared" si="4"/>
        <v>0</v>
      </c>
      <c r="F35" s="531">
        <f t="shared" si="4"/>
        <v>0</v>
      </c>
      <c r="G35" s="531">
        <f t="shared" si="4"/>
        <v>0</v>
      </c>
    </row>
    <row r="36" spans="1:7" ht="12" thickBot="1" x14ac:dyDescent="0.25">
      <c r="A36" s="14"/>
      <c r="B36" s="532"/>
      <c r="C36" s="532"/>
      <c r="D36" s="532"/>
      <c r="E36" s="532"/>
      <c r="F36" s="532"/>
      <c r="G36" s="532"/>
    </row>
    <row r="37" spans="1:7" ht="12" thickBot="1" x14ac:dyDescent="0.25">
      <c r="A37" s="543" t="s">
        <v>84</v>
      </c>
      <c r="B37" s="539">
        <f>+B29-B35</f>
        <v>-8088.9055000000026</v>
      </c>
      <c r="C37" s="539">
        <f t="shared" ref="C37:G37" si="5">+C29-C35</f>
        <v>0</v>
      </c>
      <c r="D37" s="539">
        <f t="shared" si="5"/>
        <v>0</v>
      </c>
      <c r="E37" s="539">
        <f t="shared" si="5"/>
        <v>0</v>
      </c>
      <c r="F37" s="539">
        <f t="shared" si="5"/>
        <v>0</v>
      </c>
      <c r="G37" s="539">
        <f t="shared" si="5"/>
        <v>0</v>
      </c>
    </row>
    <row r="38" spans="1:7" x14ac:dyDescent="0.2">
      <c r="A38" s="14"/>
      <c r="B38" s="532"/>
      <c r="C38" s="532"/>
      <c r="D38" s="532"/>
      <c r="E38" s="532"/>
      <c r="F38" s="532"/>
      <c r="G38" s="532"/>
    </row>
    <row r="39" spans="1:7" x14ac:dyDescent="0.2">
      <c r="A39" s="591" t="s">
        <v>86</v>
      </c>
      <c r="B39" s="532"/>
      <c r="C39" s="532"/>
      <c r="D39" s="532"/>
      <c r="E39" s="532"/>
      <c r="F39" s="532"/>
      <c r="G39" s="532"/>
    </row>
    <row r="40" spans="1:7" x14ac:dyDescent="0.2">
      <c r="A40" s="14" t="s">
        <v>87</v>
      </c>
      <c r="B40" s="532">
        <f>+'PLAN DE AMORTIZACIÓN'!C89</f>
        <v>8588.9055000000008</v>
      </c>
      <c r="C40" s="532">
        <v>0</v>
      </c>
      <c r="D40" s="532">
        <v>0</v>
      </c>
      <c r="E40" s="532">
        <v>0</v>
      </c>
      <c r="F40" s="532">
        <v>0</v>
      </c>
      <c r="G40" s="532">
        <v>0</v>
      </c>
    </row>
    <row r="41" spans="1:7" x14ac:dyDescent="0.2">
      <c r="A41" s="14" t="s">
        <v>88</v>
      </c>
      <c r="B41" s="532">
        <v>0</v>
      </c>
      <c r="C41" s="532">
        <v>0</v>
      </c>
      <c r="D41" s="532">
        <v>0</v>
      </c>
      <c r="E41" s="532">
        <v>0</v>
      </c>
      <c r="F41" s="532">
        <v>0</v>
      </c>
      <c r="G41" s="532">
        <v>0</v>
      </c>
    </row>
    <row r="42" spans="1:7" x14ac:dyDescent="0.2">
      <c r="A42" s="591" t="s">
        <v>89</v>
      </c>
      <c r="B42" s="531">
        <f>SUM(B40:B41)</f>
        <v>8588.9055000000008</v>
      </c>
      <c r="C42" s="531">
        <f t="shared" ref="C42:G42" si="6">SUM(C40:C41)</f>
        <v>0</v>
      </c>
      <c r="D42" s="531">
        <f t="shared" si="6"/>
        <v>0</v>
      </c>
      <c r="E42" s="531">
        <f t="shared" si="6"/>
        <v>0</v>
      </c>
      <c r="F42" s="531">
        <f t="shared" si="6"/>
        <v>0</v>
      </c>
      <c r="G42" s="531">
        <f t="shared" si="6"/>
        <v>0</v>
      </c>
    </row>
    <row r="43" spans="1:7" x14ac:dyDescent="0.2">
      <c r="A43" s="14"/>
      <c r="B43" s="532"/>
      <c r="C43" s="532"/>
      <c r="D43" s="532"/>
      <c r="E43" s="532"/>
      <c r="F43" s="532"/>
      <c r="G43" s="532"/>
    </row>
    <row r="44" spans="1:7" x14ac:dyDescent="0.2">
      <c r="A44" s="591" t="s">
        <v>90</v>
      </c>
      <c r="B44" s="532"/>
      <c r="C44" s="532"/>
      <c r="D44" s="532"/>
      <c r="E44" s="532"/>
      <c r="F44" s="532"/>
      <c r="G44" s="532"/>
    </row>
    <row r="45" spans="1:7" x14ac:dyDescent="0.2">
      <c r="A45" s="14" t="s">
        <v>91</v>
      </c>
      <c r="B45" s="532">
        <f>+'PLAN DE AMORTIZACIÓN'!B75</f>
        <v>0</v>
      </c>
      <c r="C45" s="532">
        <f>+'PLAN DE AMORTIZACIÓN'!C75</f>
        <v>860.72453303665088</v>
      </c>
      <c r="D45" s="532">
        <f>+'PLAN DE AMORTIZACIÓN'!D75</f>
        <v>789.44024375313256</v>
      </c>
      <c r="E45" s="532">
        <f>+'PLAN DE AMORTIZACIÓN'!E75</f>
        <v>709.8162633851806</v>
      </c>
      <c r="F45" s="532">
        <f>+'PLAN DE AMORTIZACIÓN'!F75</f>
        <v>620.83693350093927</v>
      </c>
      <c r="G45" s="532">
        <f>+'PLAN DE AMORTIZACIÓN'!G75</f>
        <v>521.35777642685616</v>
      </c>
    </row>
    <row r="46" spans="1:7" x14ac:dyDescent="0.2">
      <c r="A46" s="14" t="s">
        <v>34</v>
      </c>
      <c r="B46" s="532">
        <f>+'PLAN DE AMORTIZACIÓN'!B79</f>
        <v>0</v>
      </c>
      <c r="C46" s="532">
        <f>+'PLAN DE AMORTIZACIÓN'!C79</f>
        <v>632.09208242973318</v>
      </c>
      <c r="D46" s="532">
        <f>+'PLAN DE AMORTIZACIÓN'!D79</f>
        <v>703.3763717132515</v>
      </c>
      <c r="E46" s="532">
        <f>+'PLAN DE AMORTIZACIÓN'!E79</f>
        <v>783.00035208120357</v>
      </c>
      <c r="F46" s="532">
        <f>+'PLAN DE AMORTIZACIÓN'!F79</f>
        <v>871.97968196544446</v>
      </c>
      <c r="G46" s="532">
        <f>+'PLAN DE AMORTIZACIÓN'!G79</f>
        <v>971.4588390395279</v>
      </c>
    </row>
    <row r="47" spans="1:7" x14ac:dyDescent="0.2">
      <c r="A47" s="591" t="s">
        <v>92</v>
      </c>
      <c r="B47" s="531">
        <f>SUM(B45:B46)</f>
        <v>0</v>
      </c>
      <c r="C47" s="531">
        <f>SUM(C45:C46)</f>
        <v>1492.8166154663841</v>
      </c>
      <c r="D47" s="531">
        <f t="shared" ref="D47:G47" si="7">SUM(D45:D46)</f>
        <v>1492.8166154663841</v>
      </c>
      <c r="E47" s="531">
        <f t="shared" si="7"/>
        <v>1492.8166154663841</v>
      </c>
      <c r="F47" s="531">
        <f t="shared" si="7"/>
        <v>1492.8166154663836</v>
      </c>
      <c r="G47" s="531">
        <f t="shared" si="7"/>
        <v>1492.8166154663841</v>
      </c>
    </row>
    <row r="48" spans="1:7" ht="12" thickBot="1" x14ac:dyDescent="0.25">
      <c r="A48" s="14"/>
      <c r="B48" s="532"/>
      <c r="C48" s="532"/>
      <c r="D48" s="532"/>
      <c r="E48" s="532"/>
      <c r="F48" s="532"/>
      <c r="G48" s="532"/>
    </row>
    <row r="49" spans="1:7" ht="12" thickBot="1" x14ac:dyDescent="0.25">
      <c r="A49" s="543" t="s">
        <v>101</v>
      </c>
      <c r="B49" s="539">
        <f>+B42-B47</f>
        <v>8588.9055000000008</v>
      </c>
      <c r="C49" s="539">
        <f>+C42-C47</f>
        <v>-1492.8166154663841</v>
      </c>
      <c r="D49" s="539">
        <f t="shared" ref="D49:G49" si="8">+D42-D47</f>
        <v>-1492.8166154663841</v>
      </c>
      <c r="E49" s="539">
        <f t="shared" si="8"/>
        <v>-1492.8166154663841</v>
      </c>
      <c r="F49" s="539">
        <f>+F42-F47</f>
        <v>-1492.8166154663836</v>
      </c>
      <c r="G49" s="539">
        <f t="shared" si="8"/>
        <v>-1492.8166154663841</v>
      </c>
    </row>
    <row r="50" spans="1:7" ht="12" thickBot="1" x14ac:dyDescent="0.25">
      <c r="A50" s="14"/>
      <c r="B50" s="532"/>
      <c r="C50" s="532"/>
      <c r="D50" s="532"/>
      <c r="E50" s="532"/>
      <c r="F50" s="532"/>
      <c r="G50" s="532"/>
    </row>
    <row r="51" spans="1:7" x14ac:dyDescent="0.2">
      <c r="A51" s="12" t="s">
        <v>102</v>
      </c>
      <c r="B51" s="530">
        <f>+B25+B37+B49</f>
        <v>499.99999999999818</v>
      </c>
      <c r="C51" s="530">
        <f>+C25+C37+C49</f>
        <v>2510.60030496331</v>
      </c>
      <c r="D51" s="530">
        <f t="shared" ref="D51:G51" si="9">+D25+D37+D49</f>
        <v>1915.3313593502799</v>
      </c>
      <c r="E51" s="530">
        <f t="shared" si="9"/>
        <v>2290.509942479202</v>
      </c>
      <c r="F51" s="530">
        <f t="shared" si="9"/>
        <v>2742.8793696405933</v>
      </c>
      <c r="G51" s="530">
        <f t="shared" si="9"/>
        <v>3264.9252981987256</v>
      </c>
    </row>
    <row r="52" spans="1:7" ht="12" thickBot="1" x14ac:dyDescent="0.25">
      <c r="A52" s="14" t="s">
        <v>100</v>
      </c>
      <c r="B52" s="532">
        <v>0</v>
      </c>
      <c r="C52" s="532">
        <f>+B53</f>
        <v>499.99999999999818</v>
      </c>
      <c r="D52" s="532">
        <f t="shared" ref="D52:G52" si="10">+C53</f>
        <v>3010.6003049633082</v>
      </c>
      <c r="E52" s="532">
        <f t="shared" si="10"/>
        <v>4925.931664313588</v>
      </c>
      <c r="F52" s="532">
        <f t="shared" si="10"/>
        <v>7216.4416067927905</v>
      </c>
      <c r="G52" s="532">
        <f t="shared" si="10"/>
        <v>9959.3209764333842</v>
      </c>
    </row>
    <row r="53" spans="1:7" ht="12" thickBot="1" x14ac:dyDescent="0.25">
      <c r="A53" s="543" t="s">
        <v>103</v>
      </c>
      <c r="B53" s="539">
        <f>+B51+B52</f>
        <v>499.99999999999818</v>
      </c>
      <c r="C53" s="539">
        <f>+C51+C52</f>
        <v>3010.6003049633082</v>
      </c>
      <c r="D53" s="539">
        <f t="shared" ref="D53:G53" si="11">+D51+D52</f>
        <v>4925.931664313588</v>
      </c>
      <c r="E53" s="539">
        <f t="shared" si="11"/>
        <v>7216.4416067927905</v>
      </c>
      <c r="F53" s="539">
        <f t="shared" si="11"/>
        <v>9959.3209764333842</v>
      </c>
      <c r="G53" s="539">
        <f t="shared" si="11"/>
        <v>13224.246274632111</v>
      </c>
    </row>
    <row r="56" spans="1:7" x14ac:dyDescent="0.2">
      <c r="A56" s="3"/>
      <c r="B56" s="62"/>
      <c r="C56" s="62"/>
    </row>
    <row r="57" spans="1:7" x14ac:dyDescent="0.2">
      <c r="A57" s="3"/>
      <c r="B57" s="62"/>
      <c r="C57" s="62"/>
    </row>
    <row r="58" spans="1:7" x14ac:dyDescent="0.2">
      <c r="A58" s="3"/>
      <c r="B58" s="62"/>
      <c r="C58" s="62"/>
    </row>
    <row r="59" spans="1:7" x14ac:dyDescent="0.2">
      <c r="A59" s="3"/>
      <c r="B59" s="62"/>
      <c r="C59" s="62"/>
    </row>
    <row r="60" spans="1:7" x14ac:dyDescent="0.2">
      <c r="A60" s="3"/>
      <c r="B60" s="62"/>
      <c r="C60" s="62"/>
    </row>
    <row r="61" spans="1:7" x14ac:dyDescent="0.2">
      <c r="A61" s="3"/>
      <c r="B61" s="62"/>
      <c r="C61" s="62"/>
    </row>
    <row r="62" spans="1:7" x14ac:dyDescent="0.2">
      <c r="A62" s="3"/>
      <c r="B62" s="62"/>
      <c r="C62" s="62"/>
    </row>
    <row r="63" spans="1:7" x14ac:dyDescent="0.2">
      <c r="A63" s="3"/>
      <c r="B63" s="62"/>
      <c r="C63" s="62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13" workbookViewId="0">
      <selection activeCell="H36" sqref="H36"/>
    </sheetView>
  </sheetViews>
  <sheetFormatPr baseColWidth="10" defaultRowHeight="11.25" x14ac:dyDescent="0.2"/>
  <cols>
    <col min="1" max="1" width="20.85546875" style="43" bestFit="1" customWidth="1"/>
    <col min="2" max="2" width="12.42578125" style="520" customWidth="1"/>
    <col min="3" max="8" width="12.42578125" style="43" customWidth="1"/>
    <col min="9" max="16384" width="11.42578125" style="43"/>
  </cols>
  <sheetData>
    <row r="1" spans="1:7" x14ac:dyDescent="0.2">
      <c r="A1" s="627" t="str">
        <f>+'FLUJO DE CAJA'!A1:G1</f>
        <v>Redetrans S.A. Desconsolidación de Contenedores en Puerto de Buenaventura</v>
      </c>
      <c r="B1" s="628"/>
      <c r="C1" s="628"/>
      <c r="D1" s="628"/>
      <c r="E1" s="628"/>
      <c r="F1" s="628"/>
      <c r="G1" s="629"/>
    </row>
    <row r="2" spans="1:7" x14ac:dyDescent="0.2">
      <c r="A2" s="630" t="s">
        <v>472</v>
      </c>
      <c r="B2" s="631"/>
      <c r="C2" s="631"/>
      <c r="D2" s="631"/>
      <c r="E2" s="631"/>
      <c r="F2" s="631"/>
      <c r="G2" s="632"/>
    </row>
    <row r="3" spans="1:7" ht="12" thickBot="1" x14ac:dyDescent="0.25">
      <c r="A3" s="636" t="s">
        <v>0</v>
      </c>
      <c r="B3" s="637"/>
      <c r="C3" s="637"/>
      <c r="D3" s="637"/>
      <c r="E3" s="637"/>
      <c r="F3" s="637"/>
      <c r="G3" s="638"/>
    </row>
    <row r="4" spans="1:7" ht="12" thickBot="1" x14ac:dyDescent="0.25">
      <c r="A4" s="533"/>
      <c r="B4" s="542" t="s">
        <v>32</v>
      </c>
      <c r="C4" s="542" t="s">
        <v>6</v>
      </c>
      <c r="D4" s="542" t="s">
        <v>7</v>
      </c>
      <c r="E4" s="542" t="s">
        <v>8</v>
      </c>
      <c r="F4" s="542" t="s">
        <v>9</v>
      </c>
      <c r="G4" s="542" t="s">
        <v>10</v>
      </c>
    </row>
    <row r="5" spans="1:7" s="44" customFormat="1" x14ac:dyDescent="0.2">
      <c r="A5" s="44" t="s">
        <v>1</v>
      </c>
      <c r="B5" s="531"/>
      <c r="C5" s="531"/>
      <c r="D5" s="531"/>
      <c r="E5" s="531"/>
      <c r="F5" s="531"/>
      <c r="G5" s="531"/>
    </row>
    <row r="6" spans="1:7" x14ac:dyDescent="0.2">
      <c r="B6" s="532"/>
      <c r="C6" s="532"/>
      <c r="D6" s="532"/>
      <c r="E6" s="532"/>
      <c r="F6" s="532"/>
      <c r="G6" s="532"/>
    </row>
    <row r="7" spans="1:7" x14ac:dyDescent="0.2">
      <c r="A7" s="43" t="s">
        <v>71</v>
      </c>
      <c r="B7" s="532">
        <f>+'FLUJO DE CAJA'!B53</f>
        <v>499.99999999999818</v>
      </c>
      <c r="C7" s="532">
        <f>+'FLUJO DE CAJA'!C53</f>
        <v>3010.6003049633082</v>
      </c>
      <c r="D7" s="532">
        <f>+'FLUJO DE CAJA'!D53</f>
        <v>4925.931664313588</v>
      </c>
      <c r="E7" s="532">
        <f>+'FLUJO DE CAJA'!E53</f>
        <v>7216.4416067927905</v>
      </c>
      <c r="F7" s="532">
        <f>+'FLUJO DE CAJA'!F53</f>
        <v>9959.3209764333842</v>
      </c>
      <c r="G7" s="532">
        <f>+'FLUJO DE CAJA'!G53</f>
        <v>13224.246274632111</v>
      </c>
    </row>
    <row r="8" spans="1:7" x14ac:dyDescent="0.2">
      <c r="A8" s="43" t="s">
        <v>120</v>
      </c>
      <c r="B8" s="532">
        <v>0</v>
      </c>
      <c r="C8" s="532">
        <f>+'BASES DE LAS PROYECCIONE'!D74</f>
        <v>831.57857650771075</v>
      </c>
      <c r="D8" s="532">
        <f>+'BASES DE LAS PROYECCIONE'!E74</f>
        <v>1783.3554795881319</v>
      </c>
      <c r="E8" s="532">
        <f>+'BASES DE LAS PROYECCIONE'!F74</f>
        <v>2873.1173712219525</v>
      </c>
      <c r="F8" s="532">
        <f>+'BASES DE LAS PROYECCIONE'!G74</f>
        <v>4114.2219439971486</v>
      </c>
      <c r="G8" s="532">
        <f>+'BASES DE LAS PROYECCIONE'!H74</f>
        <v>5536.4737854083396</v>
      </c>
    </row>
    <row r="9" spans="1:7" x14ac:dyDescent="0.2">
      <c r="A9" s="44" t="s">
        <v>72</v>
      </c>
      <c r="B9" s="531">
        <f t="shared" ref="B9:G9" si="0">SUM(B7:B8)</f>
        <v>499.99999999999818</v>
      </c>
      <c r="C9" s="531">
        <f t="shared" si="0"/>
        <v>3842.1788814710189</v>
      </c>
      <c r="D9" s="531">
        <f t="shared" si="0"/>
        <v>6709.2871439017199</v>
      </c>
      <c r="E9" s="531">
        <f t="shared" si="0"/>
        <v>10089.558978014742</v>
      </c>
      <c r="F9" s="531">
        <f t="shared" si="0"/>
        <v>14073.542920430533</v>
      </c>
      <c r="G9" s="531">
        <f t="shared" si="0"/>
        <v>18760.72006004045</v>
      </c>
    </row>
    <row r="10" spans="1:7" x14ac:dyDescent="0.2">
      <c r="B10" s="532"/>
      <c r="C10" s="532"/>
      <c r="D10" s="532"/>
      <c r="E10" s="532"/>
      <c r="F10" s="532"/>
      <c r="G10" s="532"/>
    </row>
    <row r="11" spans="1:7" x14ac:dyDescent="0.2">
      <c r="A11" s="43" t="s">
        <v>14</v>
      </c>
      <c r="B11" s="532">
        <f>+'BASES DE LAS PROYECCIONE'!B36</f>
        <v>8583.9055000000026</v>
      </c>
      <c r="C11" s="532">
        <f>+B11-'BASES DE LAS PROYECCIONE'!D36</f>
        <v>7917.3933333333362</v>
      </c>
      <c r="D11" s="532">
        <f>+C11-'BASES DE LAS PROYECCIONE'!E36</f>
        <v>7321.3666666666695</v>
      </c>
      <c r="E11" s="532">
        <f>+D11-'BASES DE LAS PROYECCIONE'!F36</f>
        <v>6744.8000000000029</v>
      </c>
      <c r="F11" s="532">
        <f>+E11-'BASES DE LAS PROYECCIONE'!G36</f>
        <v>6184.9000000000033</v>
      </c>
      <c r="G11" s="532">
        <f>+F11-'BASES DE LAS PROYECCIONE'!H36</f>
        <v>5625.0000000000036</v>
      </c>
    </row>
    <row r="12" spans="1:7" x14ac:dyDescent="0.2">
      <c r="A12" s="43" t="s">
        <v>53</v>
      </c>
      <c r="B12" s="532">
        <f>+'BASES DE LAS PROYECCIONE'!B41</f>
        <v>5</v>
      </c>
      <c r="C12" s="532">
        <f>+B12-'BASES DE LAS PROYECCIONE'!D41</f>
        <v>0</v>
      </c>
      <c r="D12" s="532">
        <f>+C12-'BASES DE LAS PROYECCIONE'!E41</f>
        <v>0</v>
      </c>
      <c r="E12" s="532">
        <f>+D12-'BASES DE LAS PROYECCIONE'!F41</f>
        <v>0</v>
      </c>
      <c r="F12" s="532">
        <f>+E12-'BASES DE LAS PROYECCIONE'!G41</f>
        <v>0</v>
      </c>
      <c r="G12" s="532">
        <f>+F12-'BASES DE LAS PROYECCIONE'!H41</f>
        <v>0</v>
      </c>
    </row>
    <row r="13" spans="1:7" x14ac:dyDescent="0.2">
      <c r="A13" s="43" t="s">
        <v>62</v>
      </c>
      <c r="B13" s="532">
        <v>0</v>
      </c>
      <c r="C13" s="532">
        <v>0</v>
      </c>
      <c r="D13" s="532">
        <v>0</v>
      </c>
      <c r="E13" s="532">
        <v>0</v>
      </c>
      <c r="F13" s="532">
        <v>0</v>
      </c>
      <c r="G13" s="532">
        <v>0</v>
      </c>
    </row>
    <row r="14" spans="1:7" x14ac:dyDescent="0.2">
      <c r="A14" s="44" t="s">
        <v>118</v>
      </c>
      <c r="B14" s="531">
        <f t="shared" ref="B14:G14" si="1">SUM(B11:B13)</f>
        <v>8588.9055000000026</v>
      </c>
      <c r="C14" s="531">
        <f t="shared" si="1"/>
        <v>7917.3933333333362</v>
      </c>
      <c r="D14" s="531">
        <f t="shared" si="1"/>
        <v>7321.3666666666695</v>
      </c>
      <c r="E14" s="531">
        <f t="shared" si="1"/>
        <v>6744.8000000000029</v>
      </c>
      <c r="F14" s="531">
        <f t="shared" si="1"/>
        <v>6184.9000000000033</v>
      </c>
      <c r="G14" s="531">
        <f t="shared" si="1"/>
        <v>5625.0000000000036</v>
      </c>
    </row>
    <row r="15" spans="1:7" ht="12" thickBot="1" x14ac:dyDescent="0.25">
      <c r="B15" s="532"/>
      <c r="C15" s="532"/>
      <c r="D15" s="532"/>
      <c r="E15" s="532"/>
      <c r="F15" s="532"/>
      <c r="G15" s="532"/>
    </row>
    <row r="16" spans="1:7" ht="12" thickBot="1" x14ac:dyDescent="0.25">
      <c r="A16" s="544" t="s">
        <v>119</v>
      </c>
      <c r="B16" s="539">
        <f t="shared" ref="B16:G16" si="2">+B9+B14</f>
        <v>9088.9055000000008</v>
      </c>
      <c r="C16" s="539">
        <f t="shared" si="2"/>
        <v>11759.572214804355</v>
      </c>
      <c r="D16" s="539">
        <f t="shared" si="2"/>
        <v>14030.65381056839</v>
      </c>
      <c r="E16" s="539">
        <f t="shared" si="2"/>
        <v>16834.358978014745</v>
      </c>
      <c r="F16" s="539">
        <f t="shared" si="2"/>
        <v>20258.442920430534</v>
      </c>
      <c r="G16" s="539">
        <f t="shared" si="2"/>
        <v>24385.720060040454</v>
      </c>
    </row>
    <row r="17" spans="1:7" x14ac:dyDescent="0.2">
      <c r="B17" s="532"/>
      <c r="C17" s="532"/>
      <c r="D17" s="532"/>
      <c r="E17" s="532"/>
      <c r="F17" s="532"/>
      <c r="G17" s="532"/>
    </row>
    <row r="18" spans="1:7" x14ac:dyDescent="0.2">
      <c r="A18" s="44" t="s">
        <v>2</v>
      </c>
      <c r="B18" s="531"/>
      <c r="C18" s="531"/>
      <c r="D18" s="531"/>
      <c r="E18" s="531"/>
      <c r="F18" s="531"/>
      <c r="G18" s="531"/>
    </row>
    <row r="19" spans="1:7" x14ac:dyDescent="0.2">
      <c r="B19" s="532"/>
      <c r="C19" s="532"/>
      <c r="D19" s="532"/>
      <c r="E19" s="532"/>
      <c r="F19" s="532"/>
      <c r="G19" s="532"/>
    </row>
    <row r="20" spans="1:7" x14ac:dyDescent="0.2">
      <c r="A20" s="43" t="s">
        <v>126</v>
      </c>
      <c r="B20" s="532">
        <v>0</v>
      </c>
      <c r="C20" s="532">
        <f>+'BASES DE LAS PROYECCIONE'!D100-'FLUJO DE CAJA'!C11-'FLUJO DE CAJA'!C12</f>
        <v>97.17967821148477</v>
      </c>
      <c r="D20" s="532">
        <f>+C20+'BASES DE LAS PROYECCIONE'!E100-'FLUJO DE CAJA'!D11-'FLUJO DE CAJA'!D12</f>
        <v>112.20242701705406</v>
      </c>
      <c r="E20" s="532">
        <f>+D20+'BASES DE LAS PROYECCIONE'!F100-'FLUJO DE CAJA'!E11-'FLUJO DE CAJA'!E12</f>
        <v>129.54964819335197</v>
      </c>
      <c r="F20" s="532">
        <f>+E20+'BASES DE LAS PROYECCIONE'!G100-'FLUJO DE CAJA'!F11-'FLUJO DE CAJA'!F12</f>
        <v>149.58132671423019</v>
      </c>
      <c r="G20" s="532">
        <f>+F20+'BASES DE LAS PROYECCIONE'!H100-'FLUJO DE CAJA'!G11-'FLUJO DE CAJA'!G12</f>
        <v>172.71324487021721</v>
      </c>
    </row>
    <row r="21" spans="1:7" x14ac:dyDescent="0.2">
      <c r="A21" s="43" t="s">
        <v>127</v>
      </c>
      <c r="B21" s="532">
        <v>0</v>
      </c>
      <c r="C21" s="532">
        <f>+'ESTADO DE RESULTADOS'!C33+'ESTADO DE RESULTADOS'!C34</f>
        <v>1089.885567134352</v>
      </c>
      <c r="D21" s="532">
        <f>+'ESTADO DE RESULTADOS'!D33+'ESTADO DE RESULTADOS'!D34</f>
        <v>1376.7917338407296</v>
      </c>
      <c r="E21" s="532">
        <f>+'ESTADO DE RESULTADOS'!E33+'ESTADO DE RESULTADOS'!E34</f>
        <v>1681.6796776119431</v>
      </c>
      <c r="F21" s="532">
        <f>+'ESTADO DE RESULTADOS'!F33+'ESTADO DE RESULTADOS'!F34</f>
        <v>2025.6219519805809</v>
      </c>
      <c r="G21" s="532">
        <f>+'ESTADO DE RESULTADOS'!G33+'ESTADO DE RESULTADOS'!G34</f>
        <v>2414.4168442411719</v>
      </c>
    </row>
    <row r="22" spans="1:7" x14ac:dyDescent="0.2">
      <c r="A22" s="43" t="s">
        <v>106</v>
      </c>
      <c r="B22" s="532">
        <f>+'PLAN DE AMORTIZACIÓN'!C79</f>
        <v>632.09208242973318</v>
      </c>
      <c r="C22" s="532">
        <f>+'PLAN DE AMORTIZACIÓN'!D79</f>
        <v>703.3763717132515</v>
      </c>
      <c r="D22" s="532">
        <f>+'PLAN DE AMORTIZACIÓN'!E79</f>
        <v>783.00035208120357</v>
      </c>
      <c r="E22" s="532">
        <f>+'PLAN DE AMORTIZACIÓN'!F79</f>
        <v>871.97968196544446</v>
      </c>
      <c r="F22" s="532">
        <f>+'PLAN DE AMORTIZACIÓN'!G79</f>
        <v>971.4588390395279</v>
      </c>
      <c r="G22" s="532">
        <f>+'PLAN DE AMORTIZACIÓN'!H79</f>
        <v>68</v>
      </c>
    </row>
    <row r="23" spans="1:7" x14ac:dyDescent="0.2">
      <c r="A23" s="44" t="s">
        <v>135</v>
      </c>
      <c r="B23" s="531">
        <f t="shared" ref="B23:G23" si="3">SUM(B20:B22)</f>
        <v>632.09208242973318</v>
      </c>
      <c r="C23" s="531">
        <f t="shared" si="3"/>
        <v>1890.4416170590882</v>
      </c>
      <c r="D23" s="531">
        <f t="shared" si="3"/>
        <v>2271.9945129389871</v>
      </c>
      <c r="E23" s="531">
        <f t="shared" si="3"/>
        <v>2683.2090077707394</v>
      </c>
      <c r="F23" s="531">
        <f t="shared" si="3"/>
        <v>3146.6621177343391</v>
      </c>
      <c r="G23" s="531">
        <f t="shared" si="3"/>
        <v>2655.1300891113892</v>
      </c>
    </row>
    <row r="24" spans="1:7" x14ac:dyDescent="0.2">
      <c r="B24" s="532"/>
      <c r="C24" s="532"/>
      <c r="D24" s="532"/>
      <c r="E24" s="532"/>
      <c r="F24" s="532"/>
      <c r="G24" s="532"/>
    </row>
    <row r="25" spans="1:7" ht="12" thickBot="1" x14ac:dyDescent="0.25">
      <c r="A25" s="43" t="s">
        <v>106</v>
      </c>
      <c r="B25" s="532">
        <f>+'PLAN DE AMORTIZACIÓN'!B83-B22</f>
        <v>7956.8134175702671</v>
      </c>
      <c r="C25" s="532">
        <f>+'PLAN DE AMORTIZACIÓN'!C83-C22</f>
        <v>7253.4370458570156</v>
      </c>
      <c r="D25" s="532">
        <f>+'PLAN DE AMORTIZACIÓN'!D83-D22</f>
        <v>6470.4366937758123</v>
      </c>
      <c r="E25" s="532">
        <f>+'PLAN DE AMORTIZACIÓN'!E83-E22</f>
        <v>5598.4570118103666</v>
      </c>
      <c r="F25" s="532">
        <f>+'PLAN DE AMORTIZACIÓN'!F83-F22</f>
        <v>4626.9981727708382</v>
      </c>
      <c r="G25" s="532">
        <f>+'PLAN DE AMORTIZACIÓN'!G83-G22</f>
        <v>4558.9981727708391</v>
      </c>
    </row>
    <row r="26" spans="1:7" ht="12" thickBot="1" x14ac:dyDescent="0.25">
      <c r="A26" s="545" t="s">
        <v>133</v>
      </c>
      <c r="B26" s="546">
        <f t="shared" ref="B26:G26" si="4">+B23+B25</f>
        <v>8588.9055000000008</v>
      </c>
      <c r="C26" s="546">
        <f t="shared" si="4"/>
        <v>9143.8786629161041</v>
      </c>
      <c r="D26" s="546">
        <f t="shared" si="4"/>
        <v>8742.4312067147985</v>
      </c>
      <c r="E26" s="546">
        <f t="shared" si="4"/>
        <v>8281.6660195811055</v>
      </c>
      <c r="F26" s="546">
        <f t="shared" si="4"/>
        <v>7773.6602905051768</v>
      </c>
      <c r="G26" s="546">
        <f t="shared" si="4"/>
        <v>7214.1282618822279</v>
      </c>
    </row>
    <row r="27" spans="1:7" x14ac:dyDescent="0.2">
      <c r="B27" s="532"/>
      <c r="C27" s="532"/>
      <c r="D27" s="532"/>
      <c r="E27" s="532"/>
      <c r="F27" s="532"/>
      <c r="G27" s="532"/>
    </row>
    <row r="28" spans="1:7" x14ac:dyDescent="0.2">
      <c r="A28" s="43" t="s">
        <v>129</v>
      </c>
      <c r="B28" s="532">
        <v>500</v>
      </c>
      <c r="C28" s="532">
        <v>500</v>
      </c>
      <c r="D28" s="532">
        <f>+C28</f>
        <v>500</v>
      </c>
      <c r="E28" s="532">
        <f>+D28</f>
        <v>500</v>
      </c>
      <c r="F28" s="532">
        <f>+E28</f>
        <v>500</v>
      </c>
      <c r="G28" s="532">
        <f>+F28</f>
        <v>500</v>
      </c>
    </row>
    <row r="29" spans="1:7" x14ac:dyDescent="0.2">
      <c r="A29" s="43" t="s">
        <v>130</v>
      </c>
      <c r="B29" s="532">
        <v>0</v>
      </c>
      <c r="C29" s="532">
        <f>+'ESTADO DE RESULTADOS'!C35</f>
        <v>2115.6602185549186</v>
      </c>
      <c r="D29" s="532">
        <f>+'ESTADO DE RESULTADOS'!D35</f>
        <v>2672.5957186320047</v>
      </c>
      <c r="E29" s="532">
        <f>+'ESTADO DE RESULTADOS'!E35</f>
        <v>3264.4370212467134</v>
      </c>
      <c r="F29" s="532">
        <f>+'ESTADO DE RESULTADOS'!F35</f>
        <v>3932.0896714917162</v>
      </c>
      <c r="G29" s="532">
        <f>+'ESTADO DE RESULTADOS'!G35</f>
        <v>4686.8091682328632</v>
      </c>
    </row>
    <row r="30" spans="1:7" x14ac:dyDescent="0.2">
      <c r="A30" s="43" t="s">
        <v>131</v>
      </c>
      <c r="B30" s="532">
        <v>0</v>
      </c>
      <c r="C30" s="532">
        <v>0</v>
      </c>
      <c r="D30" s="532">
        <f>+C29-D31</f>
        <v>1904.0941966994267</v>
      </c>
      <c r="E30" s="532">
        <f>+D30+(D29*90%)</f>
        <v>4309.4303434682306</v>
      </c>
      <c r="F30" s="532">
        <f>+E30+(E29*90%)</f>
        <v>7247.4236625902722</v>
      </c>
      <c r="G30" s="532">
        <f>+F30+(F29*90%)</f>
        <v>10786.304366932816</v>
      </c>
    </row>
    <row r="31" spans="1:7" ht="12" thickBot="1" x14ac:dyDescent="0.25">
      <c r="A31" s="43" t="s">
        <v>132</v>
      </c>
      <c r="B31" s="532">
        <v>0</v>
      </c>
      <c r="C31" s="532">
        <v>0</v>
      </c>
      <c r="D31" s="532">
        <f>+C29*10%</f>
        <v>211.56602185549187</v>
      </c>
      <c r="E31" s="532">
        <f>+D31+(D29*10%)</f>
        <v>478.8255937186924</v>
      </c>
      <c r="F31" s="532">
        <f>+E31+(E29*10%)</f>
        <v>805.26929584336381</v>
      </c>
      <c r="G31" s="532">
        <f>+F31+(F29*10%)</f>
        <v>1198.4782629925355</v>
      </c>
    </row>
    <row r="32" spans="1:7" ht="12" thickBot="1" x14ac:dyDescent="0.25">
      <c r="A32" s="545" t="s">
        <v>3</v>
      </c>
      <c r="B32" s="546">
        <f t="shared" ref="B32:G32" si="5">SUM(B28:B31)</f>
        <v>500</v>
      </c>
      <c r="C32" s="546">
        <f t="shared" si="5"/>
        <v>2615.6602185549186</v>
      </c>
      <c r="D32" s="546">
        <f t="shared" si="5"/>
        <v>5288.2559371869238</v>
      </c>
      <c r="E32" s="546">
        <f t="shared" si="5"/>
        <v>8552.6929584336376</v>
      </c>
      <c r="F32" s="546">
        <f t="shared" si="5"/>
        <v>12484.782629925352</v>
      </c>
      <c r="G32" s="546">
        <f t="shared" si="5"/>
        <v>17171.591798158213</v>
      </c>
    </row>
    <row r="33" spans="1:7" ht="12" thickBot="1" x14ac:dyDescent="0.25">
      <c r="B33" s="532"/>
      <c r="C33" s="532"/>
      <c r="D33" s="532"/>
      <c r="E33" s="532"/>
      <c r="F33" s="532"/>
      <c r="G33" s="532"/>
    </row>
    <row r="34" spans="1:7" ht="12" thickBot="1" x14ac:dyDescent="0.25">
      <c r="A34" s="544" t="s">
        <v>134</v>
      </c>
      <c r="B34" s="539">
        <f t="shared" ref="B34:G34" si="6">+B26+B32</f>
        <v>9088.9055000000008</v>
      </c>
      <c r="C34" s="539">
        <f t="shared" si="6"/>
        <v>11759.538881471022</v>
      </c>
      <c r="D34" s="539">
        <f t="shared" si="6"/>
        <v>14030.687143901723</v>
      </c>
      <c r="E34" s="539">
        <f t="shared" si="6"/>
        <v>16834.358978014745</v>
      </c>
      <c r="F34" s="539">
        <f t="shared" si="6"/>
        <v>20258.442920430527</v>
      </c>
      <c r="G34" s="539">
        <f t="shared" si="6"/>
        <v>24385.720060040439</v>
      </c>
    </row>
    <row r="36" spans="1:7" x14ac:dyDescent="0.2">
      <c r="B36" s="520">
        <f t="shared" ref="B36:G36" si="7">+B16-B34</f>
        <v>0</v>
      </c>
      <c r="C36" s="520">
        <f t="shared" si="7"/>
        <v>3.3333333332848269E-2</v>
      </c>
      <c r="D36" s="520">
        <f t="shared" si="7"/>
        <v>-3.3333333332848269E-2</v>
      </c>
      <c r="E36" s="520">
        <f t="shared" si="7"/>
        <v>0</v>
      </c>
      <c r="F36" s="520">
        <f t="shared" si="7"/>
        <v>0</v>
      </c>
      <c r="G36" s="520">
        <f t="shared" si="7"/>
        <v>0</v>
      </c>
    </row>
  </sheetData>
  <mergeCells count="3">
    <mergeCell ref="A1:G1"/>
    <mergeCell ref="A3:G3"/>
    <mergeCell ref="A2:G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64"/>
  <sheetViews>
    <sheetView topLeftCell="A152" workbookViewId="0">
      <selection activeCell="A183" sqref="A183"/>
    </sheetView>
  </sheetViews>
  <sheetFormatPr baseColWidth="10" defaultRowHeight="11.25" x14ac:dyDescent="0.2"/>
  <cols>
    <col min="1" max="1" width="24.85546875" style="121" customWidth="1"/>
    <col min="2" max="2" width="15.5703125" style="121" customWidth="1"/>
    <col min="3" max="3" width="18.7109375" style="121" customWidth="1"/>
    <col min="4" max="4" width="13.7109375" style="121" customWidth="1"/>
    <col min="5" max="5" width="13.42578125" style="121" customWidth="1"/>
    <col min="6" max="6" width="11.42578125" style="121" customWidth="1"/>
    <col min="7" max="7" width="13.42578125" style="121" customWidth="1"/>
    <col min="8" max="8" width="12.42578125" style="121" customWidth="1"/>
    <col min="9" max="9" width="10.85546875" style="121" customWidth="1"/>
    <col min="10" max="10" width="11" style="121" customWidth="1"/>
    <col min="11" max="12" width="16.85546875" style="121" customWidth="1"/>
    <col min="13" max="13" width="17.5703125" style="121" customWidth="1"/>
    <col min="14" max="14" width="19.7109375" style="121" customWidth="1"/>
    <col min="15" max="15" width="16.7109375" style="121" bestFit="1" customWidth="1"/>
    <col min="16" max="16" width="19.85546875" style="121" customWidth="1"/>
    <col min="17" max="17" width="14.28515625" style="121" customWidth="1"/>
    <col min="18" max="18" width="23" style="121" bestFit="1" customWidth="1"/>
    <col min="19" max="16384" width="11.42578125" style="121"/>
  </cols>
  <sheetData>
    <row r="1" spans="1:11" s="116" customFormat="1" x14ac:dyDescent="0.2">
      <c r="A1" s="113" t="s">
        <v>206</v>
      </c>
      <c r="B1" s="114"/>
      <c r="C1" s="114"/>
      <c r="D1" s="114"/>
      <c r="E1" s="114"/>
      <c r="F1" s="114"/>
      <c r="G1" s="114"/>
      <c r="H1" s="115"/>
    </row>
    <row r="2" spans="1:11" x14ac:dyDescent="0.2">
      <c r="A2" s="117"/>
      <c r="B2" s="118"/>
      <c r="C2" s="119"/>
      <c r="D2" s="119"/>
      <c r="E2" s="119"/>
      <c r="F2" s="119"/>
      <c r="G2" s="118"/>
      <c r="H2" s="120"/>
    </row>
    <row r="3" spans="1:11" x14ac:dyDescent="0.2">
      <c r="A3" s="122" t="s">
        <v>207</v>
      </c>
      <c r="F3" s="122" t="s">
        <v>208</v>
      </c>
      <c r="K3" s="123"/>
    </row>
    <row r="4" spans="1:11" x14ac:dyDescent="0.2">
      <c r="A4" s="124" t="s">
        <v>209</v>
      </c>
      <c r="B4" s="125">
        <v>2011</v>
      </c>
      <c r="C4" s="125">
        <v>2012</v>
      </c>
      <c r="D4" s="125">
        <v>2013</v>
      </c>
      <c r="E4" s="125">
        <v>2014</v>
      </c>
      <c r="F4" s="126">
        <v>2015</v>
      </c>
      <c r="G4" s="127">
        <v>2016</v>
      </c>
      <c r="H4" s="127">
        <v>2017</v>
      </c>
      <c r="I4" s="127">
        <v>2018</v>
      </c>
      <c r="J4" s="127">
        <v>2019</v>
      </c>
      <c r="K4" s="128"/>
    </row>
    <row r="5" spans="1:11" x14ac:dyDescent="0.2">
      <c r="A5" s="129" t="s">
        <v>210</v>
      </c>
      <c r="B5" s="130"/>
      <c r="C5" s="130"/>
      <c r="D5" s="130"/>
      <c r="E5" s="130"/>
      <c r="F5" s="130"/>
      <c r="G5" s="130"/>
      <c r="H5" s="130"/>
      <c r="I5" s="130"/>
      <c r="J5" s="130"/>
      <c r="K5" s="128"/>
    </row>
    <row r="6" spans="1:11" x14ac:dyDescent="0.2">
      <c r="A6" s="131" t="s">
        <v>71</v>
      </c>
      <c r="B6" s="132">
        <v>2098.5010179999999</v>
      </c>
      <c r="C6" s="132">
        <v>1375.232931</v>
      </c>
      <c r="D6" s="132">
        <v>987.63977299999999</v>
      </c>
      <c r="E6" s="132">
        <v>923.187861</v>
      </c>
      <c r="F6" s="133">
        <f>B273</f>
        <v>5161.4080497998802</v>
      </c>
      <c r="G6" s="133">
        <f>C273</f>
        <v>14119.162420195731</v>
      </c>
      <c r="H6" s="133">
        <f>D273</f>
        <v>28183.569056832377</v>
      </c>
      <c r="I6" s="133">
        <f>E273</f>
        <v>46688.812163539958</v>
      </c>
      <c r="J6" s="133">
        <f>F273</f>
        <v>70349.375796193955</v>
      </c>
      <c r="K6" s="134"/>
    </row>
    <row r="7" spans="1:11" x14ac:dyDescent="0.2">
      <c r="A7" s="131" t="s">
        <v>211</v>
      </c>
      <c r="B7" s="132">
        <f>668.411402+39.232462</f>
        <v>707.64386399999989</v>
      </c>
      <c r="C7" s="132">
        <f>694.615988+42.428425</f>
        <v>737.04441299999996</v>
      </c>
      <c r="D7" s="132">
        <f>665.400654+57.705949</f>
        <v>723.10660300000006</v>
      </c>
      <c r="E7" s="132">
        <f>977.027+76.298252</f>
        <v>1053.3252520000001</v>
      </c>
      <c r="F7" s="133">
        <v>0</v>
      </c>
      <c r="G7" s="133">
        <v>0</v>
      </c>
      <c r="H7" s="133">
        <v>0</v>
      </c>
      <c r="I7" s="133">
        <v>0</v>
      </c>
      <c r="J7" s="133">
        <v>108</v>
      </c>
      <c r="K7" s="134"/>
    </row>
    <row r="8" spans="1:11" x14ac:dyDescent="0.2">
      <c r="A8" s="131" t="s">
        <v>212</v>
      </c>
      <c r="B8" s="132">
        <v>21766.752659999998</v>
      </c>
      <c r="C8" s="132">
        <v>22438.851551</v>
      </c>
      <c r="D8" s="132">
        <v>23649.186721999999</v>
      </c>
      <c r="E8" s="132">
        <v>27603.853652000002</v>
      </c>
      <c r="F8" s="133">
        <f>D127</f>
        <v>20558.420607553198</v>
      </c>
      <c r="G8" s="133">
        <f>E127</f>
        <v>23535.279911526901</v>
      </c>
      <c r="H8" s="133">
        <f t="shared" ref="H8:J8" si="0">F127</f>
        <v>26943.188442715997</v>
      </c>
      <c r="I8" s="133">
        <f t="shared" si="0"/>
        <v>30844.562129221275</v>
      </c>
      <c r="J8" s="133">
        <f t="shared" si="0"/>
        <v>35310.854725532517</v>
      </c>
      <c r="K8" s="134"/>
    </row>
    <row r="9" spans="1:11" x14ac:dyDescent="0.2">
      <c r="A9" s="131"/>
      <c r="B9" s="132"/>
      <c r="C9" s="132"/>
      <c r="D9" s="132"/>
      <c r="E9" s="132"/>
      <c r="F9" s="133"/>
      <c r="G9" s="133"/>
      <c r="H9" s="133"/>
      <c r="I9" s="133"/>
      <c r="J9" s="133"/>
      <c r="K9" s="134"/>
    </row>
    <row r="10" spans="1:11" x14ac:dyDescent="0.2">
      <c r="A10" s="124" t="s">
        <v>213</v>
      </c>
      <c r="B10" s="135">
        <f t="shared" ref="B10:E10" si="1">SUM(B6:B9)</f>
        <v>24572.897541999999</v>
      </c>
      <c r="C10" s="135">
        <f t="shared" si="1"/>
        <v>24551.128895000002</v>
      </c>
      <c r="D10" s="135">
        <f t="shared" si="1"/>
        <v>25359.933097999998</v>
      </c>
      <c r="E10" s="135">
        <f t="shared" si="1"/>
        <v>29580.366765000002</v>
      </c>
      <c r="F10" s="136">
        <f>SUM(F6:F9)</f>
        <v>25719.828657353079</v>
      </c>
      <c r="G10" s="136">
        <f>SUM(G6:G9)</f>
        <v>37654.442331722632</v>
      </c>
      <c r="H10" s="136">
        <f>SUM(H6:H9)</f>
        <v>55126.757499548374</v>
      </c>
      <c r="I10" s="136">
        <f>SUM(I6:I9)</f>
        <v>77533.374292761233</v>
      </c>
      <c r="J10" s="136">
        <f>SUM(J6:J9)</f>
        <v>105768.23052172648</v>
      </c>
      <c r="K10" s="134"/>
    </row>
    <row r="11" spans="1:11" x14ac:dyDescent="0.2">
      <c r="A11" s="124"/>
      <c r="B11" s="135"/>
      <c r="C11" s="135"/>
      <c r="D11" s="135"/>
      <c r="E11" s="135"/>
      <c r="F11" s="136"/>
      <c r="G11" s="136"/>
      <c r="H11" s="136"/>
      <c r="I11" s="136"/>
      <c r="J11" s="136"/>
      <c r="K11" s="128"/>
    </row>
    <row r="12" spans="1:11" x14ac:dyDescent="0.2">
      <c r="A12" s="137" t="s">
        <v>214</v>
      </c>
      <c r="B12" s="138">
        <v>81325.163247999997</v>
      </c>
      <c r="C12" s="138">
        <v>97090.445997000003</v>
      </c>
      <c r="D12" s="138">
        <v>110960.24048400001</v>
      </c>
      <c r="E12" s="138">
        <v>136753.16439600001</v>
      </c>
      <c r="F12" s="139">
        <f>+E12+B259</f>
        <v>164753.16439600001</v>
      </c>
      <c r="G12" s="139">
        <f>+F12+C259</f>
        <v>164753.16439600001</v>
      </c>
      <c r="H12" s="139">
        <f>+G12+D259</f>
        <v>164753.16439600001</v>
      </c>
      <c r="I12" s="139">
        <f>+H12+E259</f>
        <v>164753.16439600001</v>
      </c>
      <c r="J12" s="139">
        <f>+I12+F259</f>
        <v>164753.16439600001</v>
      </c>
      <c r="K12" s="134"/>
    </row>
    <row r="13" spans="1:11" x14ac:dyDescent="0.2">
      <c r="A13" s="137" t="s">
        <v>215</v>
      </c>
      <c r="B13" s="138">
        <v>-18829.900000000001</v>
      </c>
      <c r="C13" s="138">
        <v>-22161.1</v>
      </c>
      <c r="D13" s="138">
        <v>-24791.4</v>
      </c>
      <c r="E13" s="138">
        <v>-27589.8</v>
      </c>
      <c r="F13" s="139">
        <f>+E13-F49-F54</f>
        <v>-31509.08037264325</v>
      </c>
      <c r="G13" s="139">
        <f t="shared" ref="G13:J13" si="2">+F13-G49-G54</f>
        <v>-37728.360745286496</v>
      </c>
      <c r="H13" s="139">
        <f t="shared" si="2"/>
        <v>-43947.641117929743</v>
      </c>
      <c r="I13" s="139">
        <f t="shared" si="2"/>
        <v>-50166.92149057299</v>
      </c>
      <c r="J13" s="139">
        <f t="shared" si="2"/>
        <v>-56386.201863216236</v>
      </c>
      <c r="K13" s="134"/>
    </row>
    <row r="14" spans="1:11" x14ac:dyDescent="0.2">
      <c r="A14" s="140" t="s">
        <v>216</v>
      </c>
      <c r="B14" s="141">
        <f>SUM(B12:B13)</f>
        <v>62495.263247999996</v>
      </c>
      <c r="C14" s="141">
        <f>SUM(C12:C13)</f>
        <v>74929.345996999997</v>
      </c>
      <c r="D14" s="141">
        <f>SUM(D12:D13)</f>
        <v>86168.840484000015</v>
      </c>
      <c r="E14" s="141">
        <f>SUM(E12:E13)</f>
        <v>109163.364396</v>
      </c>
      <c r="F14" s="141">
        <f>SUM(F12:F13)</f>
        <v>133244.08402335676</v>
      </c>
      <c r="G14" s="141">
        <f>+G12+G13</f>
        <v>127024.80365071351</v>
      </c>
      <c r="H14" s="141">
        <f>+H12+H13</f>
        <v>120805.52327807026</v>
      </c>
      <c r="I14" s="141">
        <f>+I12+I13</f>
        <v>114586.24290542702</v>
      </c>
      <c r="J14" s="141">
        <f>+J12+J13</f>
        <v>108366.96253278377</v>
      </c>
      <c r="K14" s="134"/>
    </row>
    <row r="15" spans="1:11" x14ac:dyDescent="0.2">
      <c r="A15" s="137" t="s">
        <v>217</v>
      </c>
      <c r="B15" s="138">
        <v>2867.6661570000001</v>
      </c>
      <c r="C15" s="138">
        <v>2908.4301310000001</v>
      </c>
      <c r="D15" s="138">
        <v>3698.2455810000001</v>
      </c>
      <c r="E15" s="138">
        <v>5329.3424330000007</v>
      </c>
      <c r="F15" s="139">
        <f>+E15</f>
        <v>5329.3424330000007</v>
      </c>
      <c r="G15" s="139">
        <f t="shared" ref="G15:J15" si="3">+F15</f>
        <v>5329.3424330000007</v>
      </c>
      <c r="H15" s="139">
        <f t="shared" si="3"/>
        <v>5329.3424330000007</v>
      </c>
      <c r="I15" s="139">
        <f t="shared" si="3"/>
        <v>5329.3424330000007</v>
      </c>
      <c r="J15" s="139">
        <f t="shared" si="3"/>
        <v>5329.3424330000007</v>
      </c>
      <c r="K15" s="134"/>
    </row>
    <row r="16" spans="1:11" x14ac:dyDescent="0.2">
      <c r="A16" s="140" t="s">
        <v>218</v>
      </c>
      <c r="B16" s="142">
        <f>+B14+B15</f>
        <v>65362.929404999995</v>
      </c>
      <c r="C16" s="142">
        <f t="shared" ref="C16:J16" si="4">+C14+C15</f>
        <v>77837.776127999998</v>
      </c>
      <c r="D16" s="142">
        <f t="shared" si="4"/>
        <v>89867.08606500001</v>
      </c>
      <c r="E16" s="142">
        <f t="shared" si="4"/>
        <v>114492.706829</v>
      </c>
      <c r="F16" s="142">
        <f>+F14+F15</f>
        <v>138573.42645635677</v>
      </c>
      <c r="G16" s="142">
        <f t="shared" si="4"/>
        <v>132354.14608371351</v>
      </c>
      <c r="H16" s="142">
        <f t="shared" si="4"/>
        <v>126134.86571107026</v>
      </c>
      <c r="I16" s="142">
        <f t="shared" si="4"/>
        <v>119915.58533842702</v>
      </c>
      <c r="J16" s="142">
        <f t="shared" si="4"/>
        <v>113696.30496578377</v>
      </c>
      <c r="K16" s="134"/>
    </row>
    <row r="17" spans="1:11" ht="12" thickBot="1" x14ac:dyDescent="0.25">
      <c r="A17" s="143" t="s">
        <v>219</v>
      </c>
      <c r="B17" s="144">
        <f>+B16+B10</f>
        <v>89935.826946999994</v>
      </c>
      <c r="C17" s="144">
        <f t="shared" ref="C17:J17" si="5">+C16+C10</f>
        <v>102388.905023</v>
      </c>
      <c r="D17" s="144">
        <f t="shared" si="5"/>
        <v>115227.019163</v>
      </c>
      <c r="E17" s="144">
        <f t="shared" si="5"/>
        <v>144073.07359400002</v>
      </c>
      <c r="F17" s="145">
        <f>+F16+F10</f>
        <v>164293.25511370983</v>
      </c>
      <c r="G17" s="145">
        <f>+G16+G10</f>
        <v>170008.58841543616</v>
      </c>
      <c r="H17" s="145">
        <f>+H16+H10</f>
        <v>181261.62321061862</v>
      </c>
      <c r="I17" s="145">
        <f t="shared" si="5"/>
        <v>197448.95963118825</v>
      </c>
      <c r="J17" s="145">
        <f t="shared" si="5"/>
        <v>219464.53548751026</v>
      </c>
      <c r="K17" s="134"/>
    </row>
    <row r="18" spans="1:11" ht="12" thickTop="1" x14ac:dyDescent="0.2">
      <c r="A18" s="146"/>
      <c r="B18" s="146"/>
      <c r="C18" s="146"/>
      <c r="D18" s="146"/>
      <c r="E18" s="146"/>
      <c r="F18" s="146"/>
      <c r="G18" s="146"/>
      <c r="H18" s="146"/>
      <c r="I18" s="146"/>
      <c r="J18" s="146"/>
      <c r="K18" s="128"/>
    </row>
    <row r="19" spans="1:11" x14ac:dyDescent="0.2">
      <c r="A19" s="129" t="s">
        <v>220</v>
      </c>
      <c r="B19" s="130"/>
      <c r="C19" s="130"/>
      <c r="D19" s="130"/>
      <c r="E19" s="130"/>
      <c r="F19" s="115"/>
      <c r="I19" s="147"/>
      <c r="K19" s="128"/>
    </row>
    <row r="20" spans="1:11" x14ac:dyDescent="0.2">
      <c r="A20" s="146" t="s">
        <v>221</v>
      </c>
      <c r="B20" s="148">
        <v>0</v>
      </c>
      <c r="C20" s="148"/>
      <c r="D20" s="148">
        <v>0</v>
      </c>
      <c r="E20" s="148">
        <v>0</v>
      </c>
      <c r="F20" s="149">
        <v>0</v>
      </c>
      <c r="G20" s="149">
        <v>0</v>
      </c>
      <c r="H20" s="149">
        <v>398</v>
      </c>
      <c r="I20" s="149">
        <v>1104</v>
      </c>
      <c r="J20" s="149">
        <v>72</v>
      </c>
      <c r="K20" s="134"/>
    </row>
    <row r="21" spans="1:11" x14ac:dyDescent="0.2">
      <c r="A21" s="150" t="s">
        <v>222</v>
      </c>
      <c r="B21" s="151">
        <v>5586.1197460000003</v>
      </c>
      <c r="C21" s="151">
        <v>5802.621451</v>
      </c>
      <c r="D21" s="151">
        <v>6397.9882340000004</v>
      </c>
      <c r="E21" s="151">
        <v>8006.9129499999999</v>
      </c>
      <c r="F21" s="152">
        <v>14099.903566101855</v>
      </c>
      <c r="G21" s="152">
        <v>14707.303291869554</v>
      </c>
      <c r="H21" s="152">
        <v>15375.361814510125</v>
      </c>
      <c r="I21" s="152">
        <v>16146.103545718199</v>
      </c>
      <c r="J21" s="152">
        <v>16918.331691720297</v>
      </c>
      <c r="K21" s="134"/>
    </row>
    <row r="22" spans="1:11" x14ac:dyDescent="0.2">
      <c r="A22" s="153" t="s">
        <v>223</v>
      </c>
      <c r="B22" s="151">
        <v>10173.465523999999</v>
      </c>
      <c r="C22" s="151">
        <v>9622.386966</v>
      </c>
      <c r="D22" s="151">
        <v>9427.4972209999996</v>
      </c>
      <c r="E22" s="151">
        <v>10598.536372</v>
      </c>
      <c r="F22" s="152">
        <f>D137</f>
        <v>12335.052364531919</v>
      </c>
      <c r="G22" s="152">
        <f t="shared" ref="G22:J22" si="6">E137</f>
        <v>14121.167946916139</v>
      </c>
      <c r="H22" s="152">
        <f t="shared" si="6"/>
        <v>16165.913065629597</v>
      </c>
      <c r="I22" s="152">
        <f t="shared" si="6"/>
        <v>18506.737277532768</v>
      </c>
      <c r="J22" s="152">
        <f t="shared" si="6"/>
        <v>21186.512835319507</v>
      </c>
      <c r="K22" s="134"/>
    </row>
    <row r="23" spans="1:11" x14ac:dyDescent="0.2">
      <c r="A23" s="131" t="s">
        <v>224</v>
      </c>
      <c r="B23" s="154">
        <v>323.87206400000002</v>
      </c>
      <c r="C23" s="154">
        <v>430.44954300000001</v>
      </c>
      <c r="D23" s="154">
        <v>638.80829300000005</v>
      </c>
      <c r="E23" s="154">
        <v>1834.2067890000001</v>
      </c>
      <c r="F23" s="133">
        <f>F65</f>
        <v>4076.4511561113723</v>
      </c>
      <c r="G23" s="133">
        <f t="shared" ref="G23:J23" si="7">G65</f>
        <v>4793.5442271288102</v>
      </c>
      <c r="H23" s="133">
        <f t="shared" si="7"/>
        <v>7038.7562434589108</v>
      </c>
      <c r="I23" s="133">
        <f t="shared" si="7"/>
        <v>9606.2638876560777</v>
      </c>
      <c r="J23" s="133">
        <f t="shared" si="7"/>
        <v>12570.906625849222</v>
      </c>
      <c r="K23" s="134"/>
    </row>
    <row r="24" spans="1:11" x14ac:dyDescent="0.2">
      <c r="A24" s="131" t="s">
        <v>225</v>
      </c>
      <c r="B24" s="132">
        <v>2297.4630940000002</v>
      </c>
      <c r="C24" s="132">
        <v>2164.4979739999999</v>
      </c>
      <c r="D24" s="132">
        <v>2792.7659950000002</v>
      </c>
      <c r="E24" s="132">
        <v>2963.0366439999998</v>
      </c>
      <c r="F24" s="133">
        <v>0</v>
      </c>
      <c r="G24" s="133">
        <v>0</v>
      </c>
      <c r="H24" s="133">
        <v>0</v>
      </c>
      <c r="I24" s="133">
        <v>0</v>
      </c>
      <c r="J24" s="133">
        <v>0</v>
      </c>
      <c r="K24" s="134"/>
    </row>
    <row r="25" spans="1:11" x14ac:dyDescent="0.2">
      <c r="A25" s="124" t="s">
        <v>226</v>
      </c>
      <c r="B25" s="135">
        <f>SUM(B20:B24)</f>
        <v>18380.920427999998</v>
      </c>
      <c r="C25" s="135">
        <f t="shared" ref="C25:E25" si="8">SUM(C20:C24)</f>
        <v>18019.955934000001</v>
      </c>
      <c r="D25" s="135">
        <f t="shared" si="8"/>
        <v>19257.059743000002</v>
      </c>
      <c r="E25" s="135">
        <f t="shared" si="8"/>
        <v>23402.692755</v>
      </c>
      <c r="F25" s="136">
        <f>SUM(F20:F24)</f>
        <v>30511.407086745148</v>
      </c>
      <c r="G25" s="136">
        <f t="shared" ref="G25:J25" si="9">SUM(G20:G24)</f>
        <v>33622.015465914505</v>
      </c>
      <c r="H25" s="136">
        <f t="shared" si="9"/>
        <v>38978.03112359863</v>
      </c>
      <c r="I25" s="136">
        <f t="shared" si="9"/>
        <v>45363.10471090705</v>
      </c>
      <c r="J25" s="136">
        <f t="shared" si="9"/>
        <v>50747.751152889032</v>
      </c>
      <c r="K25" s="134"/>
    </row>
    <row r="26" spans="1:11" x14ac:dyDescent="0.2">
      <c r="A26" s="124"/>
      <c r="B26" s="135"/>
      <c r="C26" s="135"/>
      <c r="D26" s="135"/>
      <c r="E26" s="135"/>
      <c r="F26" s="136"/>
      <c r="G26" s="136"/>
      <c r="H26" s="136"/>
      <c r="I26" s="136"/>
      <c r="J26" s="136"/>
      <c r="K26" s="134"/>
    </row>
    <row r="27" spans="1:11" x14ac:dyDescent="0.2">
      <c r="A27" s="150" t="s">
        <v>227</v>
      </c>
      <c r="B27" s="132">
        <v>31837.065477</v>
      </c>
      <c r="C27" s="132">
        <v>40019.482395999999</v>
      </c>
      <c r="D27" s="132">
        <v>48628.359012000001</v>
      </c>
      <c r="E27" s="132">
        <v>71504.278873000003</v>
      </c>
      <c r="F27" s="133">
        <f>'[1]Servicio a la deuda '!B131</f>
        <v>80924.462668219043</v>
      </c>
      <c r="G27" s="133">
        <f>'[1]Servicio a la deuda '!C131</f>
        <v>74224.072326349487</v>
      </c>
      <c r="H27" s="133">
        <f>'[1]Servicio a la deuda '!D131</f>
        <v>66458.184248047852</v>
      </c>
      <c r="I27" s="133">
        <f>'[1]Servicio a la deuda '!E131</f>
        <v>57612.577924881771</v>
      </c>
      <c r="J27" s="133">
        <f>'[1]Servicio a la deuda '!F131</f>
        <v>49840.971344310805</v>
      </c>
      <c r="K27" s="134"/>
    </row>
    <row r="28" spans="1:11" x14ac:dyDescent="0.2">
      <c r="A28" s="150" t="s">
        <v>228</v>
      </c>
      <c r="B28" s="132">
        <v>0</v>
      </c>
      <c r="C28" s="132">
        <v>0</v>
      </c>
      <c r="D28" s="132">
        <v>1030.231072</v>
      </c>
      <c r="E28" s="132">
        <v>1222.106548</v>
      </c>
      <c r="F28" s="133">
        <v>0</v>
      </c>
      <c r="G28" s="133">
        <v>0</v>
      </c>
      <c r="H28" s="133">
        <v>0</v>
      </c>
      <c r="I28" s="133">
        <v>0</v>
      </c>
      <c r="J28" s="133">
        <v>0</v>
      </c>
      <c r="K28" s="134"/>
    </row>
    <row r="29" spans="1:11" x14ac:dyDescent="0.2">
      <c r="A29" s="150" t="s">
        <v>229</v>
      </c>
      <c r="B29" s="132">
        <f>2424.178507+24</f>
        <v>2448.1785070000001</v>
      </c>
      <c r="C29" s="132">
        <v>1030.231072</v>
      </c>
      <c r="D29" s="132">
        <v>3000</v>
      </c>
      <c r="E29" s="132">
        <v>3000</v>
      </c>
      <c r="F29" s="133">
        <v>0</v>
      </c>
      <c r="G29" s="133">
        <v>0</v>
      </c>
      <c r="H29" s="133">
        <v>0</v>
      </c>
      <c r="I29" s="133">
        <v>0</v>
      </c>
      <c r="J29" s="133">
        <v>0</v>
      </c>
      <c r="K29" s="134"/>
    </row>
    <row r="30" spans="1:11" x14ac:dyDescent="0.2">
      <c r="A30" s="124" t="s">
        <v>230</v>
      </c>
      <c r="B30" s="135">
        <f>+B27+B28+B29</f>
        <v>34285.243984000001</v>
      </c>
      <c r="C30" s="135">
        <f t="shared" ref="C30:E30" si="10">+C27+C28+C29</f>
        <v>41049.713468000002</v>
      </c>
      <c r="D30" s="135">
        <f t="shared" si="10"/>
        <v>52658.590084000003</v>
      </c>
      <c r="E30" s="135">
        <f t="shared" si="10"/>
        <v>75726.385420999999</v>
      </c>
      <c r="F30" s="136">
        <f>SUM(F27:F29)</f>
        <v>80924.462668219043</v>
      </c>
      <c r="G30" s="136">
        <f>SUM(G27:G29)</f>
        <v>74224.072326349487</v>
      </c>
      <c r="H30" s="136">
        <f>SUM(H27:H29)</f>
        <v>66458.184248047852</v>
      </c>
      <c r="I30" s="136">
        <f>SUM(I27:I29)</f>
        <v>57612.577924881771</v>
      </c>
      <c r="J30" s="136">
        <f>SUM(J27:J29)</f>
        <v>49840.971344310805</v>
      </c>
      <c r="K30" s="134"/>
    </row>
    <row r="31" spans="1:11" x14ac:dyDescent="0.2">
      <c r="A31" s="124"/>
      <c r="B31" s="135"/>
      <c r="C31" s="135"/>
      <c r="D31" s="135"/>
      <c r="E31" s="135"/>
      <c r="F31" s="136"/>
      <c r="G31" s="136"/>
      <c r="H31" s="136"/>
      <c r="I31" s="136"/>
      <c r="J31" s="136"/>
      <c r="K31" s="134"/>
    </row>
    <row r="32" spans="1:11" x14ac:dyDescent="0.2">
      <c r="A32" s="124" t="s">
        <v>231</v>
      </c>
      <c r="B32" s="135">
        <f>+B25+B30</f>
        <v>52666.164411999998</v>
      </c>
      <c r="C32" s="135">
        <f t="shared" ref="C32:E32" si="11">+C25+C30</f>
        <v>59069.669402</v>
      </c>
      <c r="D32" s="135">
        <f t="shared" si="11"/>
        <v>71915.649827000001</v>
      </c>
      <c r="E32" s="135">
        <f t="shared" si="11"/>
        <v>99129.078175999995</v>
      </c>
      <c r="F32" s="136">
        <f>+F25+F30</f>
        <v>111435.86975496419</v>
      </c>
      <c r="G32" s="136">
        <f t="shared" ref="G32:J32" si="12">+G25+G30</f>
        <v>107846.08779226399</v>
      </c>
      <c r="H32" s="136">
        <f t="shared" si="12"/>
        <v>105436.21537164648</v>
      </c>
      <c r="I32" s="136">
        <f t="shared" si="12"/>
        <v>102975.68263578882</v>
      </c>
      <c r="J32" s="136">
        <f t="shared" si="12"/>
        <v>100588.72249719984</v>
      </c>
      <c r="K32" s="134"/>
    </row>
    <row r="33" spans="1:15" x14ac:dyDescent="0.2">
      <c r="A33" s="131"/>
      <c r="B33" s="131"/>
      <c r="C33" s="131"/>
      <c r="D33" s="131"/>
      <c r="E33" s="131"/>
      <c r="F33" s="155"/>
      <c r="G33" s="155"/>
      <c r="H33" s="155"/>
      <c r="I33" s="155"/>
      <c r="J33" s="155"/>
      <c r="K33" s="128"/>
    </row>
    <row r="34" spans="1:15" x14ac:dyDescent="0.2">
      <c r="A34" s="131" t="s">
        <v>105</v>
      </c>
      <c r="B34" s="132">
        <v>4521</v>
      </c>
      <c r="C34" s="132">
        <v>9900</v>
      </c>
      <c r="D34" s="132">
        <v>9900</v>
      </c>
      <c r="E34" s="132">
        <v>9900</v>
      </c>
      <c r="F34" s="133">
        <f>+D147</f>
        <v>9900</v>
      </c>
      <c r="G34" s="133">
        <f t="shared" ref="G34:J34" si="13">+E147</f>
        <v>9900</v>
      </c>
      <c r="H34" s="133">
        <f t="shared" si="13"/>
        <v>9900</v>
      </c>
      <c r="I34" s="133">
        <f t="shared" si="13"/>
        <v>9900</v>
      </c>
      <c r="J34" s="133">
        <f t="shared" si="13"/>
        <v>9900</v>
      </c>
      <c r="K34" s="134"/>
    </row>
    <row r="35" spans="1:15" x14ac:dyDescent="0.2">
      <c r="A35" s="131" t="s">
        <v>232</v>
      </c>
      <c r="B35" s="132">
        <v>2746.5263599999998</v>
      </c>
      <c r="C35" s="132">
        <v>4403.778491</v>
      </c>
      <c r="D35" s="132">
        <v>5835.0508950000003</v>
      </c>
      <c r="E35" s="132">
        <v>6873.1178600000003</v>
      </c>
      <c r="F35" s="133">
        <f>+E35</f>
        <v>6873.1178600000003</v>
      </c>
      <c r="G35" s="133">
        <f>+F35</f>
        <v>6873.1178600000003</v>
      </c>
      <c r="H35" s="133">
        <f>+G35</f>
        <v>6873.1178600000003</v>
      </c>
      <c r="I35" s="133">
        <f>+H35</f>
        <v>6873.1178600000003</v>
      </c>
      <c r="J35" s="133">
        <f>+I35</f>
        <v>6873.1178600000003</v>
      </c>
      <c r="K35" s="156"/>
      <c r="L35" s="156"/>
      <c r="M35" s="156"/>
      <c r="N35" s="156"/>
      <c r="O35" s="156"/>
    </row>
    <row r="36" spans="1:15" x14ac:dyDescent="0.2">
      <c r="A36" s="131" t="s">
        <v>233</v>
      </c>
      <c r="B36" s="154">
        <f>B66</f>
        <v>1657.252129999986</v>
      </c>
      <c r="C36" s="154">
        <f>C66</f>
        <v>1431.2724039999998</v>
      </c>
      <c r="D36" s="154">
        <f>D66</f>
        <v>1038.0669650000004</v>
      </c>
      <c r="E36" s="154">
        <f>E66</f>
        <v>1937.6260910000069</v>
      </c>
      <c r="F36" s="133">
        <f>F66</f>
        <v>7913.1110677456036</v>
      </c>
      <c r="G36" s="133">
        <f t="shared" ref="G36:J36" si="14">G66</f>
        <v>9305.115264426513</v>
      </c>
      <c r="H36" s="133">
        <f t="shared" si="14"/>
        <v>13663.468002008472</v>
      </c>
      <c r="I36" s="133">
        <f t="shared" si="14"/>
        <v>18647.453428979443</v>
      </c>
      <c r="J36" s="133">
        <f t="shared" si="14"/>
        <v>24402.348156060252</v>
      </c>
      <c r="K36" s="134"/>
    </row>
    <row r="37" spans="1:15" x14ac:dyDescent="0.2">
      <c r="A37" s="150" t="s">
        <v>234</v>
      </c>
      <c r="B37" s="157">
        <v>28344.409790000002</v>
      </c>
      <c r="C37" s="157">
        <v>27584.184726</v>
      </c>
      <c r="D37" s="157">
        <v>26538.251469999999</v>
      </c>
      <c r="E37" s="157">
        <v>26233.251476000001</v>
      </c>
      <c r="F37" s="149">
        <f>+E37+E36</f>
        <v>28170.877567000007</v>
      </c>
      <c r="G37" s="149">
        <f t="shared" ref="G37:J37" si="15">+F37+F36</f>
        <v>36083.988634745612</v>
      </c>
      <c r="H37" s="149">
        <f t="shared" si="15"/>
        <v>45389.103899172129</v>
      </c>
      <c r="I37" s="149">
        <f t="shared" si="15"/>
        <v>59052.5719011806</v>
      </c>
      <c r="J37" s="149">
        <f t="shared" si="15"/>
        <v>77700.025330160046</v>
      </c>
      <c r="K37" s="134"/>
    </row>
    <row r="38" spans="1:15" x14ac:dyDescent="0.2">
      <c r="A38" s="124" t="s">
        <v>235</v>
      </c>
      <c r="B38" s="135">
        <f t="shared" ref="B38:J38" si="16">SUM(B34:B37)</f>
        <v>37269.188279999988</v>
      </c>
      <c r="C38" s="135">
        <f t="shared" si="16"/>
        <v>43319.235621</v>
      </c>
      <c r="D38" s="135">
        <f t="shared" si="16"/>
        <v>43311.369330000001</v>
      </c>
      <c r="E38" s="135">
        <f t="shared" si="16"/>
        <v>44943.995427000002</v>
      </c>
      <c r="F38" s="136">
        <f>SUM(F34:F37)</f>
        <v>52857.106494745603</v>
      </c>
      <c r="G38" s="136">
        <f t="shared" si="16"/>
        <v>62162.221759172127</v>
      </c>
      <c r="H38" s="136">
        <f t="shared" si="16"/>
        <v>75825.689761180605</v>
      </c>
      <c r="I38" s="136">
        <f t="shared" si="16"/>
        <v>94473.143190160044</v>
      </c>
      <c r="J38" s="136">
        <f t="shared" si="16"/>
        <v>118875.4913462203</v>
      </c>
      <c r="K38" s="134"/>
    </row>
    <row r="39" spans="1:15" x14ac:dyDescent="0.2">
      <c r="A39" s="131"/>
      <c r="B39" s="131"/>
      <c r="C39" s="131"/>
      <c r="D39" s="131"/>
      <c r="E39" s="131"/>
      <c r="F39" s="155"/>
      <c r="G39" s="155"/>
      <c r="H39" s="155"/>
      <c r="I39" s="155"/>
      <c r="J39" s="155"/>
      <c r="K39" s="128"/>
    </row>
    <row r="40" spans="1:15" ht="12" thickBot="1" x14ac:dyDescent="0.25">
      <c r="A40" s="158" t="s">
        <v>236</v>
      </c>
      <c r="B40" s="159">
        <f>+B38+B32</f>
        <v>89935.352691999986</v>
      </c>
      <c r="C40" s="159">
        <f t="shared" ref="C40:J40" si="17">+C38+C32</f>
        <v>102388.905023</v>
      </c>
      <c r="D40" s="159">
        <f t="shared" si="17"/>
        <v>115227.019157</v>
      </c>
      <c r="E40" s="159">
        <f t="shared" si="17"/>
        <v>144073.073603</v>
      </c>
      <c r="F40" s="159">
        <f t="shared" si="17"/>
        <v>164292.97624970978</v>
      </c>
      <c r="G40" s="159">
        <f t="shared" si="17"/>
        <v>170008.3095514361</v>
      </c>
      <c r="H40" s="159">
        <f>+H38+H32</f>
        <v>181261.90513282709</v>
      </c>
      <c r="I40" s="159">
        <f t="shared" si="17"/>
        <v>197448.82582594885</v>
      </c>
      <c r="J40" s="159">
        <f t="shared" si="17"/>
        <v>219464.21384342015</v>
      </c>
      <c r="K40" s="134"/>
    </row>
    <row r="41" spans="1:15" ht="12" thickTop="1" x14ac:dyDescent="0.2">
      <c r="A41" s="160"/>
      <c r="B41" s="161"/>
      <c r="C41" s="161"/>
      <c r="D41" s="161"/>
      <c r="E41" s="161"/>
      <c r="F41" s="161"/>
      <c r="G41" s="161"/>
      <c r="H41" s="161"/>
      <c r="I41" s="161"/>
      <c r="J41" s="161"/>
      <c r="K41" s="128"/>
    </row>
    <row r="42" spans="1:15" x14ac:dyDescent="0.2">
      <c r="A42" s="162" t="s">
        <v>237</v>
      </c>
      <c r="B42" s="163">
        <f t="shared" ref="B42:E42" si="18">+B17-B40</f>
        <v>0.47425500000827014</v>
      </c>
      <c r="C42" s="163">
        <f t="shared" si="18"/>
        <v>0</v>
      </c>
      <c r="D42" s="163">
        <f t="shared" si="18"/>
        <v>6.0000020312145352E-6</v>
      </c>
      <c r="E42" s="163">
        <f t="shared" si="18"/>
        <v>-8.9999812189489603E-6</v>
      </c>
      <c r="F42" s="163">
        <f>+F17-F40</f>
        <v>0.27886400005081668</v>
      </c>
      <c r="G42" s="163">
        <f t="shared" ref="G42:I42" si="19">+G17-G40</f>
        <v>0.27886400005081668</v>
      </c>
      <c r="H42" s="163">
        <f>+H17-H40</f>
        <v>-0.28192220846540295</v>
      </c>
      <c r="I42" s="163">
        <f t="shared" si="19"/>
        <v>0.13380523939849809</v>
      </c>
      <c r="J42" s="163">
        <f>+J17-J40</f>
        <v>0.32164409011602402</v>
      </c>
      <c r="K42" s="134"/>
    </row>
    <row r="43" spans="1:15" x14ac:dyDescent="0.2">
      <c r="F43" s="164"/>
      <c r="G43" s="165"/>
      <c r="H43" s="165"/>
      <c r="I43" s="166"/>
      <c r="J43" s="165"/>
      <c r="K43" s="128"/>
    </row>
    <row r="44" spans="1:15" x14ac:dyDescent="0.2">
      <c r="A44" s="115"/>
      <c r="B44" s="115"/>
      <c r="C44" s="115"/>
      <c r="F44" s="164"/>
      <c r="G44" s="165"/>
      <c r="H44" s="165"/>
      <c r="I44" s="166"/>
      <c r="J44" s="165"/>
      <c r="K44" s="128"/>
    </row>
    <row r="45" spans="1:15" x14ac:dyDescent="0.2">
      <c r="A45" s="122" t="s">
        <v>238</v>
      </c>
      <c r="B45" s="167"/>
      <c r="C45" s="167"/>
      <c r="D45" s="167"/>
      <c r="F45" s="115"/>
      <c r="K45" s="128"/>
    </row>
    <row r="46" spans="1:15" x14ac:dyDescent="0.2">
      <c r="A46" s="168" t="s">
        <v>239</v>
      </c>
      <c r="B46" s="125">
        <f t="shared" ref="B46:J46" si="20">+B4</f>
        <v>2011</v>
      </c>
      <c r="C46" s="125">
        <f t="shared" si="20"/>
        <v>2012</v>
      </c>
      <c r="D46" s="125">
        <f t="shared" si="20"/>
        <v>2013</v>
      </c>
      <c r="E46" s="125">
        <f t="shared" si="20"/>
        <v>2014</v>
      </c>
      <c r="F46" s="125">
        <f t="shared" si="20"/>
        <v>2015</v>
      </c>
      <c r="G46" s="125">
        <f t="shared" si="20"/>
        <v>2016</v>
      </c>
      <c r="H46" s="125">
        <f t="shared" si="20"/>
        <v>2017</v>
      </c>
      <c r="I46" s="125">
        <f t="shared" si="20"/>
        <v>2018</v>
      </c>
      <c r="J46" s="125">
        <f t="shared" si="20"/>
        <v>2019</v>
      </c>
      <c r="K46" s="128"/>
    </row>
    <row r="47" spans="1:15" x14ac:dyDescent="0.2">
      <c r="A47" s="169" t="s">
        <v>116</v>
      </c>
      <c r="B47" s="135">
        <v>80319.487219999995</v>
      </c>
      <c r="C47" s="135">
        <v>87165.213829</v>
      </c>
      <c r="D47" s="135">
        <v>94877.137944999995</v>
      </c>
      <c r="E47" s="135">
        <v>107748.53567899999</v>
      </c>
      <c r="F47" s="135">
        <f>E47*(1+F84)</f>
        <v>123350.52364531919</v>
      </c>
      <c r="G47" s="135">
        <f>F47*(1+G84)</f>
        <v>141211.6794691614</v>
      </c>
      <c r="H47" s="135">
        <f>G47*(1+H84)</f>
        <v>161659.13065629598</v>
      </c>
      <c r="I47" s="135">
        <f>H47*(1+I84)</f>
        <v>185067.37277532765</v>
      </c>
      <c r="J47" s="135">
        <f>I47*(1+J84)</f>
        <v>211865.12835319509</v>
      </c>
      <c r="K47" s="134"/>
      <c r="L47" s="165"/>
    </row>
    <row r="48" spans="1:15" x14ac:dyDescent="0.2">
      <c r="A48" s="170" t="s">
        <v>240</v>
      </c>
      <c r="B48" s="132">
        <v>55577.317833000008</v>
      </c>
      <c r="C48" s="132">
        <v>58437.781822999998</v>
      </c>
      <c r="D48" s="132">
        <v>64665.562440999995</v>
      </c>
      <c r="E48" s="132">
        <v>72560.011454999985</v>
      </c>
      <c r="F48" s="132">
        <f>+F47*F89</f>
        <v>74010.314187191514</v>
      </c>
      <c r="G48" s="132">
        <f>+G47*G89</f>
        <v>84727.007681496834</v>
      </c>
      <c r="H48" s="132">
        <f>+H47*H89</f>
        <v>96995.478393777579</v>
      </c>
      <c r="I48" s="132">
        <f>+I47*I89</f>
        <v>111040.42366519659</v>
      </c>
      <c r="J48" s="132">
        <f>+J47*J89</f>
        <v>127119.07701191705</v>
      </c>
      <c r="K48" s="134"/>
      <c r="L48" s="171"/>
    </row>
    <row r="49" spans="1:15" x14ac:dyDescent="0.2">
      <c r="A49" s="172" t="s">
        <v>241</v>
      </c>
      <c r="B49" s="132">
        <v>2595.1999999999998</v>
      </c>
      <c r="C49" s="132">
        <v>2065.5</v>
      </c>
      <c r="D49" s="132">
        <v>2092.1</v>
      </c>
      <c r="E49" s="132">
        <v>2091.8000000000002</v>
      </c>
      <c r="F49" s="132">
        <f>+[1]Depreciación!F6</f>
        <v>2985.8704384371467</v>
      </c>
      <c r="G49" s="132">
        <f>+[1]Depreciación!G6</f>
        <v>4955.8704384371467</v>
      </c>
      <c r="H49" s="132">
        <f>+[1]Depreciación!H6</f>
        <v>4955.8704384371467</v>
      </c>
      <c r="I49" s="132">
        <f>+[1]Depreciación!I6</f>
        <v>4955.8704384371467</v>
      </c>
      <c r="J49" s="132">
        <f>+[1]Depreciación!J6</f>
        <v>4955.8704384371467</v>
      </c>
      <c r="K49" s="134"/>
    </row>
    <row r="50" spans="1:15" x14ac:dyDescent="0.2">
      <c r="A50" s="169" t="s">
        <v>242</v>
      </c>
      <c r="B50" s="135">
        <f t="shared" ref="B50:J50" si="21">+B47-B48-B49</f>
        <v>22146.969386999986</v>
      </c>
      <c r="C50" s="135">
        <f t="shared" si="21"/>
        <v>26661.932006000003</v>
      </c>
      <c r="D50" s="135">
        <f t="shared" si="21"/>
        <v>28119.475504000002</v>
      </c>
      <c r="E50" s="135">
        <f t="shared" si="21"/>
        <v>33096.724224000005</v>
      </c>
      <c r="F50" s="135">
        <f t="shared" si="21"/>
        <v>46354.339019690531</v>
      </c>
      <c r="G50" s="135">
        <f t="shared" si="21"/>
        <v>51528.801349227426</v>
      </c>
      <c r="H50" s="135">
        <f>+H47-H48-H49</f>
        <v>59707.781824081256</v>
      </c>
      <c r="I50" s="135">
        <f t="shared" si="21"/>
        <v>69071.078671693904</v>
      </c>
      <c r="J50" s="135">
        <f t="shared" si="21"/>
        <v>79790.18090284089</v>
      </c>
      <c r="K50" s="134"/>
    </row>
    <row r="51" spans="1:15" x14ac:dyDescent="0.2">
      <c r="A51" s="173"/>
      <c r="B51" s="132"/>
      <c r="C51" s="132"/>
      <c r="D51" s="132"/>
      <c r="E51" s="132"/>
      <c r="F51" s="132"/>
      <c r="G51" s="132"/>
      <c r="H51" s="132"/>
      <c r="I51" s="132"/>
      <c r="J51" s="132"/>
      <c r="K51" s="128"/>
    </row>
    <row r="52" spans="1:15" x14ac:dyDescent="0.2">
      <c r="A52" s="173" t="s">
        <v>243</v>
      </c>
      <c r="B52" s="132">
        <v>9526.6408370000008</v>
      </c>
      <c r="C52" s="132">
        <v>10415.809183000001</v>
      </c>
      <c r="D52" s="132">
        <v>11906.156019</v>
      </c>
      <c r="E52" s="132">
        <v>13725.598445</v>
      </c>
      <c r="F52" s="132">
        <f>(+E52)*(1+F96)</f>
        <v>14192.26879213</v>
      </c>
      <c r="G52" s="132">
        <f>(+F52)*(1+G96)</f>
        <v>14632.22912468603</v>
      </c>
      <c r="H52" s="132">
        <f>(+G52)*(1+H96)</f>
        <v>15056.563769301923</v>
      </c>
      <c r="I52" s="132">
        <f>(+H52)*(1+I96)</f>
        <v>15523.317246150282</v>
      </c>
      <c r="J52" s="132">
        <f>(+I52)*(1+J96)</f>
        <v>15989.01676353479</v>
      </c>
      <c r="K52" s="134"/>
    </row>
    <row r="53" spans="1:15" x14ac:dyDescent="0.2">
      <c r="A53" s="172" t="s">
        <v>244</v>
      </c>
      <c r="B53" s="132">
        <v>6276.4580619999997</v>
      </c>
      <c r="C53" s="132">
        <v>5443.0271899999998</v>
      </c>
      <c r="D53" s="132">
        <v>6041.5995830000002</v>
      </c>
      <c r="E53" s="132">
        <v>7011.4570780000004</v>
      </c>
      <c r="F53" s="132">
        <f>+F47*F97</f>
        <v>8264.4850842363867</v>
      </c>
      <c r="G53" s="132">
        <f>+G47*G97</f>
        <v>9461.1825244338143</v>
      </c>
      <c r="H53" s="132">
        <f>+H47*H97</f>
        <v>10831.161753971832</v>
      </c>
      <c r="I53" s="132">
        <f>+I47*I97</f>
        <v>12399.513975946953</v>
      </c>
      <c r="J53" s="132">
        <f>+J47*J97</f>
        <v>14194.963599664072</v>
      </c>
      <c r="K53" s="156"/>
      <c r="L53" s="156"/>
      <c r="M53" s="156"/>
      <c r="N53" s="156"/>
      <c r="O53" s="156"/>
    </row>
    <row r="54" spans="1:15" x14ac:dyDescent="0.2">
      <c r="A54" s="173" t="s">
        <v>245</v>
      </c>
      <c r="B54" s="132">
        <v>345.5</v>
      </c>
      <c r="C54" s="132">
        <v>1265.7</v>
      </c>
      <c r="D54" s="132">
        <v>538.20000000000005</v>
      </c>
      <c r="E54" s="132">
        <v>706.6</v>
      </c>
      <c r="F54" s="132">
        <f>+[1]Depreciación!F7</f>
        <v>933.4099342061013</v>
      </c>
      <c r="G54" s="132">
        <f>+[1]Depreciación!G7</f>
        <v>1263.4099342061013</v>
      </c>
      <c r="H54" s="132">
        <f>+[1]Depreciación!H7</f>
        <v>1263.4099342061013</v>
      </c>
      <c r="I54" s="132">
        <f>+[1]Depreciación!I7</f>
        <v>1263.4099342061013</v>
      </c>
      <c r="J54" s="132">
        <f>+[1]Depreciación!J7</f>
        <v>1263.4099342061013</v>
      </c>
      <c r="K54" s="156"/>
      <c r="L54" s="156"/>
      <c r="M54" s="156"/>
      <c r="N54" s="156"/>
      <c r="O54" s="156"/>
    </row>
    <row r="55" spans="1:15" x14ac:dyDescent="0.2">
      <c r="A55" s="174" t="s">
        <v>246</v>
      </c>
      <c r="B55" s="135">
        <f t="shared" ref="B55:J55" si="22">SUM(B52:B54)</f>
        <v>16148.598899000001</v>
      </c>
      <c r="C55" s="135">
        <f t="shared" si="22"/>
        <v>17124.536373000003</v>
      </c>
      <c r="D55" s="135">
        <f t="shared" si="22"/>
        <v>18485.955602000002</v>
      </c>
      <c r="E55" s="135">
        <f t="shared" si="22"/>
        <v>21443.655522999998</v>
      </c>
      <c r="F55" s="135">
        <f t="shared" si="22"/>
        <v>23390.163810572489</v>
      </c>
      <c r="G55" s="135">
        <f t="shared" si="22"/>
        <v>25356.821583325946</v>
      </c>
      <c r="H55" s="135">
        <f t="shared" si="22"/>
        <v>27151.135457479857</v>
      </c>
      <c r="I55" s="135">
        <f t="shared" si="22"/>
        <v>29186.241156303338</v>
      </c>
      <c r="J55" s="135">
        <f t="shared" si="22"/>
        <v>31447.390297404963</v>
      </c>
      <c r="K55" s="156"/>
      <c r="L55" s="156"/>
      <c r="M55" s="156"/>
      <c r="N55" s="156"/>
      <c r="O55" s="156"/>
    </row>
    <row r="56" spans="1:15" x14ac:dyDescent="0.2">
      <c r="A56" s="172"/>
      <c r="B56" s="132"/>
      <c r="C56" s="132"/>
      <c r="D56" s="132"/>
      <c r="E56" s="132"/>
      <c r="F56" s="132"/>
      <c r="G56" s="132"/>
      <c r="H56" s="132"/>
      <c r="I56" s="132"/>
      <c r="J56" s="132"/>
      <c r="K56" s="128"/>
    </row>
    <row r="57" spans="1:15" x14ac:dyDescent="0.2">
      <c r="A57" s="169" t="s">
        <v>247</v>
      </c>
      <c r="B57" s="135">
        <f t="shared" ref="B57:J57" si="23">+B50-B55</f>
        <v>5998.3704879999859</v>
      </c>
      <c r="C57" s="135">
        <f t="shared" si="23"/>
        <v>9537.3956330000001</v>
      </c>
      <c r="D57" s="135">
        <f t="shared" si="23"/>
        <v>9633.519902</v>
      </c>
      <c r="E57" s="135">
        <f t="shared" si="23"/>
        <v>11653.068701000007</v>
      </c>
      <c r="F57" s="135">
        <f t="shared" si="23"/>
        <v>22964.175209118042</v>
      </c>
      <c r="G57" s="135">
        <f t="shared" si="23"/>
        <v>26171.97976590148</v>
      </c>
      <c r="H57" s="135">
        <f t="shared" si="23"/>
        <v>32556.646366601399</v>
      </c>
      <c r="I57" s="135">
        <f t="shared" si="23"/>
        <v>39884.837515390565</v>
      </c>
      <c r="J57" s="135">
        <f t="shared" si="23"/>
        <v>48342.790605435926</v>
      </c>
      <c r="K57" s="134"/>
    </row>
    <row r="58" spans="1:15" x14ac:dyDescent="0.2">
      <c r="A58" s="174"/>
      <c r="B58" s="135"/>
      <c r="C58" s="135"/>
      <c r="D58" s="135"/>
      <c r="E58" s="135"/>
      <c r="F58" s="135"/>
      <c r="G58" s="135"/>
      <c r="H58" s="135"/>
      <c r="I58" s="135"/>
      <c r="J58" s="135"/>
      <c r="K58" s="128"/>
    </row>
    <row r="59" spans="1:15" x14ac:dyDescent="0.2">
      <c r="A59" s="173" t="s">
        <v>248</v>
      </c>
      <c r="B59" s="132">
        <v>2913.399367</v>
      </c>
      <c r="C59" s="132">
        <v>4998.1486800000002</v>
      </c>
      <c r="D59" s="132">
        <v>5530.3921360000004</v>
      </c>
      <c r="E59" s="132">
        <v>6084.2400989999996</v>
      </c>
      <c r="F59" s="132">
        <f>+'[1]Servicio a la deuda '!F3+'[1]Servicio a la deuda '!B137</f>
        <v>8630.9530360000008</v>
      </c>
      <c r="G59" s="132">
        <f>+'[1]Servicio a la deuda '!G3</f>
        <v>9390.2983644320902</v>
      </c>
      <c r="H59" s="132">
        <f>+'[1]Servicio a la deuda '!H3</f>
        <v>8782.8986386643919</v>
      </c>
      <c r="I59" s="132">
        <f>+'[1]Servicio a la deuda '!I3</f>
        <v>8114.8401160238209</v>
      </c>
      <c r="J59" s="132">
        <f>+'[1]Servicio a la deuda '!J3</f>
        <v>7344.0983848157457</v>
      </c>
      <c r="K59" s="134"/>
    </row>
    <row r="60" spans="1:15" x14ac:dyDescent="0.2">
      <c r="A60" s="172" t="s">
        <v>249</v>
      </c>
      <c r="B60" s="132">
        <v>1583.1676950000001</v>
      </c>
      <c r="C60" s="132">
        <v>1883.2060819999997</v>
      </c>
      <c r="D60" s="132">
        <v>2055.0889639999996</v>
      </c>
      <c r="E60" s="132">
        <v>2203.0107940000007</v>
      </c>
      <c r="F60" s="132">
        <f>+F47*F109</f>
        <v>2467.0104729063837</v>
      </c>
      <c r="G60" s="132">
        <f>+G47*G109</f>
        <v>2824.2335893832283</v>
      </c>
      <c r="H60" s="132">
        <f>+H47*H109</f>
        <v>3233.1826131259195</v>
      </c>
      <c r="I60" s="132">
        <f>+I47*I109</f>
        <v>3701.3474555065532</v>
      </c>
      <c r="J60" s="132">
        <f>+J47*J109</f>
        <v>4237.3025670639017</v>
      </c>
      <c r="K60" s="134"/>
    </row>
    <row r="61" spans="1:15" x14ac:dyDescent="0.2">
      <c r="A61" s="175" t="s">
        <v>250</v>
      </c>
      <c r="B61" s="176">
        <v>1280.0852110000001</v>
      </c>
      <c r="C61" s="176">
        <v>82.742097999999999</v>
      </c>
      <c r="D61" s="176">
        <v>113.047239</v>
      </c>
      <c r="E61" s="176">
        <v>108.23360599999999</v>
      </c>
      <c r="F61" s="176">
        <f>+F47*F114</f>
        <v>123.3505236453192</v>
      </c>
      <c r="G61" s="176">
        <f>+G47*G114</f>
        <v>141.2116794691614</v>
      </c>
      <c r="H61" s="176">
        <f>+H47*H114</f>
        <v>161.65913065629599</v>
      </c>
      <c r="I61" s="176">
        <f>+I47*I114</f>
        <v>185.06737277532764</v>
      </c>
      <c r="J61" s="176">
        <f>+J47*J114</f>
        <v>211.8651283531951</v>
      </c>
      <c r="K61" s="134"/>
    </row>
    <row r="62" spans="1:15" x14ac:dyDescent="0.2">
      <c r="A62" s="174" t="s">
        <v>251</v>
      </c>
      <c r="B62" s="135">
        <f t="shared" ref="B62:J62" si="24">-B59-B60+B61</f>
        <v>-3216.481851</v>
      </c>
      <c r="C62" s="135">
        <f t="shared" si="24"/>
        <v>-6798.6126640000002</v>
      </c>
      <c r="D62" s="135">
        <f t="shared" si="24"/>
        <v>-7472.4338609999995</v>
      </c>
      <c r="E62" s="135">
        <f t="shared" si="24"/>
        <v>-8179.0172870000006</v>
      </c>
      <c r="F62" s="135">
        <f t="shared" si="24"/>
        <v>-10974.612985261067</v>
      </c>
      <c r="G62" s="135">
        <f t="shared" si="24"/>
        <v>-12073.320274346157</v>
      </c>
      <c r="H62" s="135">
        <f t="shared" si="24"/>
        <v>-11854.422121134014</v>
      </c>
      <c r="I62" s="135">
        <f t="shared" si="24"/>
        <v>-11631.120198755047</v>
      </c>
      <c r="J62" s="135">
        <f t="shared" si="24"/>
        <v>-11369.535823526454</v>
      </c>
      <c r="K62" s="134"/>
    </row>
    <row r="63" spans="1:15" x14ac:dyDescent="0.2">
      <c r="A63" s="172"/>
      <c r="B63" s="132"/>
      <c r="C63" s="132"/>
      <c r="D63" s="132"/>
      <c r="E63" s="132"/>
      <c r="F63" s="132"/>
      <c r="G63" s="132"/>
      <c r="H63" s="132"/>
      <c r="I63" s="132"/>
      <c r="J63" s="132"/>
      <c r="K63" s="128"/>
    </row>
    <row r="64" spans="1:15" x14ac:dyDescent="0.2">
      <c r="A64" s="169" t="s">
        <v>252</v>
      </c>
      <c r="B64" s="135">
        <f t="shared" ref="B64:J64" si="25">+B57+B62</f>
        <v>2781.8886369999859</v>
      </c>
      <c r="C64" s="135">
        <f t="shared" si="25"/>
        <v>2738.7829689999999</v>
      </c>
      <c r="D64" s="135">
        <f t="shared" si="25"/>
        <v>2161.0860410000005</v>
      </c>
      <c r="E64" s="135">
        <f t="shared" si="25"/>
        <v>3474.0514140000068</v>
      </c>
      <c r="F64" s="135">
        <f t="shared" si="25"/>
        <v>11989.562223856976</v>
      </c>
      <c r="G64" s="135">
        <f t="shared" si="25"/>
        <v>14098.659491555323</v>
      </c>
      <c r="H64" s="135">
        <f t="shared" si="25"/>
        <v>20702.224245467383</v>
      </c>
      <c r="I64" s="135">
        <f t="shared" si="25"/>
        <v>28253.717316635521</v>
      </c>
      <c r="J64" s="135">
        <f t="shared" si="25"/>
        <v>36973.254781909476</v>
      </c>
      <c r="K64" s="134"/>
    </row>
    <row r="65" spans="1:17" x14ac:dyDescent="0.2">
      <c r="A65" s="177" t="s">
        <v>253</v>
      </c>
      <c r="B65" s="132">
        <v>1124.6365069999999</v>
      </c>
      <c r="C65" s="132">
        <v>1307.510565</v>
      </c>
      <c r="D65" s="132">
        <v>1123.019076</v>
      </c>
      <c r="E65" s="132">
        <v>1536.4253229999999</v>
      </c>
      <c r="F65" s="132">
        <f>+F64*F119</f>
        <v>4076.4511561113723</v>
      </c>
      <c r="G65" s="132">
        <f>+G64*G119</f>
        <v>4793.5442271288102</v>
      </c>
      <c r="H65" s="132">
        <f>+H64*H119</f>
        <v>7038.7562434589108</v>
      </c>
      <c r="I65" s="132">
        <f>+I64*I119</f>
        <v>9606.2638876560777</v>
      </c>
      <c r="J65" s="132">
        <f>+J64*J119</f>
        <v>12570.906625849222</v>
      </c>
      <c r="K65" s="134"/>
    </row>
    <row r="66" spans="1:17" ht="12" thickBot="1" x14ac:dyDescent="0.25">
      <c r="A66" s="178" t="s">
        <v>254</v>
      </c>
      <c r="B66" s="179">
        <f t="shared" ref="B66:J66" si="26">+B64-B65</f>
        <v>1657.252129999986</v>
      </c>
      <c r="C66" s="179">
        <f t="shared" si="26"/>
        <v>1431.2724039999998</v>
      </c>
      <c r="D66" s="179">
        <f t="shared" si="26"/>
        <v>1038.0669650000004</v>
      </c>
      <c r="E66" s="179">
        <f t="shared" si="26"/>
        <v>1937.6260910000069</v>
      </c>
      <c r="F66" s="179">
        <f t="shared" si="26"/>
        <v>7913.1110677456036</v>
      </c>
      <c r="G66" s="179">
        <f t="shared" si="26"/>
        <v>9305.115264426513</v>
      </c>
      <c r="H66" s="179">
        <f t="shared" si="26"/>
        <v>13663.468002008472</v>
      </c>
      <c r="I66" s="179">
        <f t="shared" si="26"/>
        <v>18647.453428979443</v>
      </c>
      <c r="J66" s="179">
        <f t="shared" si="26"/>
        <v>24402.348156060252</v>
      </c>
      <c r="K66" s="134"/>
    </row>
    <row r="67" spans="1:17" ht="15.6" customHeight="1" thickTop="1" x14ac:dyDescent="0.2">
      <c r="A67" s="160"/>
      <c r="B67" s="161"/>
      <c r="C67" s="161"/>
      <c r="D67" s="180"/>
      <c r="E67" s="161"/>
      <c r="F67" s="161">
        <f>+F66-B187</f>
        <v>0</v>
      </c>
      <c r="G67" s="161">
        <f>+G66-C187</f>
        <v>0</v>
      </c>
      <c r="H67" s="161">
        <f>+H66-D187</f>
        <v>0</v>
      </c>
      <c r="I67" s="161">
        <f>+I66-E187</f>
        <v>0</v>
      </c>
      <c r="J67" s="161">
        <f>+J66-F187</f>
        <v>0</v>
      </c>
      <c r="K67" s="128"/>
    </row>
    <row r="68" spans="1:17" ht="15.6" customHeight="1" thickBot="1" x14ac:dyDescent="0.25">
      <c r="A68" s="160"/>
      <c r="B68" s="180"/>
      <c r="C68" s="180"/>
      <c r="D68" s="180"/>
      <c r="E68" s="180"/>
      <c r="F68" s="161"/>
      <c r="G68" s="161"/>
      <c r="K68" s="128"/>
    </row>
    <row r="69" spans="1:17" x14ac:dyDescent="0.2">
      <c r="A69" s="639" t="s">
        <v>255</v>
      </c>
      <c r="B69" s="640"/>
      <c r="C69" s="641"/>
      <c r="D69" s="639" t="s">
        <v>256</v>
      </c>
      <c r="E69" s="640"/>
      <c r="F69" s="640"/>
      <c r="G69" s="640"/>
      <c r="H69" s="640"/>
      <c r="I69" s="641"/>
      <c r="K69" s="128"/>
    </row>
    <row r="70" spans="1:17" ht="19.350000000000001" customHeight="1" thickBot="1" x14ac:dyDescent="0.25">
      <c r="A70" s="181" t="s">
        <v>257</v>
      </c>
      <c r="B70" s="182"/>
      <c r="C70" s="183"/>
      <c r="D70" s="184" t="s">
        <v>257</v>
      </c>
      <c r="E70" s="118"/>
      <c r="F70" s="118"/>
      <c r="G70" s="118"/>
      <c r="H70" s="120"/>
      <c r="I70" s="185"/>
      <c r="K70" s="128"/>
    </row>
    <row r="71" spans="1:17" ht="19.350000000000001" customHeight="1" x14ac:dyDescent="0.2">
      <c r="A71" s="186" t="s">
        <v>239</v>
      </c>
      <c r="B71" s="187">
        <f>D4</f>
        <v>2013</v>
      </c>
      <c r="C71" s="188">
        <f>E4</f>
        <v>2014</v>
      </c>
      <c r="D71" s="189">
        <f>B71+2</f>
        <v>2015</v>
      </c>
      <c r="E71" s="126">
        <f t="shared" ref="E71:I71" si="27">+D71+1</f>
        <v>2016</v>
      </c>
      <c r="F71" s="126">
        <f t="shared" si="27"/>
        <v>2017</v>
      </c>
      <c r="G71" s="126">
        <f t="shared" si="27"/>
        <v>2018</v>
      </c>
      <c r="H71" s="126">
        <f t="shared" si="27"/>
        <v>2019</v>
      </c>
      <c r="I71" s="190">
        <f t="shared" si="27"/>
        <v>2020</v>
      </c>
      <c r="K71" s="128"/>
    </row>
    <row r="72" spans="1:17" ht="21" customHeight="1" x14ac:dyDescent="0.2">
      <c r="A72" s="191" t="s">
        <v>258</v>
      </c>
      <c r="B72" s="192">
        <v>1.9E-2</v>
      </c>
      <c r="C72" s="193">
        <v>3.6999999999999998E-2</v>
      </c>
      <c r="D72" s="194">
        <v>3.4000000000000002E-2</v>
      </c>
      <c r="E72" s="195">
        <v>3.1E-2</v>
      </c>
      <c r="F72" s="195">
        <v>2.9000000000000001E-2</v>
      </c>
      <c r="G72" s="195">
        <v>3.1E-2</v>
      </c>
      <c r="H72" s="195">
        <v>0.03</v>
      </c>
      <c r="I72" s="196">
        <v>0.03</v>
      </c>
      <c r="J72" s="115"/>
      <c r="K72" s="134"/>
    </row>
    <row r="73" spans="1:17" ht="21" customHeight="1" x14ac:dyDescent="0.2">
      <c r="A73" s="197" t="s">
        <v>259</v>
      </c>
      <c r="B73" s="192">
        <v>4.7E-2</v>
      </c>
      <c r="C73" s="193">
        <v>4.7E-2</v>
      </c>
      <c r="D73" s="194">
        <v>3.4000000000000002E-2</v>
      </c>
      <c r="E73" s="195">
        <v>3.6999999999999998E-2</v>
      </c>
      <c r="F73" s="195">
        <v>4.1000000000000002E-2</v>
      </c>
      <c r="G73" s="195">
        <v>4.2999999999999997E-2</v>
      </c>
      <c r="H73" s="195">
        <v>4.2999999999999997E-2</v>
      </c>
      <c r="I73" s="196">
        <v>4.2999999999999997E-2</v>
      </c>
      <c r="J73" s="115"/>
      <c r="K73" s="134"/>
    </row>
    <row r="74" spans="1:17" ht="21" customHeight="1" x14ac:dyDescent="0.2">
      <c r="A74" s="198" t="s">
        <v>260</v>
      </c>
      <c r="B74" s="199">
        <f>(1+B75)/(1+B72)-1</f>
        <v>2.6496565260059057E-2</v>
      </c>
      <c r="C74" s="200">
        <f t="shared" ref="C74:I74" si="28">(1+C75)/(1+C72)-1</f>
        <v>6.171648987463918E-3</v>
      </c>
      <c r="D74" s="194">
        <f>(1+D75)/(1+D72)-1</f>
        <v>1.1798839458413868E-2</v>
      </c>
      <c r="E74" s="195">
        <f t="shared" si="28"/>
        <v>1.5324927255092158E-2</v>
      </c>
      <c r="F74" s="195">
        <f t="shared" si="28"/>
        <v>1.4577259475218707E-2</v>
      </c>
      <c r="G74" s="195">
        <f t="shared" si="28"/>
        <v>1.2609117361784827E-2</v>
      </c>
      <c r="H74" s="195">
        <f t="shared" si="28"/>
        <v>1.3592233009708687E-2</v>
      </c>
      <c r="I74" s="196">
        <f t="shared" si="28"/>
        <v>1.3592233009708687E-2</v>
      </c>
      <c r="K74" s="134"/>
    </row>
    <row r="75" spans="1:17" ht="21" customHeight="1" x14ac:dyDescent="0.2">
      <c r="A75" s="197" t="s">
        <v>261</v>
      </c>
      <c r="B75" s="192">
        <v>4.5999999999999999E-2</v>
      </c>
      <c r="C75" s="193">
        <v>4.3400000000000001E-2</v>
      </c>
      <c r="D75" s="194">
        <v>4.6199999999999998E-2</v>
      </c>
      <c r="E75" s="195">
        <v>4.6800000000000001E-2</v>
      </c>
      <c r="F75" s="195">
        <v>4.3999999999999997E-2</v>
      </c>
      <c r="G75" s="195">
        <v>4.3999999999999997E-2</v>
      </c>
      <c r="H75" s="195">
        <v>4.3999999999999997E-2</v>
      </c>
      <c r="I75" s="196">
        <v>4.3999999999999997E-2</v>
      </c>
      <c r="J75" s="115"/>
      <c r="K75" s="134"/>
    </row>
    <row r="76" spans="1:17" s="147" customFormat="1" ht="21" customHeight="1" thickBot="1" x14ac:dyDescent="0.25">
      <c r="A76" s="201"/>
      <c r="B76" s="202"/>
      <c r="C76" s="202"/>
      <c r="D76" s="202"/>
      <c r="E76" s="202"/>
      <c r="F76" s="202"/>
      <c r="G76" s="202"/>
      <c r="H76" s="202"/>
      <c r="I76" s="202"/>
      <c r="J76" s="203"/>
      <c r="L76" s="204"/>
      <c r="M76" s="204"/>
      <c r="N76" s="204"/>
      <c r="O76" s="204"/>
      <c r="P76" s="204"/>
      <c r="Q76" s="123"/>
    </row>
    <row r="77" spans="1:17" s="147" customFormat="1" ht="21" customHeight="1" x14ac:dyDescent="0.2">
      <c r="A77" s="639" t="s">
        <v>262</v>
      </c>
      <c r="B77" s="640"/>
      <c r="C77" s="640"/>
      <c r="D77" s="640"/>
      <c r="E77" s="641"/>
      <c r="F77" s="639" t="s">
        <v>263</v>
      </c>
      <c r="G77" s="640"/>
      <c r="H77" s="640"/>
      <c r="I77" s="640"/>
      <c r="J77" s="641"/>
      <c r="K77" s="205"/>
      <c r="L77" s="123"/>
      <c r="M77" s="123"/>
      <c r="N77" s="123"/>
      <c r="O77" s="123"/>
      <c r="P77" s="123"/>
      <c r="Q77" s="123"/>
    </row>
    <row r="78" spans="1:17" s="147" customFormat="1" ht="21" customHeight="1" thickBot="1" x14ac:dyDescent="0.25">
      <c r="A78" s="184" t="s">
        <v>195</v>
      </c>
      <c r="B78" s="118"/>
      <c r="C78" s="118"/>
      <c r="D78" s="117"/>
      <c r="E78" s="206"/>
      <c r="F78" s="207" t="s">
        <v>195</v>
      </c>
      <c r="G78" s="182"/>
      <c r="H78" s="208"/>
      <c r="I78" s="208"/>
      <c r="J78" s="209"/>
      <c r="K78" s="134"/>
      <c r="L78" s="123"/>
      <c r="M78" s="123"/>
      <c r="N78" s="123"/>
      <c r="O78" s="123"/>
      <c r="P78" s="123"/>
      <c r="Q78" s="123"/>
    </row>
    <row r="79" spans="1:17" s="147" customFormat="1" ht="21" customHeight="1" x14ac:dyDescent="0.2">
      <c r="A79" s="210" t="s">
        <v>239</v>
      </c>
      <c r="B79" s="187">
        <v>2011</v>
      </c>
      <c r="C79" s="187">
        <v>2012</v>
      </c>
      <c r="D79" s="187">
        <v>2013</v>
      </c>
      <c r="E79" s="211">
        <v>2014</v>
      </c>
      <c r="F79" s="212">
        <f t="shared" ref="F79:J79" si="29">+E79+1</f>
        <v>2015</v>
      </c>
      <c r="G79" s="213">
        <f t="shared" si="29"/>
        <v>2016</v>
      </c>
      <c r="H79" s="213">
        <f t="shared" si="29"/>
        <v>2017</v>
      </c>
      <c r="I79" s="213">
        <f t="shared" si="29"/>
        <v>2018</v>
      </c>
      <c r="J79" s="214">
        <f t="shared" si="29"/>
        <v>2019</v>
      </c>
      <c r="K79" s="215"/>
    </row>
    <row r="80" spans="1:17" s="147" customFormat="1" x14ac:dyDescent="0.2">
      <c r="A80" s="216" t="s">
        <v>264</v>
      </c>
      <c r="B80" s="217">
        <v>215.6</v>
      </c>
      <c r="C80" s="217">
        <v>230.2</v>
      </c>
      <c r="D80" s="217">
        <v>236.3</v>
      </c>
      <c r="E80" s="218">
        <v>253.8</v>
      </c>
      <c r="F80" s="219">
        <f>+E80*(1+F82)</f>
        <v>274.10400000000004</v>
      </c>
      <c r="G80" s="220">
        <f t="shared" ref="G80:J80" si="30">+F80*(1+G82)</f>
        <v>296.03232000000008</v>
      </c>
      <c r="H80" s="220">
        <f t="shared" si="30"/>
        <v>319.71490560000012</v>
      </c>
      <c r="I80" s="220">
        <f t="shared" si="30"/>
        <v>345.29209804800013</v>
      </c>
      <c r="J80" s="221">
        <f t="shared" si="30"/>
        <v>372.91546589184014</v>
      </c>
      <c r="K80" s="222"/>
    </row>
    <row r="81" spans="1:11" s="147" customFormat="1" x14ac:dyDescent="0.2">
      <c r="A81" s="216" t="s">
        <v>265</v>
      </c>
      <c r="B81" s="217">
        <f t="shared" ref="B81:J81" si="31">+B47/B80</f>
        <v>372.53936558441558</v>
      </c>
      <c r="C81" s="217">
        <f t="shared" si="31"/>
        <v>378.64992975238926</v>
      </c>
      <c r="D81" s="217">
        <f t="shared" si="31"/>
        <v>401.51137513753702</v>
      </c>
      <c r="E81" s="218">
        <f t="shared" si="31"/>
        <v>424.54111772655631</v>
      </c>
      <c r="F81" s="219">
        <f t="shared" si="31"/>
        <v>450.01358479014959</v>
      </c>
      <c r="G81" s="220">
        <f t="shared" si="31"/>
        <v>477.0143998775585</v>
      </c>
      <c r="H81" s="220">
        <f t="shared" si="31"/>
        <v>505.63526387021199</v>
      </c>
      <c r="I81" s="220">
        <f t="shared" si="31"/>
        <v>535.97337970242472</v>
      </c>
      <c r="J81" s="221">
        <f t="shared" si="31"/>
        <v>568.13178248457018</v>
      </c>
      <c r="K81" s="222"/>
    </row>
    <row r="82" spans="1:11" s="147" customFormat="1" x14ac:dyDescent="0.2">
      <c r="A82" s="223" t="s">
        <v>266</v>
      </c>
      <c r="B82" s="224" t="s">
        <v>267</v>
      </c>
      <c r="C82" s="199">
        <f>(+C80-B80)/B80</f>
        <v>6.7717996289424834E-2</v>
      </c>
      <c r="D82" s="199">
        <f t="shared" ref="D82:E83" si="32">(+D80-C80)/C80</f>
        <v>2.6498696785404098E-2</v>
      </c>
      <c r="E82" s="225">
        <f t="shared" si="32"/>
        <v>7.4058400338552682E-2</v>
      </c>
      <c r="F82" s="226">
        <v>0.08</v>
      </c>
      <c r="G82" s="227">
        <v>0.08</v>
      </c>
      <c r="H82" s="227">
        <v>0.08</v>
      </c>
      <c r="I82" s="227">
        <v>0.08</v>
      </c>
      <c r="J82" s="228">
        <v>0.08</v>
      </c>
      <c r="K82" s="229" t="s">
        <v>268</v>
      </c>
    </row>
    <row r="83" spans="1:11" s="147" customFormat="1" x14ac:dyDescent="0.2">
      <c r="A83" s="223" t="s">
        <v>269</v>
      </c>
      <c r="B83" s="224" t="s">
        <v>267</v>
      </c>
      <c r="C83" s="199">
        <f>(+C81-B81)/B81</f>
        <v>1.6402465705571332E-2</v>
      </c>
      <c r="D83" s="199">
        <f t="shared" si="32"/>
        <v>6.0376203952018578E-2</v>
      </c>
      <c r="E83" s="225">
        <f t="shared" si="32"/>
        <v>5.7357634216790236E-2</v>
      </c>
      <c r="F83" s="226">
        <v>0.06</v>
      </c>
      <c r="G83" s="227">
        <v>0.06</v>
      </c>
      <c r="H83" s="227">
        <v>0.06</v>
      </c>
      <c r="I83" s="227">
        <v>0.06</v>
      </c>
      <c r="J83" s="227">
        <v>0.06</v>
      </c>
      <c r="K83" s="203" t="s">
        <v>270</v>
      </c>
    </row>
    <row r="84" spans="1:11" s="147" customFormat="1" ht="12" thickBot="1" x14ac:dyDescent="0.25">
      <c r="A84" s="230" t="s">
        <v>271</v>
      </c>
      <c r="B84" s="231" t="s">
        <v>267</v>
      </c>
      <c r="C84" s="232">
        <f>(+C47-B47)/B47</f>
        <v>8.5231204106783448E-2</v>
      </c>
      <c r="D84" s="232">
        <f>(+D47-C47)/C47</f>
        <v>8.8474791459000876E-2</v>
      </c>
      <c r="E84" s="233">
        <f>(+E47-D47)/D47</f>
        <v>0.13566384919264229</v>
      </c>
      <c r="F84" s="234">
        <f>((1+F82)*(1+F83))-1</f>
        <v>0.14480000000000004</v>
      </c>
      <c r="G84" s="235">
        <f t="shared" ref="G84:J84" si="33">((1+G82)*(1+G83))-1</f>
        <v>0.14480000000000004</v>
      </c>
      <c r="H84" s="235">
        <f t="shared" si="33"/>
        <v>0.14480000000000004</v>
      </c>
      <c r="I84" s="235">
        <f t="shared" si="33"/>
        <v>0.14480000000000004</v>
      </c>
      <c r="J84" s="236">
        <f t="shared" si="33"/>
        <v>0.14480000000000004</v>
      </c>
      <c r="K84" s="237"/>
    </row>
    <row r="85" spans="1:11" s="147" customFormat="1" ht="12" thickBot="1" x14ac:dyDescent="0.25">
      <c r="A85" s="201"/>
      <c r="B85" s="237"/>
      <c r="C85" s="202"/>
      <c r="D85" s="202"/>
      <c r="E85" s="202"/>
      <c r="F85" s="237"/>
      <c r="G85" s="237"/>
      <c r="H85" s="237"/>
      <c r="I85" s="237"/>
      <c r="J85" s="237"/>
      <c r="K85" s="237"/>
    </row>
    <row r="86" spans="1:11" s="147" customFormat="1" x14ac:dyDescent="0.2">
      <c r="A86" s="639" t="s">
        <v>272</v>
      </c>
      <c r="B86" s="640"/>
      <c r="C86" s="640"/>
      <c r="D86" s="640"/>
      <c r="E86" s="641"/>
      <c r="F86" s="639" t="s">
        <v>273</v>
      </c>
      <c r="G86" s="640"/>
      <c r="H86" s="640"/>
      <c r="I86" s="640"/>
      <c r="J86" s="641"/>
      <c r="K86" s="237"/>
    </row>
    <row r="87" spans="1:11" s="147" customFormat="1" ht="12" thickBot="1" x14ac:dyDescent="0.25">
      <c r="A87" s="184" t="s">
        <v>274</v>
      </c>
      <c r="B87" s="118"/>
      <c r="C87" s="118"/>
      <c r="D87" s="117"/>
      <c r="E87" s="206"/>
      <c r="F87" s="207" t="s">
        <v>275</v>
      </c>
      <c r="G87" s="182"/>
      <c r="H87" s="208"/>
      <c r="I87" s="208"/>
      <c r="J87" s="209"/>
      <c r="K87" s="237"/>
    </row>
    <row r="88" spans="1:11" s="147" customFormat="1" x14ac:dyDescent="0.2">
      <c r="A88" s="210" t="s">
        <v>239</v>
      </c>
      <c r="B88" s="187">
        <v>2011</v>
      </c>
      <c r="C88" s="187">
        <v>2012</v>
      </c>
      <c r="D88" s="187">
        <v>2013</v>
      </c>
      <c r="E88" s="211">
        <v>2014</v>
      </c>
      <c r="F88" s="212">
        <f t="shared" ref="F88:J88" si="34">+E88+1</f>
        <v>2015</v>
      </c>
      <c r="G88" s="213">
        <f t="shared" si="34"/>
        <v>2016</v>
      </c>
      <c r="H88" s="213">
        <f t="shared" si="34"/>
        <v>2017</v>
      </c>
      <c r="I88" s="213">
        <f t="shared" si="34"/>
        <v>2018</v>
      </c>
      <c r="J88" s="214">
        <f t="shared" si="34"/>
        <v>2019</v>
      </c>
      <c r="K88" s="237"/>
    </row>
    <row r="89" spans="1:11" s="147" customFormat="1" x14ac:dyDescent="0.2">
      <c r="A89" s="216" t="s">
        <v>276</v>
      </c>
      <c r="B89" s="238">
        <f>+B48/B47</f>
        <v>0.69195309577575281</v>
      </c>
      <c r="C89" s="238">
        <f>+C48/C47</f>
        <v>0.67042549723611944</v>
      </c>
      <c r="D89" s="238">
        <f>+D48/D47</f>
        <v>0.68157159713740978</v>
      </c>
      <c r="E89" s="238">
        <f>+E48/E47</f>
        <v>0.67341993093221975</v>
      </c>
      <c r="F89" s="239">
        <v>0.6</v>
      </c>
      <c r="G89" s="239">
        <v>0.6</v>
      </c>
      <c r="H89" s="239">
        <v>0.6</v>
      </c>
      <c r="I89" s="239">
        <v>0.6</v>
      </c>
      <c r="J89" s="240">
        <v>0.6</v>
      </c>
      <c r="K89" s="241"/>
    </row>
    <row r="90" spans="1:11" s="147" customFormat="1" ht="12" thickBot="1" x14ac:dyDescent="0.25">
      <c r="A90" s="242" t="s">
        <v>33</v>
      </c>
      <c r="B90" s="243">
        <f t="shared" ref="B90:J90" si="35">+B54/B89</f>
        <v>499.31130030231003</v>
      </c>
      <c r="C90" s="243">
        <f t="shared" si="35"/>
        <v>1887.9055245033869</v>
      </c>
      <c r="D90" s="243">
        <f t="shared" si="35"/>
        <v>789.6455812719189</v>
      </c>
      <c r="E90" s="244">
        <f t="shared" si="35"/>
        <v>1049.2709935416508</v>
      </c>
      <c r="F90" s="245">
        <f t="shared" si="35"/>
        <v>1555.6832236768355</v>
      </c>
      <c r="G90" s="246">
        <f t="shared" si="35"/>
        <v>2105.6832236768355</v>
      </c>
      <c r="H90" s="246">
        <f t="shared" si="35"/>
        <v>2105.6832236768355</v>
      </c>
      <c r="I90" s="246">
        <f t="shared" si="35"/>
        <v>2105.6832236768355</v>
      </c>
      <c r="J90" s="247">
        <f t="shared" si="35"/>
        <v>2105.6832236768355</v>
      </c>
      <c r="K90" s="237"/>
    </row>
    <row r="91" spans="1:11" s="147" customFormat="1" ht="12" thickBot="1" x14ac:dyDescent="0.25">
      <c r="A91" s="201"/>
      <c r="B91" s="237"/>
      <c r="C91" s="202"/>
      <c r="D91" s="202"/>
      <c r="E91" s="202"/>
      <c r="F91" s="237"/>
      <c r="G91" s="237"/>
      <c r="H91" s="237"/>
      <c r="I91" s="237"/>
      <c r="J91" s="237"/>
      <c r="K91" s="237"/>
    </row>
    <row r="92" spans="1:11" s="147" customFormat="1" x14ac:dyDescent="0.2">
      <c r="A92" s="639" t="s">
        <v>277</v>
      </c>
      <c r="B92" s="640"/>
      <c r="C92" s="640"/>
      <c r="D92" s="640"/>
      <c r="E92" s="641"/>
      <c r="F92" s="639" t="s">
        <v>278</v>
      </c>
      <c r="G92" s="640"/>
      <c r="H92" s="640"/>
      <c r="I92" s="640"/>
      <c r="J92" s="641"/>
      <c r="K92" s="237"/>
    </row>
    <row r="93" spans="1:11" s="147" customFormat="1" ht="12" thickBot="1" x14ac:dyDescent="0.25">
      <c r="A93" s="184" t="s">
        <v>279</v>
      </c>
      <c r="B93" s="118"/>
      <c r="C93" s="118"/>
      <c r="D93" s="117"/>
      <c r="E93" s="206"/>
      <c r="F93" s="207" t="s">
        <v>279</v>
      </c>
      <c r="G93" s="182"/>
      <c r="H93" s="208"/>
      <c r="I93" s="208"/>
      <c r="J93" s="209"/>
      <c r="K93" s="237"/>
    </row>
    <row r="94" spans="1:11" s="147" customFormat="1" x14ac:dyDescent="0.2">
      <c r="A94" s="210" t="s">
        <v>239</v>
      </c>
      <c r="B94" s="248">
        <v>2011</v>
      </c>
      <c r="C94" s="248">
        <v>2012</v>
      </c>
      <c r="D94" s="248">
        <v>2013</v>
      </c>
      <c r="E94" s="249">
        <v>2014</v>
      </c>
      <c r="F94" s="212">
        <f t="shared" ref="F94:J94" si="36">+E94+1</f>
        <v>2015</v>
      </c>
      <c r="G94" s="213">
        <f t="shared" si="36"/>
        <v>2016</v>
      </c>
      <c r="H94" s="213">
        <f t="shared" si="36"/>
        <v>2017</v>
      </c>
      <c r="I94" s="213">
        <f t="shared" si="36"/>
        <v>2018</v>
      </c>
      <c r="J94" s="214">
        <f t="shared" si="36"/>
        <v>2019</v>
      </c>
      <c r="K94" s="237"/>
    </row>
    <row r="95" spans="1:11" s="147" customFormat="1" x14ac:dyDescent="0.2">
      <c r="A95" s="216" t="s">
        <v>280</v>
      </c>
      <c r="B95" s="238">
        <f>+B52/B47</f>
        <v>0.11860933338513414</v>
      </c>
      <c r="C95" s="238">
        <f>+C52/C47</f>
        <v>0.11949502244592264</v>
      </c>
      <c r="D95" s="238">
        <f>+D52/D47</f>
        <v>0.12549025272981953</v>
      </c>
      <c r="E95" s="238">
        <f>+E52/E47</f>
        <v>0.12738547543597936</v>
      </c>
      <c r="F95" s="239">
        <v>0.105</v>
      </c>
      <c r="G95" s="239">
        <v>0.105</v>
      </c>
      <c r="H95" s="239">
        <v>0.1</v>
      </c>
      <c r="I95" s="239">
        <v>0.09</v>
      </c>
      <c r="J95" s="239">
        <v>8.5000000000000006E-2</v>
      </c>
    </row>
    <row r="96" spans="1:11" s="147" customFormat="1" x14ac:dyDescent="0.2">
      <c r="A96" s="216" t="s">
        <v>281</v>
      </c>
      <c r="B96" s="250" t="s">
        <v>282</v>
      </c>
      <c r="C96" s="251">
        <f>((C52-B52)/(B52))</f>
        <v>9.3334928986365057E-2</v>
      </c>
      <c r="D96" s="251">
        <f>((D52-C52)/(C52))</f>
        <v>0.1430850747949996</v>
      </c>
      <c r="E96" s="251">
        <f>((E52-D52)/(D52))</f>
        <v>0.15281526826093236</v>
      </c>
      <c r="F96" s="239">
        <f>+D72</f>
        <v>3.4000000000000002E-2</v>
      </c>
      <c r="G96" s="239">
        <f>+E72</f>
        <v>3.1E-2</v>
      </c>
      <c r="H96" s="239">
        <f>+F72</f>
        <v>2.9000000000000001E-2</v>
      </c>
      <c r="I96" s="239">
        <f>+G72</f>
        <v>3.1E-2</v>
      </c>
      <c r="J96" s="239">
        <f>+H72</f>
        <v>0.03</v>
      </c>
      <c r="K96" s="241" t="s">
        <v>283</v>
      </c>
    </row>
    <row r="97" spans="1:13" s="147" customFormat="1" x14ac:dyDescent="0.2">
      <c r="A97" s="216" t="s">
        <v>284</v>
      </c>
      <c r="B97" s="238">
        <f>B53/B47</f>
        <v>7.8143652048081394E-2</v>
      </c>
      <c r="C97" s="238">
        <f>C53/C47</f>
        <v>6.2444947369464217E-2</v>
      </c>
      <c r="D97" s="238">
        <f>D53/D47</f>
        <v>6.3678139052869592E-2</v>
      </c>
      <c r="E97" s="238">
        <f>E53/E47</f>
        <v>6.5072411739202141E-2</v>
      </c>
      <c r="F97" s="239">
        <v>6.7000000000000004E-2</v>
      </c>
      <c r="G97" s="239">
        <v>6.7000000000000004E-2</v>
      </c>
      <c r="H97" s="239">
        <v>6.7000000000000004E-2</v>
      </c>
      <c r="I97" s="239">
        <v>6.7000000000000004E-2</v>
      </c>
      <c r="J97" s="239">
        <v>6.7000000000000004E-2</v>
      </c>
      <c r="K97" s="241" t="s">
        <v>285</v>
      </c>
    </row>
    <row r="98" spans="1:13" s="147" customFormat="1" x14ac:dyDescent="0.2">
      <c r="A98" s="201"/>
      <c r="B98" s="237"/>
      <c r="C98" s="202"/>
      <c r="D98" s="202"/>
      <c r="E98" s="202"/>
      <c r="F98" s="237"/>
      <c r="G98" s="237"/>
      <c r="H98" s="237"/>
      <c r="I98" s="237"/>
      <c r="J98" s="237"/>
      <c r="K98" s="237"/>
    </row>
    <row r="99" spans="1:13" s="147" customFormat="1" x14ac:dyDescent="0.2">
      <c r="A99" s="201"/>
      <c r="B99" s="237"/>
      <c r="C99" s="202"/>
      <c r="D99" s="202"/>
      <c r="E99" s="202"/>
      <c r="F99" s="237"/>
      <c r="G99" s="237"/>
      <c r="H99" s="237"/>
      <c r="I99" s="237"/>
      <c r="J99" s="237"/>
      <c r="K99" s="237"/>
    </row>
    <row r="100" spans="1:13" x14ac:dyDescent="0.2">
      <c r="A100" s="122" t="s">
        <v>286</v>
      </c>
      <c r="B100" s="118"/>
      <c r="C100" s="118"/>
      <c r="D100" s="118"/>
      <c r="E100" s="118"/>
      <c r="F100" s="252" t="s">
        <v>287</v>
      </c>
      <c r="G100" s="118"/>
      <c r="H100" s="120"/>
      <c r="K100" s="128"/>
    </row>
    <row r="101" spans="1:13" x14ac:dyDescent="0.2">
      <c r="A101" s="253" t="s">
        <v>239</v>
      </c>
      <c r="B101" s="125">
        <f t="shared" ref="B101:H101" si="37">+B$71</f>
        <v>2013</v>
      </c>
      <c r="C101" s="125">
        <f t="shared" si="37"/>
        <v>2014</v>
      </c>
      <c r="D101" s="125">
        <f t="shared" si="37"/>
        <v>2015</v>
      </c>
      <c r="E101" s="125">
        <f t="shared" si="37"/>
        <v>2016</v>
      </c>
      <c r="F101" s="125">
        <f t="shared" si="37"/>
        <v>2017</v>
      </c>
      <c r="G101" s="125">
        <f t="shared" si="37"/>
        <v>2018</v>
      </c>
      <c r="H101" s="125">
        <f t="shared" si="37"/>
        <v>2019</v>
      </c>
      <c r="I101" s="254"/>
      <c r="K101" s="128"/>
    </row>
    <row r="102" spans="1:13" x14ac:dyDescent="0.2">
      <c r="A102" s="191" t="s">
        <v>288</v>
      </c>
      <c r="B102" s="255"/>
      <c r="C102" s="255"/>
      <c r="D102" s="256">
        <v>6000</v>
      </c>
      <c r="E102" s="256">
        <v>0</v>
      </c>
      <c r="F102" s="256">
        <v>0</v>
      </c>
      <c r="G102" s="256">
        <v>0</v>
      </c>
      <c r="H102" s="256">
        <v>0</v>
      </c>
      <c r="I102" s="257"/>
      <c r="K102" s="134"/>
    </row>
    <row r="103" spans="1:13" x14ac:dyDescent="0.2">
      <c r="A103" s="197" t="s">
        <v>289</v>
      </c>
      <c r="B103" s="258"/>
      <c r="C103" s="258"/>
      <c r="D103" s="256">
        <v>22000</v>
      </c>
      <c r="E103" s="256">
        <v>0</v>
      </c>
      <c r="F103" s="256">
        <v>0</v>
      </c>
      <c r="G103" s="256">
        <v>0</v>
      </c>
      <c r="H103" s="256">
        <v>0</v>
      </c>
      <c r="I103" s="257"/>
      <c r="K103" s="134"/>
    </row>
    <row r="104" spans="1:13" x14ac:dyDescent="0.2">
      <c r="A104" s="259"/>
      <c r="B104" s="115"/>
      <c r="C104" s="115"/>
      <c r="D104" s="115"/>
      <c r="E104" s="115"/>
      <c r="F104" s="115"/>
      <c r="G104" s="115"/>
      <c r="K104" s="128"/>
    </row>
    <row r="105" spans="1:13" ht="12" thickBot="1" x14ac:dyDescent="0.25">
      <c r="A105" s="259"/>
      <c r="B105" s="115"/>
      <c r="C105" s="115"/>
      <c r="D105" s="115"/>
      <c r="E105" s="115"/>
      <c r="F105" s="115"/>
      <c r="G105" s="115"/>
      <c r="K105" s="128"/>
    </row>
    <row r="106" spans="1:13" x14ac:dyDescent="0.2">
      <c r="A106" s="639" t="s">
        <v>290</v>
      </c>
      <c r="B106" s="640"/>
      <c r="C106" s="640"/>
      <c r="D106" s="640"/>
      <c r="E106" s="641"/>
      <c r="F106" s="639" t="s">
        <v>291</v>
      </c>
      <c r="G106" s="640"/>
      <c r="H106" s="640"/>
      <c r="I106" s="640"/>
      <c r="J106" s="641"/>
      <c r="K106" s="128"/>
    </row>
    <row r="107" spans="1:13" ht="12" thickBot="1" x14ac:dyDescent="0.25">
      <c r="A107" s="184" t="s">
        <v>292</v>
      </c>
      <c r="B107" s="118"/>
      <c r="C107" s="118"/>
      <c r="D107" s="117"/>
      <c r="E107" s="206"/>
      <c r="F107" s="184" t="s">
        <v>292</v>
      </c>
      <c r="G107" s="182"/>
      <c r="H107" s="208"/>
      <c r="I107" s="208"/>
      <c r="J107" s="209"/>
      <c r="K107" s="128"/>
    </row>
    <row r="108" spans="1:13" x14ac:dyDescent="0.2">
      <c r="A108" s="210" t="s">
        <v>239</v>
      </c>
      <c r="B108" s="248">
        <v>2011</v>
      </c>
      <c r="C108" s="248">
        <v>2012</v>
      </c>
      <c r="D108" s="248">
        <v>2013</v>
      </c>
      <c r="E108" s="249">
        <v>2014</v>
      </c>
      <c r="F108" s="212">
        <f t="shared" ref="F108:J108" si="38">+E108+1</f>
        <v>2015</v>
      </c>
      <c r="G108" s="213">
        <f t="shared" si="38"/>
        <v>2016</v>
      </c>
      <c r="H108" s="213">
        <f t="shared" si="38"/>
        <v>2017</v>
      </c>
      <c r="I108" s="213">
        <f t="shared" si="38"/>
        <v>2018</v>
      </c>
      <c r="J108" s="214">
        <f t="shared" si="38"/>
        <v>2019</v>
      </c>
      <c r="K108" s="128"/>
    </row>
    <row r="109" spans="1:13" x14ac:dyDescent="0.2">
      <c r="A109" s="216" t="s">
        <v>293</v>
      </c>
      <c r="B109" s="238">
        <f>+B60/B47</f>
        <v>1.9710879013253742E-2</v>
      </c>
      <c r="C109" s="238">
        <f>+C60/C47</f>
        <v>2.1605018783002791E-2</v>
      </c>
      <c r="D109" s="238">
        <f>+D60/D47</f>
        <v>2.1660528642751944E-2</v>
      </c>
      <c r="E109" s="238">
        <f>+E60/E47</f>
        <v>2.0445853673251951E-2</v>
      </c>
      <c r="F109" s="239">
        <v>0.02</v>
      </c>
      <c r="G109" s="239">
        <v>0.02</v>
      </c>
      <c r="H109" s="239">
        <v>0.02</v>
      </c>
      <c r="I109" s="239">
        <v>0.02</v>
      </c>
      <c r="J109" s="239">
        <v>0.02</v>
      </c>
      <c r="K109" s="134" t="s">
        <v>294</v>
      </c>
      <c r="M109" s="260">
        <v>0.02</v>
      </c>
    </row>
    <row r="110" spans="1:13" ht="12" thickBot="1" x14ac:dyDescent="0.25">
      <c r="A110" s="259"/>
      <c r="B110" s="115"/>
      <c r="C110" s="115"/>
      <c r="D110" s="115"/>
      <c r="E110" s="115"/>
      <c r="F110" s="115"/>
      <c r="G110" s="115"/>
      <c r="K110" s="128"/>
    </row>
    <row r="111" spans="1:13" x14ac:dyDescent="0.2">
      <c r="A111" s="639" t="s">
        <v>295</v>
      </c>
      <c r="B111" s="640"/>
      <c r="C111" s="640"/>
      <c r="D111" s="640"/>
      <c r="E111" s="641"/>
      <c r="F111" s="639" t="s">
        <v>296</v>
      </c>
      <c r="G111" s="640"/>
      <c r="H111" s="640"/>
      <c r="I111" s="640"/>
      <c r="J111" s="641"/>
      <c r="K111" s="128"/>
    </row>
    <row r="112" spans="1:13" ht="12" thickBot="1" x14ac:dyDescent="0.25">
      <c r="A112" s="184" t="s">
        <v>292</v>
      </c>
      <c r="B112" s="118"/>
      <c r="C112" s="118"/>
      <c r="D112" s="117"/>
      <c r="E112" s="206"/>
      <c r="F112" s="184" t="s">
        <v>292</v>
      </c>
      <c r="G112" s="182"/>
      <c r="H112" s="208"/>
      <c r="I112" s="208"/>
      <c r="J112" s="209"/>
      <c r="K112" s="128"/>
    </row>
    <row r="113" spans="1:15" x14ac:dyDescent="0.2">
      <c r="A113" s="210" t="s">
        <v>239</v>
      </c>
      <c r="B113" s="248">
        <v>2011</v>
      </c>
      <c r="C113" s="248">
        <v>2012</v>
      </c>
      <c r="D113" s="248">
        <v>2013</v>
      </c>
      <c r="E113" s="249">
        <v>2014</v>
      </c>
      <c r="F113" s="212">
        <f t="shared" ref="F113:J113" si="39">+E113+1</f>
        <v>2015</v>
      </c>
      <c r="G113" s="213">
        <f t="shared" si="39"/>
        <v>2016</v>
      </c>
      <c r="H113" s="213">
        <f t="shared" si="39"/>
        <v>2017</v>
      </c>
      <c r="I113" s="213">
        <f t="shared" si="39"/>
        <v>2018</v>
      </c>
      <c r="J113" s="214">
        <f t="shared" si="39"/>
        <v>2019</v>
      </c>
      <c r="K113" s="128"/>
    </row>
    <row r="114" spans="1:15" x14ac:dyDescent="0.2">
      <c r="A114" s="216" t="s">
        <v>293</v>
      </c>
      <c r="B114" s="238">
        <f>+B65/B113</f>
        <v>0.55924242018896064</v>
      </c>
      <c r="C114" s="238">
        <f>+C61/C47</f>
        <v>9.4925595160384475E-4</v>
      </c>
      <c r="D114" s="238">
        <f>+D61/D47</f>
        <v>1.1915119010602235E-3</v>
      </c>
      <c r="E114" s="238">
        <f>+E61/E47</f>
        <v>1.0045018739043017E-3</v>
      </c>
      <c r="F114" s="239">
        <v>1E-3</v>
      </c>
      <c r="G114" s="239">
        <v>1E-3</v>
      </c>
      <c r="H114" s="239">
        <v>1E-3</v>
      </c>
      <c r="I114" s="239">
        <v>1E-3</v>
      </c>
      <c r="J114" s="239">
        <v>1E-3</v>
      </c>
      <c r="K114" s="134" t="s">
        <v>297</v>
      </c>
      <c r="L114" s="261"/>
      <c r="M114" s="261"/>
      <c r="N114" s="261"/>
      <c r="O114" s="261"/>
    </row>
    <row r="115" spans="1:15" s="147" customFormat="1" ht="12" thickBot="1" x14ac:dyDescent="0.25">
      <c r="A115" s="201"/>
      <c r="B115" s="262"/>
      <c r="C115" s="262"/>
      <c r="D115" s="262"/>
      <c r="E115" s="262"/>
      <c r="F115" s="262"/>
      <c r="G115" s="262"/>
      <c r="H115" s="262"/>
      <c r="I115" s="262"/>
      <c r="J115" s="262"/>
      <c r="K115" s="134"/>
      <c r="L115" s="261"/>
      <c r="M115" s="261"/>
      <c r="N115" s="261"/>
      <c r="O115" s="261"/>
    </row>
    <row r="116" spans="1:15" s="147" customFormat="1" x14ac:dyDescent="0.2">
      <c r="A116" s="639" t="s">
        <v>298</v>
      </c>
      <c r="B116" s="640"/>
      <c r="C116" s="640"/>
      <c r="D116" s="640"/>
      <c r="E116" s="641"/>
      <c r="F116" s="639" t="s">
        <v>299</v>
      </c>
      <c r="G116" s="640"/>
      <c r="H116" s="640"/>
      <c r="I116" s="640"/>
      <c r="J116" s="641"/>
      <c r="K116" s="128"/>
      <c r="L116" s="261"/>
      <c r="M116" s="261"/>
      <c r="N116" s="261"/>
      <c r="O116" s="261"/>
    </row>
    <row r="117" spans="1:15" s="147" customFormat="1" ht="12" thickBot="1" x14ac:dyDescent="0.25">
      <c r="A117" s="184" t="s">
        <v>292</v>
      </c>
      <c r="B117" s="118"/>
      <c r="C117" s="118"/>
      <c r="D117" s="117"/>
      <c r="E117" s="206"/>
      <c r="F117" s="184" t="s">
        <v>292</v>
      </c>
      <c r="G117" s="182"/>
      <c r="H117" s="208"/>
      <c r="I117" s="208"/>
      <c r="J117" s="209"/>
      <c r="K117" s="128"/>
      <c r="L117" s="261"/>
      <c r="M117" s="261"/>
      <c r="N117" s="261"/>
      <c r="O117" s="261"/>
    </row>
    <row r="118" spans="1:15" s="147" customFormat="1" x14ac:dyDescent="0.2">
      <c r="A118" s="210" t="s">
        <v>239</v>
      </c>
      <c r="B118" s="248">
        <v>2011</v>
      </c>
      <c r="C118" s="248">
        <v>2012</v>
      </c>
      <c r="D118" s="248">
        <v>2013</v>
      </c>
      <c r="E118" s="249">
        <v>2014</v>
      </c>
      <c r="F118" s="212">
        <f t="shared" ref="F118:J118" si="40">+E118+1</f>
        <v>2015</v>
      </c>
      <c r="G118" s="213">
        <f t="shared" si="40"/>
        <v>2016</v>
      </c>
      <c r="H118" s="213">
        <f t="shared" si="40"/>
        <v>2017</v>
      </c>
      <c r="I118" s="213">
        <f t="shared" si="40"/>
        <v>2018</v>
      </c>
      <c r="J118" s="214">
        <f t="shared" si="40"/>
        <v>2019</v>
      </c>
      <c r="K118" s="128"/>
      <c r="L118" s="261"/>
      <c r="M118" s="261"/>
      <c r="N118" s="261"/>
      <c r="O118" s="261"/>
    </row>
    <row r="119" spans="1:15" s="147" customFormat="1" x14ac:dyDescent="0.2">
      <c r="A119" s="216" t="s">
        <v>293</v>
      </c>
      <c r="B119" s="238">
        <f>+B65/B64</f>
        <v>0.40427085830898618</v>
      </c>
      <c r="C119" s="238">
        <f>+C65/C64</f>
        <v>0.47740568705135689</v>
      </c>
      <c r="D119" s="238">
        <f>+D65/D64</f>
        <v>0.51965495806004325</v>
      </c>
      <c r="E119" s="238">
        <f>+E65/E64</f>
        <v>0.44225750857007812</v>
      </c>
      <c r="F119" s="239">
        <v>0.34</v>
      </c>
      <c r="G119" s="239">
        <v>0.34</v>
      </c>
      <c r="H119" s="239">
        <v>0.34</v>
      </c>
      <c r="I119" s="239">
        <v>0.34</v>
      </c>
      <c r="J119" s="239">
        <v>0.34</v>
      </c>
      <c r="K119" s="134" t="s">
        <v>297</v>
      </c>
      <c r="L119" s="261"/>
      <c r="M119" s="261"/>
      <c r="N119" s="261"/>
      <c r="O119" s="261"/>
    </row>
    <row r="120" spans="1:15" s="147" customFormat="1" x14ac:dyDescent="0.2">
      <c r="A120" s="201"/>
      <c r="B120" s="262"/>
      <c r="C120" s="262"/>
      <c r="D120" s="262"/>
      <c r="E120" s="262"/>
      <c r="F120" s="262"/>
      <c r="G120" s="262"/>
      <c r="H120" s="262"/>
      <c r="I120" s="262"/>
      <c r="J120" s="262"/>
      <c r="K120" s="134"/>
      <c r="L120" s="261"/>
      <c r="M120" s="261"/>
      <c r="N120" s="261"/>
      <c r="O120" s="261"/>
    </row>
    <row r="121" spans="1:15" x14ac:dyDescent="0.2">
      <c r="A121" s="263"/>
      <c r="B121" s="263"/>
      <c r="C121" s="115"/>
      <c r="D121" s="264"/>
      <c r="E121" s="264"/>
      <c r="F121" s="264"/>
      <c r="G121" s="264"/>
      <c r="H121" s="264"/>
      <c r="K121" s="265"/>
    </row>
    <row r="122" spans="1:15" x14ac:dyDescent="0.2">
      <c r="A122" s="160" t="s">
        <v>300</v>
      </c>
      <c r="B122" s="160"/>
      <c r="C122" s="115"/>
      <c r="D122" s="115"/>
      <c r="E122" s="118"/>
      <c r="F122" s="118"/>
      <c r="G122" s="118"/>
      <c r="H122" s="118"/>
      <c r="I122" s="120"/>
      <c r="K122" s="265"/>
    </row>
    <row r="123" spans="1:15" x14ac:dyDescent="0.2">
      <c r="A123" s="266"/>
      <c r="B123" s="267"/>
      <c r="C123" s="268">
        <f t="shared" ref="C123:H123" si="41">+C$71</f>
        <v>2014</v>
      </c>
      <c r="D123" s="268">
        <f t="shared" si="41"/>
        <v>2015</v>
      </c>
      <c r="E123" s="268">
        <f t="shared" si="41"/>
        <v>2016</v>
      </c>
      <c r="F123" s="268">
        <f t="shared" si="41"/>
        <v>2017</v>
      </c>
      <c r="G123" s="268">
        <f t="shared" si="41"/>
        <v>2018</v>
      </c>
      <c r="H123" s="268">
        <f t="shared" si="41"/>
        <v>2019</v>
      </c>
      <c r="K123" s="265"/>
      <c r="L123" s="261"/>
      <c r="M123" s="261"/>
      <c r="N123" s="261"/>
      <c r="O123" s="261"/>
    </row>
    <row r="124" spans="1:15" x14ac:dyDescent="0.2">
      <c r="A124" s="269" t="s">
        <v>301</v>
      </c>
      <c r="B124" s="270"/>
      <c r="C124" s="271">
        <f t="shared" ref="C124:H124" si="42">+E47</f>
        <v>107748.53567899999</v>
      </c>
      <c r="D124" s="271">
        <f t="shared" si="42"/>
        <v>123350.52364531919</v>
      </c>
      <c r="E124" s="271">
        <f t="shared" si="42"/>
        <v>141211.6794691614</v>
      </c>
      <c r="F124" s="271">
        <f t="shared" si="42"/>
        <v>161659.13065629598</v>
      </c>
      <c r="G124" s="271">
        <f t="shared" si="42"/>
        <v>185067.37277532765</v>
      </c>
      <c r="H124" s="271">
        <f t="shared" si="42"/>
        <v>211865.12835319509</v>
      </c>
      <c r="I124" s="120"/>
      <c r="K124" s="156"/>
    </row>
    <row r="125" spans="1:15" x14ac:dyDescent="0.2">
      <c r="A125" s="269" t="s">
        <v>302</v>
      </c>
      <c r="B125" s="270"/>
      <c r="C125" s="271"/>
      <c r="D125" s="271">
        <f>+D124-D127</f>
        <v>102792.10303776599</v>
      </c>
      <c r="E125" s="271">
        <f>+E124-E127</f>
        <v>117676.3995576345</v>
      </c>
      <c r="F125" s="271">
        <f>+F124-F127</f>
        <v>134715.94221357998</v>
      </c>
      <c r="G125" s="271">
        <f>+G124-G127</f>
        <v>154222.81064610637</v>
      </c>
      <c r="H125" s="271">
        <f>+H124-H127</f>
        <v>176554.27362766257</v>
      </c>
      <c r="I125" s="120"/>
      <c r="K125" s="156"/>
    </row>
    <row r="126" spans="1:15" x14ac:dyDescent="0.2">
      <c r="A126" s="269" t="s">
        <v>303</v>
      </c>
      <c r="B126" s="270"/>
      <c r="C126" s="271">
        <v>0</v>
      </c>
      <c r="D126" s="271">
        <f>+C127</f>
        <v>27603.853652000002</v>
      </c>
      <c r="E126" s="271">
        <f>+D127</f>
        <v>20558.420607553198</v>
      </c>
      <c r="F126" s="271">
        <f t="shared" ref="F126:H126" si="43">+E127</f>
        <v>23535.279911526901</v>
      </c>
      <c r="G126" s="271">
        <f t="shared" si="43"/>
        <v>26943.188442715997</v>
      </c>
      <c r="H126" s="271">
        <f t="shared" si="43"/>
        <v>30844.562129221275</v>
      </c>
      <c r="I126" s="120"/>
      <c r="K126" s="156"/>
    </row>
    <row r="127" spans="1:15" x14ac:dyDescent="0.2">
      <c r="A127" s="272" t="s">
        <v>304</v>
      </c>
      <c r="B127" s="273"/>
      <c r="C127" s="274">
        <f>+E8</f>
        <v>27603.853652000002</v>
      </c>
      <c r="D127" s="274">
        <f>D124/360*D128</f>
        <v>20558.420607553198</v>
      </c>
      <c r="E127" s="274">
        <f>E124/360*E128</f>
        <v>23535.279911526901</v>
      </c>
      <c r="F127" s="274">
        <f t="shared" ref="F127:H127" si="44">F124/360*F128</f>
        <v>26943.188442715997</v>
      </c>
      <c r="G127" s="274">
        <f t="shared" si="44"/>
        <v>30844.562129221275</v>
      </c>
      <c r="H127" s="274">
        <f t="shared" si="44"/>
        <v>35310.854725532517</v>
      </c>
      <c r="I127" s="120"/>
      <c r="K127" s="156"/>
    </row>
    <row r="128" spans="1:15" x14ac:dyDescent="0.2">
      <c r="A128" s="269" t="s">
        <v>305</v>
      </c>
      <c r="B128" s="270"/>
      <c r="C128" s="271"/>
      <c r="D128" s="275">
        <v>60</v>
      </c>
      <c r="E128" s="275">
        <v>60</v>
      </c>
      <c r="F128" s="275">
        <v>60</v>
      </c>
      <c r="G128" s="275">
        <v>60</v>
      </c>
      <c r="H128" s="275">
        <v>60</v>
      </c>
      <c r="K128" s="265"/>
    </row>
    <row r="129" spans="1:11" x14ac:dyDescent="0.2">
      <c r="A129" s="276"/>
      <c r="B129" s="277"/>
      <c r="C129" s="278"/>
      <c r="D129" s="279"/>
      <c r="E129" s="279"/>
      <c r="F129" s="279"/>
      <c r="G129" s="279"/>
      <c r="H129" s="279"/>
      <c r="K129" s="265"/>
    </row>
    <row r="130" spans="1:11" x14ac:dyDescent="0.2">
      <c r="A130" s="276"/>
      <c r="B130" s="277"/>
      <c r="C130" s="278"/>
      <c r="D130" s="279">
        <f>+C127+D124</f>
        <v>150954.37729731918</v>
      </c>
      <c r="E130" s="279">
        <f t="shared" ref="E130:H130" si="45">+D127+E124</f>
        <v>161770.10007671459</v>
      </c>
      <c r="F130" s="279">
        <f t="shared" si="45"/>
        <v>185194.41056782287</v>
      </c>
      <c r="G130" s="279">
        <f t="shared" si="45"/>
        <v>212010.56121804364</v>
      </c>
      <c r="H130" s="279">
        <f t="shared" si="45"/>
        <v>242709.69048241636</v>
      </c>
      <c r="K130" s="265"/>
    </row>
    <row r="131" spans="1:11" x14ac:dyDescent="0.2">
      <c r="A131" s="263"/>
      <c r="B131" s="115"/>
      <c r="C131" s="264"/>
      <c r="D131" s="279">
        <f>+D130-D127</f>
        <v>130395.95668976598</v>
      </c>
      <c r="E131" s="279">
        <f t="shared" ref="E131:H131" si="46">+E130-E127</f>
        <v>138234.8201651877</v>
      </c>
      <c r="F131" s="279">
        <f t="shared" si="46"/>
        <v>158251.22212510687</v>
      </c>
      <c r="G131" s="279">
        <f t="shared" si="46"/>
        <v>181165.99908882237</v>
      </c>
      <c r="H131" s="279">
        <f t="shared" si="46"/>
        <v>207398.83575688384</v>
      </c>
      <c r="K131" s="265"/>
    </row>
    <row r="132" spans="1:11" x14ac:dyDescent="0.2">
      <c r="A132" s="160" t="s">
        <v>306</v>
      </c>
      <c r="B132" s="160"/>
      <c r="C132" s="115"/>
      <c r="D132" s="115"/>
      <c r="E132" s="118"/>
      <c r="F132" s="118"/>
      <c r="G132" s="118"/>
      <c r="H132" s="118"/>
      <c r="K132" s="265"/>
    </row>
    <row r="133" spans="1:11" x14ac:dyDescent="0.2">
      <c r="A133" s="266"/>
      <c r="B133" s="267"/>
      <c r="C133" s="268">
        <f t="shared" ref="C133:H133" si="47">+C$71</f>
        <v>2014</v>
      </c>
      <c r="D133" s="268">
        <f t="shared" si="47"/>
        <v>2015</v>
      </c>
      <c r="E133" s="268">
        <f t="shared" si="47"/>
        <v>2016</v>
      </c>
      <c r="F133" s="268">
        <f t="shared" si="47"/>
        <v>2017</v>
      </c>
      <c r="G133" s="268">
        <f t="shared" si="47"/>
        <v>2018</v>
      </c>
      <c r="H133" s="268">
        <f t="shared" si="47"/>
        <v>2019</v>
      </c>
      <c r="K133" s="265"/>
    </row>
    <row r="134" spans="1:11" x14ac:dyDescent="0.2">
      <c r="A134" s="269" t="s">
        <v>307</v>
      </c>
      <c r="B134" s="270"/>
      <c r="C134" s="271">
        <f t="shared" ref="C134:H134" si="48">+E48</f>
        <v>72560.011454999985</v>
      </c>
      <c r="D134" s="271">
        <f t="shared" si="48"/>
        <v>74010.314187191514</v>
      </c>
      <c r="E134" s="271">
        <f t="shared" si="48"/>
        <v>84727.007681496834</v>
      </c>
      <c r="F134" s="271">
        <f t="shared" si="48"/>
        <v>96995.478393777579</v>
      </c>
      <c r="G134" s="271">
        <f t="shared" si="48"/>
        <v>111040.42366519659</v>
      </c>
      <c r="H134" s="271">
        <f t="shared" si="48"/>
        <v>127119.07701191705</v>
      </c>
      <c r="K134" s="265"/>
    </row>
    <row r="135" spans="1:11" x14ac:dyDescent="0.2">
      <c r="A135" s="269" t="s">
        <v>308</v>
      </c>
      <c r="B135" s="270"/>
      <c r="C135" s="271"/>
      <c r="D135" s="271">
        <f>+D134-D137</f>
        <v>61675.261822659595</v>
      </c>
      <c r="E135" s="271">
        <f t="shared" ref="E135:H135" si="49">+E134-E137</f>
        <v>70605.839734580688</v>
      </c>
      <c r="F135" s="271">
        <f t="shared" si="49"/>
        <v>80829.56532814799</v>
      </c>
      <c r="G135" s="271">
        <f t="shared" si="49"/>
        <v>92533.686387663824</v>
      </c>
      <c r="H135" s="271">
        <f t="shared" si="49"/>
        <v>105932.56417659755</v>
      </c>
      <c r="K135" s="265"/>
    </row>
    <row r="136" spans="1:11" x14ac:dyDescent="0.2">
      <c r="A136" s="269" t="s">
        <v>309</v>
      </c>
      <c r="B136" s="270"/>
      <c r="C136" s="271">
        <v>0</v>
      </c>
      <c r="D136" s="271">
        <f>+C137</f>
        <v>10598.536372</v>
      </c>
      <c r="E136" s="271">
        <f t="shared" ref="E136:H136" si="50">+D137</f>
        <v>12335.052364531919</v>
      </c>
      <c r="F136" s="271">
        <f t="shared" si="50"/>
        <v>14121.167946916139</v>
      </c>
      <c r="G136" s="271">
        <f t="shared" si="50"/>
        <v>16165.913065629597</v>
      </c>
      <c r="H136" s="271">
        <f t="shared" si="50"/>
        <v>18506.737277532768</v>
      </c>
      <c r="K136" s="265"/>
    </row>
    <row r="137" spans="1:11" x14ac:dyDescent="0.2">
      <c r="A137" s="272" t="s">
        <v>310</v>
      </c>
      <c r="B137" s="273"/>
      <c r="C137" s="274">
        <f>+E22</f>
        <v>10598.536372</v>
      </c>
      <c r="D137" s="274">
        <f>D134/360*D138</f>
        <v>12335.052364531919</v>
      </c>
      <c r="E137" s="274">
        <f t="shared" ref="E137:H137" si="51">E134/360*E138</f>
        <v>14121.167946916139</v>
      </c>
      <c r="F137" s="274">
        <f t="shared" si="51"/>
        <v>16165.913065629597</v>
      </c>
      <c r="G137" s="274">
        <f t="shared" si="51"/>
        <v>18506.737277532768</v>
      </c>
      <c r="H137" s="274">
        <f t="shared" si="51"/>
        <v>21186.512835319507</v>
      </c>
      <c r="K137" s="265"/>
    </row>
    <row r="138" spans="1:11" x14ac:dyDescent="0.2">
      <c r="A138" s="269" t="s">
        <v>305</v>
      </c>
      <c r="B138" s="270"/>
      <c r="C138" s="271">
        <f>+C137/C48*360</f>
        <v>65.291203308786478</v>
      </c>
      <c r="D138" s="275">
        <v>60</v>
      </c>
      <c r="E138" s="275">
        <v>60</v>
      </c>
      <c r="F138" s="275">
        <v>60</v>
      </c>
      <c r="G138" s="275">
        <v>60</v>
      </c>
      <c r="H138" s="275">
        <v>60</v>
      </c>
      <c r="K138" s="265"/>
    </row>
    <row r="139" spans="1:11" x14ac:dyDescent="0.2">
      <c r="A139" s="276"/>
      <c r="B139" s="277"/>
      <c r="C139" s="278"/>
      <c r="D139" s="279">
        <f>+C137+D134</f>
        <v>84608.850559191516</v>
      </c>
      <c r="E139" s="279">
        <f t="shared" ref="E139:H139" si="52">+D137+E134</f>
        <v>97062.060046028753</v>
      </c>
      <c r="F139" s="279">
        <f t="shared" si="52"/>
        <v>111116.64634069373</v>
      </c>
      <c r="G139" s="279">
        <f t="shared" si="52"/>
        <v>127206.33673082618</v>
      </c>
      <c r="H139" s="279">
        <f t="shared" si="52"/>
        <v>145625.81428944983</v>
      </c>
      <c r="K139" s="265"/>
    </row>
    <row r="140" spans="1:11" x14ac:dyDescent="0.2">
      <c r="A140" s="276"/>
      <c r="B140" s="277"/>
      <c r="C140" s="278"/>
      <c r="D140" s="279">
        <f>+D139-D137</f>
        <v>72273.798194659597</v>
      </c>
      <c r="E140" s="279">
        <f t="shared" ref="E140:H140" si="53">+E139-E137</f>
        <v>82940.892099112622</v>
      </c>
      <c r="F140" s="279">
        <f t="shared" si="53"/>
        <v>94950.733275064122</v>
      </c>
      <c r="G140" s="279">
        <f t="shared" si="53"/>
        <v>108699.59945329341</v>
      </c>
      <c r="H140" s="279">
        <f t="shared" si="53"/>
        <v>124439.30145413033</v>
      </c>
      <c r="K140" s="265"/>
    </row>
    <row r="141" spans="1:11" x14ac:dyDescent="0.2">
      <c r="A141" s="276"/>
      <c r="B141" s="277"/>
      <c r="C141" s="278"/>
      <c r="D141" s="279"/>
      <c r="E141" s="279"/>
      <c r="F141" s="279"/>
      <c r="G141" s="279"/>
      <c r="H141" s="279"/>
      <c r="K141" s="265"/>
    </row>
    <row r="142" spans="1:11" x14ac:dyDescent="0.2">
      <c r="A142" s="263"/>
      <c r="B142" s="115"/>
      <c r="C142" s="264"/>
      <c r="D142" s="264"/>
      <c r="E142" s="264"/>
      <c r="F142" s="264"/>
      <c r="G142" s="264"/>
      <c r="K142" s="265"/>
    </row>
    <row r="143" spans="1:11" x14ac:dyDescent="0.2">
      <c r="A143" s="263"/>
      <c r="B143" s="115"/>
      <c r="C143" s="264"/>
      <c r="D143" s="264"/>
      <c r="E143" s="264"/>
      <c r="F143" s="264"/>
      <c r="G143" s="264"/>
      <c r="K143" s="265"/>
    </row>
    <row r="144" spans="1:11" s="120" customFormat="1" ht="12" thickBot="1" x14ac:dyDescent="0.25">
      <c r="A144" s="280"/>
      <c r="B144" s="281"/>
      <c r="C144" s="281"/>
      <c r="D144" s="281"/>
      <c r="E144" s="281"/>
      <c r="F144" s="281"/>
      <c r="G144" s="281"/>
      <c r="H144" s="252"/>
      <c r="K144" s="265"/>
    </row>
    <row r="145" spans="1:11" x14ac:dyDescent="0.2">
      <c r="A145" s="644" t="s">
        <v>311</v>
      </c>
      <c r="B145" s="645"/>
      <c r="C145" s="645"/>
      <c r="D145" s="645"/>
      <c r="E145" s="646"/>
      <c r="F145" s="282" t="s">
        <v>287</v>
      </c>
      <c r="G145" s="283"/>
      <c r="H145" s="284"/>
      <c r="K145" s="265"/>
    </row>
    <row r="146" spans="1:11" x14ac:dyDescent="0.2">
      <c r="A146" s="285" t="s">
        <v>239</v>
      </c>
      <c r="B146" s="125">
        <f t="shared" ref="B146:H146" si="54">+B$71</f>
        <v>2013</v>
      </c>
      <c r="C146" s="125">
        <f t="shared" si="54"/>
        <v>2014</v>
      </c>
      <c r="D146" s="125">
        <f t="shared" si="54"/>
        <v>2015</v>
      </c>
      <c r="E146" s="125">
        <f t="shared" si="54"/>
        <v>2016</v>
      </c>
      <c r="F146" s="125">
        <f t="shared" si="54"/>
        <v>2017</v>
      </c>
      <c r="G146" s="125">
        <f t="shared" si="54"/>
        <v>2018</v>
      </c>
      <c r="H146" s="286">
        <f t="shared" si="54"/>
        <v>2019</v>
      </c>
      <c r="I146" s="120"/>
      <c r="K146" s="156"/>
    </row>
    <row r="147" spans="1:11" x14ac:dyDescent="0.2">
      <c r="A147" s="287" t="s">
        <v>312</v>
      </c>
      <c r="B147" s="267"/>
      <c r="C147" s="288">
        <f>+E34</f>
        <v>9900</v>
      </c>
      <c r="D147" s="289">
        <f>+C147</f>
        <v>9900</v>
      </c>
      <c r="E147" s="289">
        <f t="shared" ref="E147:H147" si="55">+D147</f>
        <v>9900</v>
      </c>
      <c r="F147" s="289">
        <f t="shared" si="55"/>
        <v>9900</v>
      </c>
      <c r="G147" s="289">
        <f t="shared" si="55"/>
        <v>9900</v>
      </c>
      <c r="H147" s="290">
        <f t="shared" si="55"/>
        <v>9900</v>
      </c>
      <c r="K147" s="156"/>
    </row>
    <row r="148" spans="1:11" x14ac:dyDescent="0.2">
      <c r="A148" s="287" t="s">
        <v>313</v>
      </c>
      <c r="B148" s="270"/>
      <c r="C148" s="288">
        <v>0</v>
      </c>
      <c r="D148" s="291">
        <v>0</v>
      </c>
      <c r="E148" s="292">
        <v>0</v>
      </c>
      <c r="F148" s="292">
        <v>0</v>
      </c>
      <c r="G148" s="292">
        <v>0</v>
      </c>
      <c r="H148" s="293">
        <v>0</v>
      </c>
      <c r="I148" s="294"/>
      <c r="K148" s="156"/>
    </row>
    <row r="149" spans="1:11" x14ac:dyDescent="0.2">
      <c r="A149" s="295" t="s">
        <v>314</v>
      </c>
      <c r="B149" s="270"/>
      <c r="C149" s="288">
        <v>10000</v>
      </c>
      <c r="D149" s="291">
        <v>10000</v>
      </c>
      <c r="E149" s="291">
        <v>10000</v>
      </c>
      <c r="F149" s="291">
        <v>10000</v>
      </c>
      <c r="G149" s="291">
        <v>10000</v>
      </c>
      <c r="H149" s="291">
        <v>10000</v>
      </c>
      <c r="I149" s="161"/>
      <c r="K149" s="156"/>
    </row>
    <row r="150" spans="1:11" x14ac:dyDescent="0.2">
      <c r="A150" s="287" t="s">
        <v>315</v>
      </c>
      <c r="B150" s="270"/>
      <c r="C150" s="288">
        <f>C147*1000000/C149</f>
        <v>990000</v>
      </c>
      <c r="D150" s="296">
        <f>+C150</f>
        <v>990000</v>
      </c>
      <c r="E150" s="296">
        <f>+D150</f>
        <v>990000</v>
      </c>
      <c r="F150" s="296">
        <f>+E150</f>
        <v>990000</v>
      </c>
      <c r="G150" s="296">
        <f>+F150</f>
        <v>990000</v>
      </c>
      <c r="H150" s="297">
        <f>+G150</f>
        <v>990000</v>
      </c>
      <c r="I150" s="294"/>
      <c r="K150" s="156"/>
    </row>
    <row r="151" spans="1:11" x14ac:dyDescent="0.2">
      <c r="A151" s="295" t="s">
        <v>316</v>
      </c>
      <c r="B151" s="273"/>
      <c r="C151" s="288"/>
      <c r="D151" s="292">
        <f>D148*1000000/D149</f>
        <v>0</v>
      </c>
      <c r="E151" s="292">
        <f>E148*1000000/E149</f>
        <v>0</v>
      </c>
      <c r="F151" s="292">
        <f>F148*1000000/F149</f>
        <v>0</v>
      </c>
      <c r="G151" s="292">
        <f>G148*1000000/G149</f>
        <v>0</v>
      </c>
      <c r="H151" s="293">
        <f>H148*1000000/H149</f>
        <v>0</v>
      </c>
      <c r="K151" s="156"/>
    </row>
    <row r="152" spans="1:11" ht="12" thickBot="1" x14ac:dyDescent="0.25">
      <c r="A152" s="298" t="s">
        <v>317</v>
      </c>
      <c r="B152" s="299"/>
      <c r="C152" s="300">
        <f>+C150</f>
        <v>990000</v>
      </c>
      <c r="D152" s="301">
        <f>+C152+D151</f>
        <v>990000</v>
      </c>
      <c r="E152" s="301">
        <f>+D152+E151</f>
        <v>990000</v>
      </c>
      <c r="F152" s="301">
        <f>+E152+F151</f>
        <v>990000</v>
      </c>
      <c r="G152" s="301">
        <f>+F152+G151</f>
        <v>990000</v>
      </c>
      <c r="H152" s="302">
        <f>+G152+H151</f>
        <v>990000</v>
      </c>
      <c r="K152" s="156"/>
    </row>
    <row r="153" spans="1:11" x14ac:dyDescent="0.2">
      <c r="A153" s="303" t="s">
        <v>3</v>
      </c>
      <c r="B153" s="277"/>
      <c r="C153" s="304">
        <f t="shared" ref="C153:H153" si="56">E38</f>
        <v>44943.995427000002</v>
      </c>
      <c r="D153" s="304">
        <f t="shared" si="56"/>
        <v>52857.106494745603</v>
      </c>
      <c r="E153" s="304">
        <f t="shared" si="56"/>
        <v>62162.221759172127</v>
      </c>
      <c r="F153" s="304">
        <f t="shared" si="56"/>
        <v>75825.689761180605</v>
      </c>
      <c r="G153" s="304">
        <f t="shared" si="56"/>
        <v>94473.143190160044</v>
      </c>
      <c r="H153" s="304">
        <f t="shared" si="56"/>
        <v>118875.4913462203</v>
      </c>
      <c r="K153" s="156"/>
    </row>
    <row r="154" spans="1:11" x14ac:dyDescent="0.2">
      <c r="A154" s="303" t="s">
        <v>318</v>
      </c>
      <c r="B154" s="277"/>
      <c r="C154" s="305">
        <f>+C153/C150*1000000</f>
        <v>45397.975178787878</v>
      </c>
      <c r="D154" s="305">
        <f t="shared" ref="D154:H154" si="57">+D153/D150*1000000</f>
        <v>53391.016661359194</v>
      </c>
      <c r="E154" s="305">
        <f t="shared" si="57"/>
        <v>62790.122989062751</v>
      </c>
      <c r="F154" s="305">
        <f t="shared" si="57"/>
        <v>76591.605819374352</v>
      </c>
      <c r="G154" s="305">
        <f t="shared" si="57"/>
        <v>95427.417363798013</v>
      </c>
      <c r="H154" s="305">
        <f t="shared" si="57"/>
        <v>120076.25388507101</v>
      </c>
      <c r="K154" s="156"/>
    </row>
    <row r="155" spans="1:11" x14ac:dyDescent="0.2">
      <c r="A155" s="306"/>
      <c r="B155" s="115"/>
      <c r="C155" s="115"/>
      <c r="D155" s="164"/>
      <c r="E155" s="164"/>
      <c r="F155" s="164"/>
      <c r="G155" s="164"/>
      <c r="H155" s="164"/>
      <c r="K155" s="128"/>
    </row>
    <row r="156" spans="1:11" x14ac:dyDescent="0.2">
      <c r="A156" s="263"/>
      <c r="B156" s="307"/>
      <c r="C156" s="307"/>
      <c r="D156" s="307"/>
      <c r="E156" s="307"/>
      <c r="F156" s="307"/>
      <c r="G156" s="307"/>
    </row>
    <row r="157" spans="1:11" x14ac:dyDescent="0.2">
      <c r="A157" s="308" t="s">
        <v>319</v>
      </c>
      <c r="B157" s="307"/>
      <c r="C157" s="307"/>
      <c r="D157" s="307"/>
      <c r="E157" s="307"/>
      <c r="F157" s="307"/>
      <c r="G157" s="307"/>
      <c r="H157" s="165"/>
    </row>
    <row r="158" spans="1:11" x14ac:dyDescent="0.2">
      <c r="A158" s="309" t="s">
        <v>320</v>
      </c>
      <c r="B158" s="307"/>
      <c r="C158" s="307"/>
      <c r="D158" s="307"/>
      <c r="E158" s="307"/>
      <c r="F158" s="307"/>
      <c r="G158" s="310"/>
      <c r="H158" s="311"/>
    </row>
    <row r="159" spans="1:11" x14ac:dyDescent="0.2">
      <c r="A159" s="309" t="s">
        <v>321</v>
      </c>
      <c r="B159" s="307"/>
      <c r="C159" s="307"/>
      <c r="D159" s="307"/>
      <c r="E159" s="307"/>
      <c r="F159" s="307"/>
      <c r="G159" s="307"/>
    </row>
    <row r="160" spans="1:11" x14ac:dyDescent="0.2">
      <c r="A160" s="312" t="s">
        <v>322</v>
      </c>
      <c r="B160" s="313">
        <v>0.55000000000000004</v>
      </c>
      <c r="C160" s="314" t="s">
        <v>323</v>
      </c>
      <c r="D160" s="115"/>
      <c r="E160" s="264"/>
      <c r="F160" s="115"/>
      <c r="G160" s="115"/>
    </row>
    <row r="162" spans="1:10" x14ac:dyDescent="0.2">
      <c r="B162" s="165"/>
      <c r="C162" s="165"/>
      <c r="D162" s="165"/>
      <c r="E162" s="165"/>
      <c r="F162" s="165"/>
      <c r="G162" s="165"/>
      <c r="I162" s="115"/>
    </row>
    <row r="163" spans="1:10" x14ac:dyDescent="0.2">
      <c r="A163" s="315" t="s">
        <v>324</v>
      </c>
      <c r="B163" s="165"/>
      <c r="C163" s="165"/>
      <c r="D163" s="165"/>
      <c r="E163" s="165"/>
      <c r="F163" s="165"/>
      <c r="G163" s="165"/>
      <c r="I163" s="115"/>
    </row>
    <row r="164" spans="1:10" x14ac:dyDescent="0.2">
      <c r="B164" s="165"/>
      <c r="C164" s="165"/>
      <c r="D164" s="165"/>
      <c r="E164" s="165"/>
      <c r="F164" s="165"/>
      <c r="G164" s="165"/>
    </row>
    <row r="165" spans="1:10" x14ac:dyDescent="0.2">
      <c r="B165" s="316"/>
      <c r="C165" s="316"/>
      <c r="D165" s="316"/>
      <c r="E165" s="316"/>
      <c r="F165" s="316"/>
      <c r="G165" s="316"/>
      <c r="H165" s="316"/>
    </row>
    <row r="166" spans="1:10" ht="12" thickBot="1" x14ac:dyDescent="0.25">
      <c r="A166" s="167" t="s">
        <v>15</v>
      </c>
      <c r="B166" s="317"/>
      <c r="C166" s="317"/>
      <c r="D166" s="317"/>
      <c r="E166" s="318" t="s">
        <v>287</v>
      </c>
      <c r="H166" s="317"/>
    </row>
    <row r="167" spans="1:10" x14ac:dyDescent="0.2">
      <c r="A167" s="319" t="s">
        <v>239</v>
      </c>
      <c r="B167" s="320">
        <v>2015</v>
      </c>
      <c r="C167" s="320">
        <v>2016</v>
      </c>
      <c r="D167" s="320">
        <v>2017</v>
      </c>
      <c r="E167" s="320">
        <v>2018</v>
      </c>
      <c r="F167" s="321">
        <v>2019</v>
      </c>
      <c r="G167" s="254"/>
      <c r="H167" s="254"/>
    </row>
    <row r="168" spans="1:10" x14ac:dyDescent="0.2">
      <c r="A168" s="322" t="s">
        <v>116</v>
      </c>
      <c r="B168" s="323">
        <f>+F47</f>
        <v>123350.52364531919</v>
      </c>
      <c r="C168" s="323">
        <f>+G47</f>
        <v>141211.6794691614</v>
      </c>
      <c r="D168" s="323">
        <f>+H47</f>
        <v>161659.13065629598</v>
      </c>
      <c r="E168" s="323">
        <f>+I47</f>
        <v>185067.37277532765</v>
      </c>
      <c r="F168" s="324">
        <f>+J47</f>
        <v>211865.12835319509</v>
      </c>
      <c r="G168" s="325"/>
      <c r="H168" s="325"/>
      <c r="I168" s="165"/>
      <c r="J168" s="165"/>
    </row>
    <row r="169" spans="1:10" x14ac:dyDescent="0.2">
      <c r="A169" s="326" t="s">
        <v>240</v>
      </c>
      <c r="B169" s="176">
        <f t="shared" ref="B169:F170" si="58">F48</f>
        <v>74010.314187191514</v>
      </c>
      <c r="C169" s="176">
        <f t="shared" si="58"/>
        <v>84727.007681496834</v>
      </c>
      <c r="D169" s="176">
        <f t="shared" si="58"/>
        <v>96995.478393777579</v>
      </c>
      <c r="E169" s="176">
        <f t="shared" si="58"/>
        <v>111040.42366519659</v>
      </c>
      <c r="F169" s="327">
        <f t="shared" si="58"/>
        <v>127119.07701191705</v>
      </c>
      <c r="G169" s="257"/>
      <c r="H169" s="257"/>
      <c r="I169" s="165"/>
      <c r="J169" s="165"/>
    </row>
    <row r="170" spans="1:10" x14ac:dyDescent="0.2">
      <c r="A170" s="328" t="s">
        <v>241</v>
      </c>
      <c r="B170" s="132">
        <f t="shared" si="58"/>
        <v>2985.8704384371467</v>
      </c>
      <c r="C170" s="132">
        <f t="shared" si="58"/>
        <v>4955.8704384371467</v>
      </c>
      <c r="D170" s="132">
        <f t="shared" si="58"/>
        <v>4955.8704384371467</v>
      </c>
      <c r="E170" s="132">
        <f t="shared" si="58"/>
        <v>4955.8704384371467</v>
      </c>
      <c r="F170" s="329">
        <f t="shared" si="58"/>
        <v>4955.8704384371467</v>
      </c>
      <c r="G170" s="257"/>
      <c r="H170" s="257"/>
      <c r="I170" s="165"/>
      <c r="J170" s="165"/>
    </row>
    <row r="171" spans="1:10" x14ac:dyDescent="0.2">
      <c r="A171" s="330" t="s">
        <v>242</v>
      </c>
      <c r="B171" s="135">
        <f>+B168-B169-B170</f>
        <v>46354.339019690531</v>
      </c>
      <c r="C171" s="135">
        <f>+C168-C169-C170</f>
        <v>51528.801349227426</v>
      </c>
      <c r="D171" s="135">
        <f>+D168-D169-D170</f>
        <v>59707.781824081256</v>
      </c>
      <c r="E171" s="135">
        <f>+E168-E169-E170</f>
        <v>69071.078671693904</v>
      </c>
      <c r="F171" s="135">
        <f t="shared" ref="F171" si="59">+F168-F169-F170</f>
        <v>79790.18090284089</v>
      </c>
      <c r="G171" s="325"/>
      <c r="H171" s="325"/>
      <c r="I171" s="165"/>
      <c r="J171" s="165"/>
    </row>
    <row r="172" spans="1:10" x14ac:dyDescent="0.2">
      <c r="A172" s="331"/>
      <c r="B172" s="132"/>
      <c r="C172" s="154"/>
      <c r="D172" s="154"/>
      <c r="E172" s="132"/>
      <c r="F172" s="329"/>
      <c r="G172" s="257"/>
      <c r="H172" s="257"/>
      <c r="I172" s="165"/>
      <c r="J172" s="165"/>
    </row>
    <row r="173" spans="1:10" x14ac:dyDescent="0.2">
      <c r="A173" s="332" t="s">
        <v>243</v>
      </c>
      <c r="B173" s="176">
        <f t="shared" ref="B173:F175" si="60">F52</f>
        <v>14192.26879213</v>
      </c>
      <c r="C173" s="176">
        <f t="shared" si="60"/>
        <v>14632.22912468603</v>
      </c>
      <c r="D173" s="176">
        <f t="shared" si="60"/>
        <v>15056.563769301923</v>
      </c>
      <c r="E173" s="176">
        <f t="shared" si="60"/>
        <v>15523.317246150282</v>
      </c>
      <c r="F173" s="176">
        <f t="shared" si="60"/>
        <v>15989.01676353479</v>
      </c>
      <c r="G173" s="257"/>
      <c r="H173" s="257"/>
      <c r="I173" s="165"/>
      <c r="J173" s="165"/>
    </row>
    <row r="174" spans="1:10" x14ac:dyDescent="0.2">
      <c r="A174" s="333" t="s">
        <v>21</v>
      </c>
      <c r="B174" s="176">
        <f t="shared" si="60"/>
        <v>8264.4850842363867</v>
      </c>
      <c r="C174" s="176">
        <f t="shared" si="60"/>
        <v>9461.1825244338143</v>
      </c>
      <c r="D174" s="176">
        <f t="shared" si="60"/>
        <v>10831.161753971832</v>
      </c>
      <c r="E174" s="176">
        <f t="shared" si="60"/>
        <v>12399.513975946953</v>
      </c>
      <c r="F174" s="176">
        <f t="shared" si="60"/>
        <v>14194.963599664072</v>
      </c>
      <c r="G174" s="257"/>
      <c r="H174" s="257"/>
      <c r="I174" s="311"/>
      <c r="J174" s="165"/>
    </row>
    <row r="175" spans="1:10" x14ac:dyDescent="0.2">
      <c r="A175" s="173" t="s">
        <v>245</v>
      </c>
      <c r="B175" s="132">
        <f t="shared" si="60"/>
        <v>933.4099342061013</v>
      </c>
      <c r="C175" s="132">
        <f t="shared" si="60"/>
        <v>1263.4099342061013</v>
      </c>
      <c r="D175" s="132">
        <f t="shared" si="60"/>
        <v>1263.4099342061013</v>
      </c>
      <c r="E175" s="132">
        <f t="shared" si="60"/>
        <v>1263.4099342061013</v>
      </c>
      <c r="F175" s="132">
        <f t="shared" si="60"/>
        <v>1263.4099342061013</v>
      </c>
      <c r="G175" s="257"/>
      <c r="H175" s="257"/>
      <c r="I175" s="165"/>
      <c r="J175" s="165"/>
    </row>
    <row r="176" spans="1:10" x14ac:dyDescent="0.2">
      <c r="A176" s="334" t="s">
        <v>246</v>
      </c>
      <c r="B176" s="135">
        <f>SUM(B173:B175)</f>
        <v>23390.163810572489</v>
      </c>
      <c r="C176" s="135">
        <f t="shared" ref="C176:F176" si="61">SUM(C173:C175)</f>
        <v>25356.821583325946</v>
      </c>
      <c r="D176" s="135">
        <f t="shared" si="61"/>
        <v>27151.135457479857</v>
      </c>
      <c r="E176" s="135">
        <f t="shared" si="61"/>
        <v>29186.241156303338</v>
      </c>
      <c r="F176" s="135">
        <f t="shared" si="61"/>
        <v>31447.390297404963</v>
      </c>
      <c r="G176" s="257"/>
      <c r="H176" s="257"/>
      <c r="I176" s="165"/>
      <c r="J176" s="165"/>
    </row>
    <row r="177" spans="1:10" x14ac:dyDescent="0.2">
      <c r="A177" s="328"/>
      <c r="B177" s="132"/>
      <c r="C177" s="132"/>
      <c r="D177" s="132"/>
      <c r="E177" s="132"/>
      <c r="F177" s="329"/>
      <c r="G177" s="257"/>
      <c r="H177" s="257"/>
      <c r="I177" s="165"/>
      <c r="J177" s="165"/>
    </row>
    <row r="178" spans="1:10" x14ac:dyDescent="0.2">
      <c r="A178" s="330" t="s">
        <v>247</v>
      </c>
      <c r="B178" s="135">
        <f>+B171-B176</f>
        <v>22964.175209118042</v>
      </c>
      <c r="C178" s="135">
        <f t="shared" ref="C178:F178" si="62">+C171-C176</f>
        <v>26171.97976590148</v>
      </c>
      <c r="D178" s="135">
        <f t="shared" si="62"/>
        <v>32556.646366601399</v>
      </c>
      <c r="E178" s="135">
        <f t="shared" si="62"/>
        <v>39884.837515390565</v>
      </c>
      <c r="F178" s="135">
        <f t="shared" si="62"/>
        <v>48342.790605435926</v>
      </c>
      <c r="G178" s="325"/>
      <c r="H178" s="325"/>
      <c r="I178" s="165"/>
      <c r="J178" s="165"/>
    </row>
    <row r="179" spans="1:10" x14ac:dyDescent="0.2">
      <c r="A179" s="334"/>
      <c r="B179" s="135"/>
      <c r="C179" s="135"/>
      <c r="D179" s="335"/>
      <c r="E179" s="335"/>
      <c r="F179" s="336"/>
      <c r="G179" s="257"/>
      <c r="H179" s="257"/>
      <c r="I179" s="165"/>
      <c r="J179" s="165"/>
    </row>
    <row r="180" spans="1:10" x14ac:dyDescent="0.2">
      <c r="A180" s="332" t="s">
        <v>248</v>
      </c>
      <c r="B180" s="176">
        <f t="shared" ref="B180:F182" si="63">F59</f>
        <v>8630.9530360000008</v>
      </c>
      <c r="C180" s="176">
        <f t="shared" si="63"/>
        <v>9390.2983644320902</v>
      </c>
      <c r="D180" s="176">
        <f t="shared" si="63"/>
        <v>8782.8986386643919</v>
      </c>
      <c r="E180" s="176">
        <f t="shared" si="63"/>
        <v>8114.8401160238209</v>
      </c>
      <c r="F180" s="176">
        <f t="shared" si="63"/>
        <v>7344.0983848157457</v>
      </c>
      <c r="G180" s="325"/>
      <c r="H180" s="325"/>
      <c r="I180" s="165"/>
      <c r="J180" s="165"/>
    </row>
    <row r="181" spans="1:10" x14ac:dyDescent="0.2">
      <c r="A181" s="175" t="s">
        <v>249</v>
      </c>
      <c r="B181" s="176">
        <f t="shared" si="63"/>
        <v>2467.0104729063837</v>
      </c>
      <c r="C181" s="176">
        <f t="shared" si="63"/>
        <v>2824.2335893832283</v>
      </c>
      <c r="D181" s="176">
        <f t="shared" si="63"/>
        <v>3233.1826131259195</v>
      </c>
      <c r="E181" s="176">
        <f t="shared" si="63"/>
        <v>3701.3474555065532</v>
      </c>
      <c r="F181" s="176">
        <f t="shared" si="63"/>
        <v>4237.3025670639017</v>
      </c>
      <c r="G181" s="337"/>
      <c r="H181" s="337"/>
      <c r="I181" s="165"/>
      <c r="J181" s="165"/>
    </row>
    <row r="182" spans="1:10" x14ac:dyDescent="0.2">
      <c r="A182" s="175" t="s">
        <v>250</v>
      </c>
      <c r="B182" s="176">
        <f t="shared" si="63"/>
        <v>123.3505236453192</v>
      </c>
      <c r="C182" s="176">
        <f t="shared" si="63"/>
        <v>141.2116794691614</v>
      </c>
      <c r="D182" s="176">
        <f t="shared" si="63"/>
        <v>161.65913065629599</v>
      </c>
      <c r="E182" s="176">
        <f t="shared" si="63"/>
        <v>185.06737277532764</v>
      </c>
      <c r="F182" s="176">
        <f t="shared" si="63"/>
        <v>211.8651283531951</v>
      </c>
      <c r="G182" s="257"/>
      <c r="H182" s="257"/>
      <c r="I182" s="165"/>
      <c r="J182" s="165"/>
    </row>
    <row r="183" spans="1:10" x14ac:dyDescent="0.2">
      <c r="A183" s="334" t="s">
        <v>251</v>
      </c>
      <c r="B183" s="135">
        <f>+B180+B181-B182</f>
        <v>10974.612985261067</v>
      </c>
      <c r="C183" s="135">
        <f t="shared" ref="C183:F183" si="64">+C180+C181-C182</f>
        <v>12073.320274346157</v>
      </c>
      <c r="D183" s="135">
        <f t="shared" si="64"/>
        <v>11854.422121134014</v>
      </c>
      <c r="E183" s="135">
        <f t="shared" si="64"/>
        <v>11631.120198755047</v>
      </c>
      <c r="F183" s="135">
        <f t="shared" si="64"/>
        <v>11369.535823526454</v>
      </c>
      <c r="G183" s="257"/>
      <c r="H183" s="257"/>
      <c r="I183" s="165"/>
      <c r="J183" s="165"/>
    </row>
    <row r="184" spans="1:10" x14ac:dyDescent="0.2">
      <c r="A184" s="328"/>
      <c r="B184" s="338">
        <f>D63</f>
        <v>0</v>
      </c>
      <c r="C184" s="338">
        <f>E63</f>
        <v>0</v>
      </c>
      <c r="D184" s="338"/>
      <c r="E184" s="338"/>
      <c r="F184" s="339"/>
      <c r="G184" s="257"/>
      <c r="H184" s="257"/>
      <c r="I184" s="165"/>
      <c r="J184" s="165"/>
    </row>
    <row r="185" spans="1:10" x14ac:dyDescent="0.2">
      <c r="A185" s="330" t="s">
        <v>252</v>
      </c>
      <c r="B185" s="135">
        <f>+B178-B183</f>
        <v>11989.562223856976</v>
      </c>
      <c r="C185" s="135">
        <f t="shared" ref="C185:F185" si="65">+C178-C183</f>
        <v>14098.659491555323</v>
      </c>
      <c r="D185" s="135">
        <f t="shared" si="65"/>
        <v>20702.224245467383</v>
      </c>
      <c r="E185" s="135">
        <f t="shared" si="65"/>
        <v>28253.717316635521</v>
      </c>
      <c r="F185" s="135">
        <f t="shared" si="65"/>
        <v>36973.254781909476</v>
      </c>
      <c r="G185" s="325"/>
      <c r="H185" s="325"/>
      <c r="I185" s="165"/>
      <c r="J185" s="165"/>
    </row>
    <row r="186" spans="1:10" x14ac:dyDescent="0.2">
      <c r="A186" s="340" t="s">
        <v>253</v>
      </c>
      <c r="B186" s="176">
        <f>F65</f>
        <v>4076.4511561113723</v>
      </c>
      <c r="C186" s="176">
        <f>G65</f>
        <v>4793.5442271288102</v>
      </c>
      <c r="D186" s="176">
        <f>H65</f>
        <v>7038.7562434589108</v>
      </c>
      <c r="E186" s="176">
        <f>I65</f>
        <v>9606.2638876560777</v>
      </c>
      <c r="F186" s="176">
        <f>J65</f>
        <v>12570.906625849222</v>
      </c>
      <c r="G186" s="341"/>
      <c r="H186" s="341"/>
      <c r="I186" s="165"/>
      <c r="J186" s="165"/>
    </row>
    <row r="187" spans="1:10" ht="12" thickBot="1" x14ac:dyDescent="0.25">
      <c r="A187" s="342" t="s">
        <v>254</v>
      </c>
      <c r="B187" s="179">
        <f>+B185-B186</f>
        <v>7913.1110677456036</v>
      </c>
      <c r="C187" s="179">
        <f t="shared" ref="C187:F187" si="66">+C185-C186</f>
        <v>9305.115264426513</v>
      </c>
      <c r="D187" s="179">
        <f t="shared" si="66"/>
        <v>13663.468002008472</v>
      </c>
      <c r="E187" s="179">
        <f t="shared" si="66"/>
        <v>18647.453428979443</v>
      </c>
      <c r="F187" s="179">
        <f t="shared" si="66"/>
        <v>24402.348156060252</v>
      </c>
      <c r="G187" s="325"/>
      <c r="H187" s="325"/>
      <c r="I187" s="165"/>
      <c r="J187" s="165"/>
    </row>
    <row r="188" spans="1:10" ht="12" thickTop="1" x14ac:dyDescent="0.2">
      <c r="A188" s="343"/>
      <c r="B188" s="120"/>
      <c r="C188" s="120"/>
      <c r="D188" s="118"/>
      <c r="E188" s="118"/>
      <c r="F188" s="206"/>
      <c r="G188" s="257"/>
      <c r="H188" s="257"/>
      <c r="I188" s="165"/>
      <c r="J188" s="165"/>
    </row>
    <row r="189" spans="1:10" x14ac:dyDescent="0.2">
      <c r="A189" s="344" t="s">
        <v>325</v>
      </c>
      <c r="B189" s="345">
        <f>B185*1000000/C152</f>
        <v>12110.668912986845</v>
      </c>
      <c r="C189" s="346">
        <f>C187*1000000/C152</f>
        <v>9399.1063277035501</v>
      </c>
      <c r="D189" s="346">
        <f>D187*1000000/D152</f>
        <v>13801.482830311588</v>
      </c>
      <c r="E189" s="346">
        <f>E187*1000000/E152</f>
        <v>18835.811544423679</v>
      </c>
      <c r="F189" s="347">
        <f>F187*1000000/F152</f>
        <v>24648.836521272984</v>
      </c>
      <c r="G189" s="325"/>
      <c r="H189" s="325"/>
      <c r="I189" s="165"/>
      <c r="J189" s="165"/>
    </row>
    <row r="190" spans="1:10" ht="12" thickBot="1" x14ac:dyDescent="0.25">
      <c r="A190" s="348" t="s">
        <v>326</v>
      </c>
      <c r="B190" s="349">
        <f>B187/B168</f>
        <v>6.4151418525784945E-2</v>
      </c>
      <c r="C190" s="349">
        <f>C187/C168</f>
        <v>6.5894799207870169E-2</v>
      </c>
      <c r="D190" s="349">
        <f>D187/D168</f>
        <v>8.4520236787975919E-2</v>
      </c>
      <c r="E190" s="349">
        <f>E187/E168</f>
        <v>0.10076035094320762</v>
      </c>
      <c r="F190" s="350">
        <f>F187/F168</f>
        <v>0.11517869101789939</v>
      </c>
      <c r="G190" s="351"/>
      <c r="H190" s="351"/>
    </row>
    <row r="191" spans="1:10" x14ac:dyDescent="0.2">
      <c r="G191" s="352"/>
      <c r="H191" s="352"/>
      <c r="I191" s="165"/>
      <c r="J191" s="165"/>
    </row>
    <row r="192" spans="1:10" x14ac:dyDescent="0.2">
      <c r="G192" s="337"/>
      <c r="H192" s="337"/>
      <c r="I192" s="165"/>
      <c r="J192" s="165"/>
    </row>
    <row r="195" spans="1:14" x14ac:dyDescent="0.2">
      <c r="A195" s="353" t="s">
        <v>327</v>
      </c>
      <c r="B195" s="120"/>
      <c r="C195" s="354"/>
      <c r="D195" s="120"/>
      <c r="E195" s="120"/>
      <c r="F195" s="120"/>
      <c r="H195" s="120"/>
      <c r="I195" s="120"/>
    </row>
    <row r="196" spans="1:14" ht="12" thickBot="1" x14ac:dyDescent="0.25">
      <c r="A196" s="355" t="s">
        <v>210</v>
      </c>
      <c r="B196" s="355"/>
      <c r="C196" s="356"/>
      <c r="D196" s="355"/>
      <c r="E196" s="357" t="s">
        <v>287</v>
      </c>
      <c r="F196" s="355"/>
      <c r="G196" s="355"/>
      <c r="H196" s="355"/>
      <c r="I196" s="120"/>
    </row>
    <row r="197" spans="1:14" x14ac:dyDescent="0.2">
      <c r="A197" s="358" t="s">
        <v>209</v>
      </c>
      <c r="B197" s="320">
        <v>2015</v>
      </c>
      <c r="C197" s="320">
        <v>2016</v>
      </c>
      <c r="D197" s="320">
        <v>2017</v>
      </c>
      <c r="E197" s="320">
        <v>2018</v>
      </c>
      <c r="F197" s="321">
        <v>2019</v>
      </c>
      <c r="G197" s="254"/>
      <c r="H197" s="254"/>
    </row>
    <row r="198" spans="1:14" x14ac:dyDescent="0.2">
      <c r="A198" s="359" t="s">
        <v>71</v>
      </c>
      <c r="B198" s="176">
        <f t="shared" ref="B198:F200" si="67">F6</f>
        <v>5161.4080497998802</v>
      </c>
      <c r="C198" s="176">
        <f t="shared" si="67"/>
        <v>14119.162420195731</v>
      </c>
      <c r="D198" s="176">
        <f t="shared" si="67"/>
        <v>28183.569056832377</v>
      </c>
      <c r="E198" s="176">
        <f t="shared" si="67"/>
        <v>46688.812163539958</v>
      </c>
      <c r="F198" s="176">
        <f t="shared" si="67"/>
        <v>70349.375796193955</v>
      </c>
      <c r="G198" s="257"/>
      <c r="H198" s="257"/>
      <c r="J198" s="115"/>
    </row>
    <row r="199" spans="1:14" x14ac:dyDescent="0.2">
      <c r="A199" s="359" t="s">
        <v>211</v>
      </c>
      <c r="B199" s="176">
        <f t="shared" si="67"/>
        <v>0</v>
      </c>
      <c r="C199" s="176">
        <f t="shared" si="67"/>
        <v>0</v>
      </c>
      <c r="D199" s="176">
        <f t="shared" si="67"/>
        <v>0</v>
      </c>
      <c r="E199" s="176">
        <f t="shared" si="67"/>
        <v>0</v>
      </c>
      <c r="F199" s="176">
        <f t="shared" si="67"/>
        <v>108</v>
      </c>
      <c r="G199" s="257"/>
      <c r="H199" s="257"/>
      <c r="J199" s="115"/>
    </row>
    <row r="200" spans="1:14" x14ac:dyDescent="0.2">
      <c r="A200" s="359" t="s">
        <v>212</v>
      </c>
      <c r="B200" s="176">
        <f t="shared" si="67"/>
        <v>20558.420607553198</v>
      </c>
      <c r="C200" s="176">
        <f t="shared" si="67"/>
        <v>23535.279911526901</v>
      </c>
      <c r="D200" s="176">
        <f t="shared" si="67"/>
        <v>26943.188442715997</v>
      </c>
      <c r="E200" s="176">
        <f t="shared" si="67"/>
        <v>30844.562129221275</v>
      </c>
      <c r="F200" s="176">
        <f t="shared" si="67"/>
        <v>35310.854725532517</v>
      </c>
      <c r="G200" s="257"/>
      <c r="H200" s="257"/>
    </row>
    <row r="201" spans="1:14" x14ac:dyDescent="0.2">
      <c r="A201" s="360" t="s">
        <v>213</v>
      </c>
      <c r="B201" s="135">
        <f>SUM(B198:B200)</f>
        <v>25719.828657353079</v>
      </c>
      <c r="C201" s="135">
        <f t="shared" ref="C201:F201" si="68">SUM(C198:C200)</f>
        <v>37654.442331722632</v>
      </c>
      <c r="D201" s="135">
        <f>SUM(D198:D200)</f>
        <v>55126.757499548374</v>
      </c>
      <c r="E201" s="135">
        <f>SUM(E198:E200)</f>
        <v>77533.374292761233</v>
      </c>
      <c r="F201" s="135">
        <f t="shared" si="68"/>
        <v>105768.23052172648</v>
      </c>
      <c r="G201" s="325"/>
      <c r="H201" s="325"/>
    </row>
    <row r="202" spans="1:14" x14ac:dyDescent="0.2">
      <c r="A202" s="360"/>
      <c r="B202" s="135"/>
      <c r="C202" s="135"/>
      <c r="D202" s="135"/>
      <c r="E202" s="135"/>
      <c r="F202" s="361"/>
      <c r="G202" s="325"/>
      <c r="H202" s="325"/>
    </row>
    <row r="203" spans="1:14" x14ac:dyDescent="0.2">
      <c r="A203" s="362" t="s">
        <v>214</v>
      </c>
      <c r="B203" s="132">
        <f t="shared" ref="B203:F204" si="69">+F12</f>
        <v>164753.16439600001</v>
      </c>
      <c r="C203" s="132">
        <f t="shared" si="69"/>
        <v>164753.16439600001</v>
      </c>
      <c r="D203" s="132">
        <f t="shared" si="69"/>
        <v>164753.16439600001</v>
      </c>
      <c r="E203" s="132">
        <f t="shared" si="69"/>
        <v>164753.16439600001</v>
      </c>
      <c r="F203" s="132">
        <f t="shared" si="69"/>
        <v>164753.16439600001</v>
      </c>
      <c r="G203" s="257"/>
      <c r="H203" s="257"/>
    </row>
    <row r="204" spans="1:14" x14ac:dyDescent="0.2">
      <c r="A204" s="362" t="s">
        <v>215</v>
      </c>
      <c r="B204" s="132">
        <f t="shared" si="69"/>
        <v>-31509.08037264325</v>
      </c>
      <c r="C204" s="132">
        <f t="shared" si="69"/>
        <v>-37728.360745286496</v>
      </c>
      <c r="D204" s="132">
        <f t="shared" si="69"/>
        <v>-43947.641117929743</v>
      </c>
      <c r="E204" s="132">
        <f t="shared" si="69"/>
        <v>-50166.92149057299</v>
      </c>
      <c r="F204" s="132">
        <f t="shared" si="69"/>
        <v>-56386.201863216236</v>
      </c>
      <c r="G204" s="257"/>
      <c r="H204" s="257"/>
      <c r="J204" s="165"/>
      <c r="K204" s="165"/>
      <c r="L204" s="165"/>
      <c r="M204" s="165"/>
      <c r="N204" s="165"/>
    </row>
    <row r="205" spans="1:14" x14ac:dyDescent="0.2">
      <c r="A205" s="363" t="s">
        <v>216</v>
      </c>
      <c r="B205" s="135">
        <f>+B203+B204</f>
        <v>133244.08402335676</v>
      </c>
      <c r="C205" s="135">
        <f>+C203+C204</f>
        <v>127024.80365071351</v>
      </c>
      <c r="D205" s="135">
        <f>+D203+D204</f>
        <v>120805.52327807026</v>
      </c>
      <c r="E205" s="135">
        <f>+E203+E204</f>
        <v>114586.24290542702</v>
      </c>
      <c r="F205" s="135">
        <f>+F203+F204</f>
        <v>108366.96253278377</v>
      </c>
      <c r="G205" s="257"/>
      <c r="H205" s="257"/>
      <c r="J205" s="165"/>
      <c r="K205" s="165"/>
      <c r="L205" s="165"/>
      <c r="M205" s="165"/>
      <c r="N205" s="165"/>
    </row>
    <row r="206" spans="1:14" x14ac:dyDescent="0.2">
      <c r="A206" s="362" t="s">
        <v>328</v>
      </c>
      <c r="B206" s="138">
        <f>+F15</f>
        <v>5329.3424330000007</v>
      </c>
      <c r="C206" s="138">
        <f>+G15</f>
        <v>5329.3424330000007</v>
      </c>
      <c r="D206" s="138">
        <f>+H15</f>
        <v>5329.3424330000007</v>
      </c>
      <c r="E206" s="138">
        <f>+I15</f>
        <v>5329.3424330000007</v>
      </c>
      <c r="F206" s="138">
        <f>+J15</f>
        <v>5329.3424330000007</v>
      </c>
      <c r="G206" s="257"/>
      <c r="H206" s="257"/>
    </row>
    <row r="207" spans="1:14" x14ac:dyDescent="0.2">
      <c r="A207" s="363" t="s">
        <v>218</v>
      </c>
      <c r="B207" s="141">
        <f>+B205+B206</f>
        <v>138573.42645635677</v>
      </c>
      <c r="C207" s="141">
        <f t="shared" ref="C207:F207" si="70">+C205+C206</f>
        <v>132354.14608371351</v>
      </c>
      <c r="D207" s="141">
        <f t="shared" si="70"/>
        <v>126134.86571107026</v>
      </c>
      <c r="E207" s="141">
        <f t="shared" si="70"/>
        <v>119915.58533842702</v>
      </c>
      <c r="F207" s="141">
        <f t="shared" si="70"/>
        <v>113696.30496578377</v>
      </c>
      <c r="G207" s="325"/>
      <c r="H207" s="325"/>
    </row>
    <row r="208" spans="1:14" ht="12" thickBot="1" x14ac:dyDescent="0.25">
      <c r="A208" s="364" t="s">
        <v>219</v>
      </c>
      <c r="B208" s="365">
        <f>+B207+B201</f>
        <v>164293.25511370983</v>
      </c>
      <c r="C208" s="365">
        <f t="shared" ref="C208:F208" si="71">+C207+C201</f>
        <v>170008.58841543616</v>
      </c>
      <c r="D208" s="365">
        <f t="shared" si="71"/>
        <v>181261.62321061862</v>
      </c>
      <c r="E208" s="365">
        <f t="shared" si="71"/>
        <v>197448.95963118825</v>
      </c>
      <c r="F208" s="365">
        <f t="shared" si="71"/>
        <v>219464.53548751026</v>
      </c>
      <c r="G208" s="366"/>
      <c r="H208" s="366"/>
    </row>
    <row r="209" spans="1:14" s="120" customFormat="1" x14ac:dyDescent="0.2">
      <c r="A209" s="118"/>
      <c r="B209" s="118"/>
      <c r="C209" s="118"/>
      <c r="D209" s="118"/>
      <c r="E209" s="118"/>
      <c r="F209" s="118"/>
      <c r="G209" s="118"/>
      <c r="H209" s="121"/>
    </row>
    <row r="210" spans="1:14" ht="12" thickBot="1" x14ac:dyDescent="0.25">
      <c r="A210" s="355" t="s">
        <v>220</v>
      </c>
      <c r="B210" s="355"/>
      <c r="C210" s="355"/>
      <c r="D210" s="355"/>
      <c r="E210" s="355"/>
      <c r="F210" s="355"/>
      <c r="G210" s="355"/>
      <c r="H210" s="355"/>
    </row>
    <row r="211" spans="1:14" x14ac:dyDescent="0.2">
      <c r="A211" s="358" t="s">
        <v>209</v>
      </c>
      <c r="B211" s="320">
        <v>2015</v>
      </c>
      <c r="C211" s="320">
        <v>2016</v>
      </c>
      <c r="D211" s="320">
        <v>2017</v>
      </c>
      <c r="E211" s="320">
        <v>2018</v>
      </c>
      <c r="F211" s="321">
        <v>2019</v>
      </c>
      <c r="G211" s="254"/>
      <c r="H211" s="254"/>
    </row>
    <row r="212" spans="1:14" x14ac:dyDescent="0.2">
      <c r="A212" s="367" t="s">
        <v>221</v>
      </c>
      <c r="B212" s="148">
        <f>F20</f>
        <v>0</v>
      </c>
      <c r="C212" s="148">
        <f>G20</f>
        <v>0</v>
      </c>
      <c r="D212" s="148">
        <f>H20</f>
        <v>398</v>
      </c>
      <c r="E212" s="148">
        <f>I20</f>
        <v>1104</v>
      </c>
      <c r="F212" s="148">
        <f>J20</f>
        <v>72</v>
      </c>
      <c r="G212" s="257"/>
      <c r="H212" s="257"/>
    </row>
    <row r="213" spans="1:14" x14ac:dyDescent="0.2">
      <c r="A213" s="368" t="s">
        <v>222</v>
      </c>
      <c r="B213" s="151">
        <f t="shared" ref="B213:F216" si="72">+F21</f>
        <v>14099.903566101855</v>
      </c>
      <c r="C213" s="151">
        <f t="shared" si="72"/>
        <v>14707.303291869554</v>
      </c>
      <c r="D213" s="151">
        <f t="shared" si="72"/>
        <v>15375.361814510125</v>
      </c>
      <c r="E213" s="151">
        <f t="shared" si="72"/>
        <v>16146.103545718199</v>
      </c>
      <c r="F213" s="151">
        <f t="shared" si="72"/>
        <v>16918.331691720297</v>
      </c>
      <c r="G213" s="257"/>
      <c r="H213" s="257"/>
    </row>
    <row r="214" spans="1:14" x14ac:dyDescent="0.2">
      <c r="A214" s="369" t="s">
        <v>223</v>
      </c>
      <c r="B214" s="151">
        <f t="shared" si="72"/>
        <v>12335.052364531919</v>
      </c>
      <c r="C214" s="151">
        <f t="shared" si="72"/>
        <v>14121.167946916139</v>
      </c>
      <c r="D214" s="151">
        <f t="shared" si="72"/>
        <v>16165.913065629597</v>
      </c>
      <c r="E214" s="151">
        <f t="shared" si="72"/>
        <v>18506.737277532768</v>
      </c>
      <c r="F214" s="151">
        <f t="shared" si="72"/>
        <v>21186.512835319507</v>
      </c>
      <c r="G214" s="257"/>
      <c r="H214" s="257"/>
      <c r="J214" s="165"/>
      <c r="K214" s="165"/>
      <c r="L214" s="165"/>
      <c r="M214" s="165"/>
      <c r="N214" s="165"/>
    </row>
    <row r="215" spans="1:14" x14ac:dyDescent="0.2">
      <c r="A215" s="370" t="s">
        <v>224</v>
      </c>
      <c r="B215" s="151">
        <f t="shared" si="72"/>
        <v>4076.4511561113723</v>
      </c>
      <c r="C215" s="151">
        <f t="shared" si="72"/>
        <v>4793.5442271288102</v>
      </c>
      <c r="D215" s="151">
        <f t="shared" si="72"/>
        <v>7038.7562434589108</v>
      </c>
      <c r="E215" s="151">
        <f t="shared" si="72"/>
        <v>9606.2638876560777</v>
      </c>
      <c r="F215" s="151">
        <f t="shared" si="72"/>
        <v>12570.906625849222</v>
      </c>
      <c r="G215" s="257"/>
      <c r="H215" s="257"/>
      <c r="J215" s="165"/>
      <c r="K215" s="165"/>
      <c r="L215" s="165"/>
      <c r="M215" s="165"/>
      <c r="N215" s="165"/>
    </row>
    <row r="216" spans="1:14" x14ac:dyDescent="0.2">
      <c r="A216" s="370" t="s">
        <v>225</v>
      </c>
      <c r="B216" s="151">
        <f t="shared" si="72"/>
        <v>0</v>
      </c>
      <c r="C216" s="151">
        <f t="shared" si="72"/>
        <v>0</v>
      </c>
      <c r="D216" s="151">
        <f t="shared" si="72"/>
        <v>0</v>
      </c>
      <c r="E216" s="151">
        <f t="shared" si="72"/>
        <v>0</v>
      </c>
      <c r="F216" s="151">
        <f t="shared" si="72"/>
        <v>0</v>
      </c>
      <c r="G216" s="257"/>
      <c r="H216" s="257"/>
      <c r="J216" s="165"/>
      <c r="K216" s="165"/>
      <c r="L216" s="165"/>
      <c r="M216" s="165"/>
      <c r="N216" s="165"/>
    </row>
    <row r="217" spans="1:14" x14ac:dyDescent="0.2">
      <c r="A217" s="360" t="s">
        <v>226</v>
      </c>
      <c r="B217" s="135">
        <f>+SUM(B212:B216)</f>
        <v>30511.407086745148</v>
      </c>
      <c r="C217" s="135">
        <f t="shared" ref="C217:F217" si="73">+SUM(C212:C216)</f>
        <v>33622.015465914505</v>
      </c>
      <c r="D217" s="135">
        <f t="shared" si="73"/>
        <v>38978.03112359863</v>
      </c>
      <c r="E217" s="135">
        <f t="shared" si="73"/>
        <v>45363.10471090705</v>
      </c>
      <c r="F217" s="135">
        <f t="shared" si="73"/>
        <v>50747.751152889032</v>
      </c>
      <c r="G217" s="325"/>
      <c r="H217" s="325"/>
      <c r="J217" s="165"/>
      <c r="K217" s="165"/>
      <c r="L217" s="165"/>
      <c r="M217" s="165"/>
      <c r="N217" s="165"/>
    </row>
    <row r="218" spans="1:14" x14ac:dyDescent="0.2">
      <c r="A218" s="360"/>
      <c r="B218" s="135"/>
      <c r="C218" s="135"/>
      <c r="D218" s="135"/>
      <c r="E218" s="135"/>
      <c r="F218" s="361"/>
      <c r="G218" s="325"/>
      <c r="H218" s="325"/>
    </row>
    <row r="219" spans="1:14" x14ac:dyDescent="0.2">
      <c r="A219" s="368" t="s">
        <v>227</v>
      </c>
      <c r="B219" s="132">
        <f t="shared" ref="B219:F221" si="74">+F27</f>
        <v>80924.462668219043</v>
      </c>
      <c r="C219" s="132">
        <f t="shared" si="74"/>
        <v>74224.072326349487</v>
      </c>
      <c r="D219" s="132">
        <f t="shared" si="74"/>
        <v>66458.184248047852</v>
      </c>
      <c r="E219" s="132">
        <f t="shared" si="74"/>
        <v>57612.577924881771</v>
      </c>
      <c r="F219" s="132">
        <f t="shared" si="74"/>
        <v>49840.971344310805</v>
      </c>
      <c r="G219" s="257"/>
      <c r="H219" s="257"/>
      <c r="J219" s="165"/>
      <c r="K219" s="165"/>
      <c r="L219" s="165"/>
      <c r="M219" s="165"/>
      <c r="N219" s="165"/>
    </row>
    <row r="220" spans="1:14" x14ac:dyDescent="0.2">
      <c r="A220" s="368" t="s">
        <v>228</v>
      </c>
      <c r="B220" s="132">
        <f t="shared" si="74"/>
        <v>0</v>
      </c>
      <c r="C220" s="132">
        <f t="shared" si="74"/>
        <v>0</v>
      </c>
      <c r="D220" s="132">
        <f t="shared" si="74"/>
        <v>0</v>
      </c>
      <c r="E220" s="132">
        <f t="shared" si="74"/>
        <v>0</v>
      </c>
      <c r="F220" s="132">
        <f t="shared" si="74"/>
        <v>0</v>
      </c>
      <c r="G220" s="257"/>
      <c r="H220" s="257"/>
      <c r="J220" s="165"/>
      <c r="K220" s="165"/>
      <c r="L220" s="165"/>
      <c r="M220" s="165"/>
      <c r="N220" s="165"/>
    </row>
    <row r="221" spans="1:14" x14ac:dyDescent="0.2">
      <c r="A221" s="368" t="s">
        <v>229</v>
      </c>
      <c r="B221" s="132">
        <f t="shared" si="74"/>
        <v>0</v>
      </c>
      <c r="C221" s="132">
        <f t="shared" si="74"/>
        <v>0</v>
      </c>
      <c r="D221" s="132">
        <f t="shared" si="74"/>
        <v>0</v>
      </c>
      <c r="E221" s="132">
        <f t="shared" si="74"/>
        <v>0</v>
      </c>
      <c r="F221" s="132">
        <f t="shared" si="74"/>
        <v>0</v>
      </c>
      <c r="G221" s="257"/>
      <c r="H221" s="257"/>
      <c r="J221" s="165"/>
      <c r="K221" s="165"/>
      <c r="L221" s="165"/>
      <c r="M221" s="165"/>
      <c r="N221" s="165"/>
    </row>
    <row r="222" spans="1:14" x14ac:dyDescent="0.2">
      <c r="A222" s="371" t="s">
        <v>230</v>
      </c>
      <c r="B222" s="135">
        <f>SUM(B219+B220+B221)</f>
        <v>80924.462668219043</v>
      </c>
      <c r="C222" s="135">
        <f t="shared" ref="C222:F222" si="75">SUM(C219+C220+C221)</f>
        <v>74224.072326349487</v>
      </c>
      <c r="D222" s="135">
        <f t="shared" si="75"/>
        <v>66458.184248047852</v>
      </c>
      <c r="E222" s="135">
        <f t="shared" si="75"/>
        <v>57612.577924881771</v>
      </c>
      <c r="F222" s="135">
        <f t="shared" si="75"/>
        <v>49840.971344310805</v>
      </c>
      <c r="G222" s="257"/>
      <c r="H222" s="257"/>
      <c r="J222" s="165"/>
      <c r="K222" s="165"/>
      <c r="L222" s="165"/>
      <c r="M222" s="165"/>
      <c r="N222" s="165"/>
    </row>
    <row r="223" spans="1:14" x14ac:dyDescent="0.2">
      <c r="A223" s="360" t="s">
        <v>231</v>
      </c>
      <c r="B223" s="135">
        <f>+B217+B222</f>
        <v>111435.86975496419</v>
      </c>
      <c r="C223" s="135">
        <f t="shared" ref="C223:F223" si="76">+C217+C222</f>
        <v>107846.08779226399</v>
      </c>
      <c r="D223" s="135">
        <f t="shared" si="76"/>
        <v>105436.21537164648</v>
      </c>
      <c r="E223" s="135">
        <f t="shared" si="76"/>
        <v>102975.68263578882</v>
      </c>
      <c r="F223" s="135">
        <f t="shared" si="76"/>
        <v>100588.72249719984</v>
      </c>
      <c r="G223" s="325"/>
      <c r="H223" s="325"/>
    </row>
    <row r="224" spans="1:14" x14ac:dyDescent="0.2">
      <c r="A224" s="370"/>
      <c r="B224" s="131"/>
      <c r="C224" s="132"/>
      <c r="D224" s="132"/>
      <c r="E224" s="131"/>
      <c r="F224" s="372"/>
      <c r="G224" s="351"/>
      <c r="H224" s="351"/>
      <c r="J224" s="165"/>
      <c r="K224" s="165"/>
      <c r="L224" s="165"/>
      <c r="M224" s="165"/>
      <c r="N224" s="165"/>
    </row>
    <row r="225" spans="1:8" x14ac:dyDescent="0.2">
      <c r="A225" s="370" t="s">
        <v>105</v>
      </c>
      <c r="B225" s="132">
        <f t="shared" ref="B225:F228" si="77">+F34</f>
        <v>9900</v>
      </c>
      <c r="C225" s="132">
        <f t="shared" si="77"/>
        <v>9900</v>
      </c>
      <c r="D225" s="132">
        <f t="shared" si="77"/>
        <v>9900</v>
      </c>
      <c r="E225" s="132">
        <f t="shared" si="77"/>
        <v>9900</v>
      </c>
      <c r="F225" s="132">
        <f t="shared" si="77"/>
        <v>9900</v>
      </c>
      <c r="G225" s="257"/>
      <c r="H225" s="257"/>
    </row>
    <row r="226" spans="1:8" x14ac:dyDescent="0.2">
      <c r="A226" s="370" t="s">
        <v>232</v>
      </c>
      <c r="B226" s="132">
        <f t="shared" si="77"/>
        <v>6873.1178600000003</v>
      </c>
      <c r="C226" s="132">
        <f t="shared" si="77"/>
        <v>6873.1178600000003</v>
      </c>
      <c r="D226" s="132">
        <f t="shared" si="77"/>
        <v>6873.1178600000003</v>
      </c>
      <c r="E226" s="132">
        <f t="shared" si="77"/>
        <v>6873.1178600000003</v>
      </c>
      <c r="F226" s="132">
        <f t="shared" si="77"/>
        <v>6873.1178600000003</v>
      </c>
      <c r="G226" s="257"/>
      <c r="H226" s="257"/>
    </row>
    <row r="227" spans="1:8" x14ac:dyDescent="0.2">
      <c r="A227" s="370" t="s">
        <v>233</v>
      </c>
      <c r="B227" s="132">
        <f t="shared" si="77"/>
        <v>7913.1110677456036</v>
      </c>
      <c r="C227" s="132">
        <f t="shared" si="77"/>
        <v>9305.115264426513</v>
      </c>
      <c r="D227" s="132">
        <f t="shared" si="77"/>
        <v>13663.468002008472</v>
      </c>
      <c r="E227" s="132">
        <f t="shared" si="77"/>
        <v>18647.453428979443</v>
      </c>
      <c r="F227" s="132">
        <f t="shared" si="77"/>
        <v>24402.348156060252</v>
      </c>
      <c r="G227" s="257"/>
      <c r="H227" s="257"/>
    </row>
    <row r="228" spans="1:8" x14ac:dyDescent="0.2">
      <c r="A228" s="368" t="s">
        <v>234</v>
      </c>
      <c r="B228" s="132">
        <f t="shared" si="77"/>
        <v>28170.877567000007</v>
      </c>
      <c r="C228" s="132">
        <f t="shared" si="77"/>
        <v>36083.988634745612</v>
      </c>
      <c r="D228" s="132">
        <f t="shared" si="77"/>
        <v>45389.103899172129</v>
      </c>
      <c r="E228" s="132">
        <f t="shared" si="77"/>
        <v>59052.5719011806</v>
      </c>
      <c r="F228" s="132">
        <f t="shared" si="77"/>
        <v>77700.025330160046</v>
      </c>
      <c r="G228" s="257"/>
      <c r="H228" s="257"/>
    </row>
    <row r="229" spans="1:8" x14ac:dyDescent="0.2">
      <c r="A229" s="360" t="s">
        <v>235</v>
      </c>
      <c r="B229" s="135">
        <f>+SUM(B225:B228)</f>
        <v>52857.106494745603</v>
      </c>
      <c r="C229" s="135">
        <f>+SUM(C225:C228)</f>
        <v>62162.221759172127</v>
      </c>
      <c r="D229" s="135">
        <f>SUM(D225:D228)</f>
        <v>75825.689761180605</v>
      </c>
      <c r="E229" s="135">
        <f>SUM(E225:E228)</f>
        <v>94473.143190160044</v>
      </c>
      <c r="F229" s="361">
        <f>SUM(F225:F228)</f>
        <v>118875.4913462203</v>
      </c>
      <c r="G229" s="325"/>
      <c r="H229" s="325"/>
    </row>
    <row r="230" spans="1:8" x14ac:dyDescent="0.2">
      <c r="A230" s="370"/>
      <c r="B230" s="131"/>
      <c r="C230" s="132"/>
      <c r="D230" s="131"/>
      <c r="E230" s="131"/>
      <c r="F230" s="372"/>
      <c r="G230" s="351"/>
      <c r="H230" s="351"/>
    </row>
    <row r="231" spans="1:8" ht="12" thickBot="1" x14ac:dyDescent="0.25">
      <c r="A231" s="373" t="s">
        <v>236</v>
      </c>
      <c r="B231" s="365">
        <f>+B223+B229</f>
        <v>164292.97624970978</v>
      </c>
      <c r="C231" s="365">
        <f>+C223+C229</f>
        <v>170008.3095514361</v>
      </c>
      <c r="D231" s="365">
        <f>+D229+D223</f>
        <v>181261.90513282709</v>
      </c>
      <c r="E231" s="365">
        <f>+E229+E223</f>
        <v>197448.82582594885</v>
      </c>
      <c r="F231" s="374">
        <f>+F229+F223</f>
        <v>219464.21384342015</v>
      </c>
      <c r="G231" s="366"/>
      <c r="H231" s="366"/>
    </row>
    <row r="232" spans="1:8" x14ac:dyDescent="0.2">
      <c r="A232" s="160"/>
      <c r="B232" s="160"/>
      <c r="C232" s="161"/>
      <c r="D232" s="161"/>
      <c r="E232" s="161"/>
      <c r="F232" s="161"/>
      <c r="G232" s="161"/>
      <c r="H232" s="161"/>
    </row>
    <row r="233" spans="1:8" x14ac:dyDescent="0.2">
      <c r="A233" s="162" t="s">
        <v>237</v>
      </c>
      <c r="B233" s="163">
        <f>+B208-B231</f>
        <v>0.27886400005081668</v>
      </c>
      <c r="C233" s="163">
        <f>+C208-C231</f>
        <v>0.27886400005081668</v>
      </c>
      <c r="D233" s="163">
        <f>+D208-D231</f>
        <v>-0.28192220846540295</v>
      </c>
      <c r="E233" s="163">
        <f>+E208-E231</f>
        <v>0.13380523939849809</v>
      </c>
      <c r="F233" s="375">
        <f>+F208-F231</f>
        <v>0.32164409011602402</v>
      </c>
      <c r="G233" s="376"/>
      <c r="H233" s="376"/>
    </row>
    <row r="234" spans="1:8" x14ac:dyDescent="0.2">
      <c r="C234" s="165"/>
      <c r="D234" s="165"/>
      <c r="E234" s="165"/>
      <c r="F234" s="165"/>
      <c r="G234" s="377"/>
      <c r="H234" s="377"/>
    </row>
    <row r="235" spans="1:8" x14ac:dyDescent="0.2">
      <c r="C235" s="165"/>
      <c r="D235" s="165"/>
      <c r="E235" s="165"/>
      <c r="F235" s="165"/>
      <c r="G235" s="377"/>
      <c r="H235" s="377"/>
    </row>
    <row r="236" spans="1:8" x14ac:dyDescent="0.2">
      <c r="C236" s="165"/>
      <c r="D236" s="165"/>
      <c r="E236" s="165"/>
      <c r="F236" s="165"/>
      <c r="G236" s="165"/>
      <c r="H236" s="165"/>
    </row>
    <row r="237" spans="1:8" x14ac:dyDescent="0.2">
      <c r="C237" s="165"/>
      <c r="D237" s="165"/>
      <c r="E237" s="165"/>
      <c r="F237" s="165"/>
      <c r="G237" s="165"/>
      <c r="H237" s="165"/>
    </row>
    <row r="238" spans="1:8" x14ac:dyDescent="0.2">
      <c r="C238" s="165"/>
      <c r="D238" s="378"/>
      <c r="E238" s="378"/>
      <c r="F238" s="378"/>
      <c r="G238" s="378"/>
      <c r="H238" s="378"/>
    </row>
    <row r="239" spans="1:8" ht="12" thickBot="1" x14ac:dyDescent="0.25">
      <c r="A239" s="122" t="s">
        <v>329</v>
      </c>
      <c r="E239" s="647" t="s">
        <v>287</v>
      </c>
      <c r="F239" s="647"/>
    </row>
    <row r="240" spans="1:8" x14ac:dyDescent="0.2">
      <c r="A240" s="358" t="s">
        <v>209</v>
      </c>
      <c r="B240" s="320">
        <v>2015</v>
      </c>
      <c r="C240" s="320">
        <v>2016</v>
      </c>
      <c r="D240" s="320">
        <v>2017</v>
      </c>
      <c r="E240" s="320">
        <f>E197</f>
        <v>2018</v>
      </c>
      <c r="F240" s="321">
        <f>F197</f>
        <v>2019</v>
      </c>
      <c r="G240" s="254"/>
      <c r="H240" s="254"/>
    </row>
    <row r="241" spans="1:9" s="252" customFormat="1" x14ac:dyDescent="0.2">
      <c r="A241" s="379"/>
      <c r="B241" s="380"/>
      <c r="C241" s="380"/>
      <c r="D241" s="381"/>
      <c r="E241" s="381"/>
      <c r="F241" s="382"/>
      <c r="G241" s="383"/>
      <c r="H241" s="383"/>
    </row>
    <row r="242" spans="1:9" x14ac:dyDescent="0.2">
      <c r="A242" s="360" t="s">
        <v>330</v>
      </c>
      <c r="B242" s="135">
        <f>E6+E7</f>
        <v>1976.513113</v>
      </c>
      <c r="C242" s="135">
        <f>B273</f>
        <v>5161.4080497998802</v>
      </c>
      <c r="D242" s="135">
        <f t="shared" ref="D242:F242" si="78">C273</f>
        <v>14119.162420195731</v>
      </c>
      <c r="E242" s="135">
        <f t="shared" si="78"/>
        <v>28183.569056832377</v>
      </c>
      <c r="F242" s="135">
        <f t="shared" si="78"/>
        <v>46688.812163539958</v>
      </c>
      <c r="G242" s="325"/>
      <c r="H242" s="325"/>
      <c r="I242" s="165"/>
    </row>
    <row r="243" spans="1:9" s="252" customFormat="1" x14ac:dyDescent="0.2">
      <c r="A243" s="379"/>
      <c r="B243" s="381"/>
      <c r="C243" s="381"/>
      <c r="D243" s="381"/>
      <c r="E243" s="381"/>
      <c r="F243" s="382"/>
      <c r="G243" s="383"/>
      <c r="H243" s="383"/>
    </row>
    <row r="244" spans="1:9" x14ac:dyDescent="0.2">
      <c r="A244" s="360" t="s">
        <v>331</v>
      </c>
      <c r="B244" s="132"/>
      <c r="C244" s="131"/>
      <c r="D244" s="132"/>
      <c r="E244" s="131"/>
      <c r="F244" s="372"/>
      <c r="G244" s="351"/>
      <c r="H244" s="351"/>
    </row>
    <row r="245" spans="1:9" x14ac:dyDescent="0.2">
      <c r="A245" s="384" t="s">
        <v>332</v>
      </c>
      <c r="B245" s="154">
        <f>+D125</f>
        <v>102792.10303776599</v>
      </c>
      <c r="C245" s="154">
        <f t="shared" ref="C245:F246" si="79">+E125</f>
        <v>117676.3995576345</v>
      </c>
      <c r="D245" s="154">
        <f t="shared" si="79"/>
        <v>134715.94221357998</v>
      </c>
      <c r="E245" s="154">
        <f t="shared" si="79"/>
        <v>154222.81064610637</v>
      </c>
      <c r="F245" s="154">
        <f t="shared" si="79"/>
        <v>176554.27362766257</v>
      </c>
      <c r="G245" s="257"/>
      <c r="H245" s="257"/>
    </row>
    <row r="246" spans="1:9" x14ac:dyDescent="0.2">
      <c r="A246" s="385" t="s">
        <v>333</v>
      </c>
      <c r="B246" s="154">
        <f>+D126</f>
        <v>27603.853652000002</v>
      </c>
      <c r="C246" s="154">
        <f t="shared" si="79"/>
        <v>20558.420607553198</v>
      </c>
      <c r="D246" s="154">
        <f t="shared" si="79"/>
        <v>23535.279911526901</v>
      </c>
      <c r="E246" s="154">
        <f t="shared" si="79"/>
        <v>26943.188442715997</v>
      </c>
      <c r="F246" s="154">
        <f t="shared" si="79"/>
        <v>30844.562129221275</v>
      </c>
      <c r="G246" s="257"/>
      <c r="H246" s="257"/>
      <c r="I246" s="165"/>
    </row>
    <row r="247" spans="1:9" x14ac:dyDescent="0.2">
      <c r="A247" s="385" t="s">
        <v>86</v>
      </c>
      <c r="B247" s="154">
        <f>+F61</f>
        <v>123.3505236453192</v>
      </c>
      <c r="C247" s="154">
        <f>+G61</f>
        <v>141.2116794691614</v>
      </c>
      <c r="D247" s="154">
        <f>+H61</f>
        <v>161.65913065629599</v>
      </c>
      <c r="E247" s="154">
        <f>+I61</f>
        <v>185.06737277532764</v>
      </c>
      <c r="F247" s="154">
        <f>+J61</f>
        <v>211.8651283531951</v>
      </c>
      <c r="G247" s="257"/>
      <c r="H247" s="257"/>
    </row>
    <row r="248" spans="1:9" x14ac:dyDescent="0.2">
      <c r="A248" s="384" t="s">
        <v>334</v>
      </c>
      <c r="B248" s="154">
        <f>+'[1]Servicio a la deuda '!C47+'[1]Servicio a la deuda '!C77</f>
        <v>20000</v>
      </c>
      <c r="C248" s="154">
        <v>0</v>
      </c>
      <c r="D248" s="154">
        <v>0</v>
      </c>
      <c r="E248" s="154">
        <v>0</v>
      </c>
      <c r="F248" s="386">
        <v>0</v>
      </c>
      <c r="G248" s="257"/>
      <c r="H248" s="257"/>
    </row>
    <row r="249" spans="1:9" x14ac:dyDescent="0.2">
      <c r="A249" s="385" t="s">
        <v>313</v>
      </c>
      <c r="B249" s="154">
        <f>B148</f>
        <v>0</v>
      </c>
      <c r="C249" s="154">
        <f>C148</f>
        <v>0</v>
      </c>
      <c r="D249" s="154">
        <f>D148</f>
        <v>0</v>
      </c>
      <c r="E249" s="154">
        <f>E148</f>
        <v>0</v>
      </c>
      <c r="F249" s="386">
        <f>F148</f>
        <v>0</v>
      </c>
      <c r="G249" s="257"/>
      <c r="H249" s="257"/>
    </row>
    <row r="250" spans="1:9" x14ac:dyDescent="0.2">
      <c r="A250" s="387" t="s">
        <v>335</v>
      </c>
      <c r="B250" s="345">
        <f>SUM(B245:B249)</f>
        <v>150519.30721341132</v>
      </c>
      <c r="C250" s="345">
        <f>SUM(C245:C249)</f>
        <v>138376.03184465686</v>
      </c>
      <c r="D250" s="345">
        <f>SUM(D245:D249)</f>
        <v>158412.8812557632</v>
      </c>
      <c r="E250" s="345">
        <f>SUM(E245:E249)</f>
        <v>181351.06646159769</v>
      </c>
      <c r="F250" s="388">
        <f>SUM(F245:F249)</f>
        <v>207610.70088523705</v>
      </c>
      <c r="G250" s="325"/>
      <c r="H250" s="325"/>
      <c r="I250" s="165"/>
    </row>
    <row r="251" spans="1:9" s="252" customFormat="1" x14ac:dyDescent="0.2">
      <c r="A251" s="389"/>
      <c r="B251" s="380"/>
      <c r="C251" s="380"/>
      <c r="D251" s="380"/>
      <c r="E251" s="380"/>
      <c r="F251" s="390"/>
      <c r="G251" s="383"/>
      <c r="H251" s="383"/>
    </row>
    <row r="252" spans="1:9" x14ac:dyDescent="0.2">
      <c r="A252" s="387" t="s">
        <v>336</v>
      </c>
      <c r="B252" s="345">
        <f>B242+B250</f>
        <v>152495.82032641131</v>
      </c>
      <c r="C252" s="345">
        <f>C242+C250</f>
        <v>143537.43989445674</v>
      </c>
      <c r="D252" s="345">
        <f>D242+D250</f>
        <v>172532.04367595894</v>
      </c>
      <c r="E252" s="345">
        <f>E242+E250</f>
        <v>209534.63551843006</v>
      </c>
      <c r="F252" s="388">
        <f>F242+F250</f>
        <v>254299.51304877701</v>
      </c>
      <c r="G252" s="325"/>
      <c r="H252" s="325"/>
      <c r="I252" s="165"/>
    </row>
    <row r="253" spans="1:9" s="252" customFormat="1" x14ac:dyDescent="0.2">
      <c r="A253" s="389"/>
      <c r="B253" s="380"/>
      <c r="C253" s="380"/>
      <c r="D253" s="380"/>
      <c r="E253" s="380"/>
      <c r="F253" s="390"/>
      <c r="G253" s="383"/>
      <c r="H253" s="383"/>
    </row>
    <row r="254" spans="1:9" x14ac:dyDescent="0.2">
      <c r="A254" s="387" t="s">
        <v>337</v>
      </c>
      <c r="B254" s="391"/>
      <c r="C254" s="391"/>
      <c r="D254" s="391"/>
      <c r="E254" s="391"/>
      <c r="F254" s="392"/>
      <c r="G254" s="351"/>
      <c r="H254" s="351"/>
    </row>
    <row r="255" spans="1:9" x14ac:dyDescent="0.2">
      <c r="A255" s="385" t="s">
        <v>338</v>
      </c>
      <c r="B255" s="154">
        <f>D135</f>
        <v>61675.261822659595</v>
      </c>
      <c r="C255" s="154">
        <f t="shared" ref="C255:F255" si="80">E135</f>
        <v>70605.839734580688</v>
      </c>
      <c r="D255" s="154">
        <f t="shared" si="80"/>
        <v>80829.56532814799</v>
      </c>
      <c r="E255" s="154">
        <f t="shared" si="80"/>
        <v>92533.686387663824</v>
      </c>
      <c r="F255" s="154">
        <f t="shared" si="80"/>
        <v>105932.56417659755</v>
      </c>
      <c r="G255" s="257"/>
      <c r="H255" s="257"/>
    </row>
    <row r="256" spans="1:9" x14ac:dyDescent="0.2">
      <c r="A256" s="385" t="s">
        <v>339</v>
      </c>
      <c r="B256" s="154">
        <f>+D136</f>
        <v>10598.536372</v>
      </c>
      <c r="C256" s="154">
        <f t="shared" ref="C256:F256" si="81">+E136</f>
        <v>12335.052364531919</v>
      </c>
      <c r="D256" s="154">
        <f t="shared" si="81"/>
        <v>14121.167946916139</v>
      </c>
      <c r="E256" s="154">
        <f t="shared" si="81"/>
        <v>16165.913065629597</v>
      </c>
      <c r="F256" s="154">
        <f t="shared" si="81"/>
        <v>18506.737277532768</v>
      </c>
      <c r="G256" s="257"/>
      <c r="H256" s="257"/>
    </row>
    <row r="257" spans="1:9" x14ac:dyDescent="0.2">
      <c r="A257" s="384" t="s">
        <v>20</v>
      </c>
      <c r="B257" s="154">
        <f t="shared" ref="B257:F258" si="82">B173</f>
        <v>14192.26879213</v>
      </c>
      <c r="C257" s="154">
        <f t="shared" si="82"/>
        <v>14632.22912468603</v>
      </c>
      <c r="D257" s="154">
        <f t="shared" si="82"/>
        <v>15056.563769301923</v>
      </c>
      <c r="E257" s="154">
        <f t="shared" si="82"/>
        <v>15523.317246150282</v>
      </c>
      <c r="F257" s="386">
        <f t="shared" si="82"/>
        <v>15989.01676353479</v>
      </c>
      <c r="G257" s="257"/>
      <c r="H257" s="257"/>
    </row>
    <row r="258" spans="1:9" x14ac:dyDescent="0.2">
      <c r="A258" s="384" t="s">
        <v>21</v>
      </c>
      <c r="B258" s="154">
        <f t="shared" si="82"/>
        <v>8264.4850842363867</v>
      </c>
      <c r="C258" s="154">
        <f t="shared" si="82"/>
        <v>9461.1825244338143</v>
      </c>
      <c r="D258" s="154">
        <f t="shared" si="82"/>
        <v>10831.161753971832</v>
      </c>
      <c r="E258" s="154">
        <f t="shared" si="82"/>
        <v>12399.513975946953</v>
      </c>
      <c r="F258" s="386">
        <f t="shared" si="82"/>
        <v>14194.963599664072</v>
      </c>
      <c r="G258" s="257"/>
      <c r="H258" s="257"/>
    </row>
    <row r="259" spans="1:9" x14ac:dyDescent="0.2">
      <c r="A259" s="385" t="s">
        <v>340</v>
      </c>
      <c r="B259" s="154">
        <v>28000</v>
      </c>
      <c r="C259" s="154">
        <v>0</v>
      </c>
      <c r="D259" s="154">
        <v>0</v>
      </c>
      <c r="E259" s="154">
        <v>0</v>
      </c>
      <c r="F259" s="386">
        <v>0</v>
      </c>
      <c r="G259" s="257"/>
      <c r="H259" s="257"/>
    </row>
    <row r="260" spans="1:9" x14ac:dyDescent="0.2">
      <c r="A260" s="385" t="s">
        <v>341</v>
      </c>
      <c r="B260" s="154">
        <f>'[1]Servicio a la deuda '!B113</f>
        <v>4486.5467156791101</v>
      </c>
      <c r="C260" s="154">
        <f>'[1]Servicio a la deuda '!C113</f>
        <v>6092.9906161018562</v>
      </c>
      <c r="D260" s="154">
        <f>'[1]Servicio a la deuda '!D113</f>
        <v>6700.3903418695536</v>
      </c>
      <c r="E260" s="154">
        <f>'[1]Servicio a la deuda '!E113</f>
        <v>7368.4488645101255</v>
      </c>
      <c r="F260" s="154">
        <f>'[1]Servicio a la deuda '!F113</f>
        <v>8139.1905957181998</v>
      </c>
      <c r="G260" s="257"/>
      <c r="H260" s="257"/>
    </row>
    <row r="261" spans="1:9" x14ac:dyDescent="0.2">
      <c r="A261" s="393" t="s">
        <v>342</v>
      </c>
      <c r="B261" s="154">
        <f>B180</f>
        <v>8630.9530360000008</v>
      </c>
      <c r="C261" s="154">
        <f>C180</f>
        <v>9390.2983644320902</v>
      </c>
      <c r="D261" s="154">
        <f>D180</f>
        <v>8782.8986386643919</v>
      </c>
      <c r="E261" s="154">
        <f>E180</f>
        <v>8114.8401160238209</v>
      </c>
      <c r="F261" s="386">
        <f>F180</f>
        <v>7344.0983848157457</v>
      </c>
      <c r="G261" s="257"/>
      <c r="H261" s="257"/>
      <c r="I261" s="165"/>
    </row>
    <row r="262" spans="1:9" x14ac:dyDescent="0.2">
      <c r="A262" s="393" t="s">
        <v>343</v>
      </c>
      <c r="B262" s="154">
        <f>F60</f>
        <v>2467.0104729063837</v>
      </c>
      <c r="C262" s="154">
        <f>G60</f>
        <v>2824.2335893832283</v>
      </c>
      <c r="D262" s="154">
        <f>H60</f>
        <v>3233.1826131259195</v>
      </c>
      <c r="E262" s="154">
        <f>I60</f>
        <v>3701.3474555065532</v>
      </c>
      <c r="F262" s="154">
        <f>J60</f>
        <v>4237.3025670639017</v>
      </c>
      <c r="G262" s="257"/>
      <c r="H262" s="257"/>
    </row>
    <row r="263" spans="1:9" x14ac:dyDescent="0.2">
      <c r="A263" s="385" t="s">
        <v>344</v>
      </c>
      <c r="B263" s="154">
        <f>+E23</f>
        <v>1834.2067890000001</v>
      </c>
      <c r="C263" s="154">
        <f>+F65</f>
        <v>4076.4511561113723</v>
      </c>
      <c r="D263" s="154">
        <f>+G65</f>
        <v>4793.5442271288102</v>
      </c>
      <c r="E263" s="154">
        <f>+H65</f>
        <v>7038.7562434589108</v>
      </c>
      <c r="F263" s="154">
        <f>+I65</f>
        <v>9606.2638876560777</v>
      </c>
      <c r="G263" s="257"/>
      <c r="H263" s="257"/>
    </row>
    <row r="264" spans="1:9" x14ac:dyDescent="0.2">
      <c r="A264" s="385" t="s">
        <v>345</v>
      </c>
      <c r="B264" s="154">
        <f>E24+E28</f>
        <v>4185.1431919999995</v>
      </c>
      <c r="C264" s="154">
        <f>F24</f>
        <v>0</v>
      </c>
      <c r="D264" s="154">
        <f>G24</f>
        <v>0</v>
      </c>
      <c r="E264" s="154">
        <f>H24</f>
        <v>0</v>
      </c>
      <c r="F264" s="154">
        <f>I24</f>
        <v>0</v>
      </c>
      <c r="G264" s="257"/>
      <c r="H264" s="257"/>
    </row>
    <row r="265" spans="1:9" x14ac:dyDescent="0.2">
      <c r="A265" s="385" t="s">
        <v>346</v>
      </c>
      <c r="B265" s="154">
        <f>E29</f>
        <v>3000</v>
      </c>
      <c r="C265" s="154">
        <f>F29</f>
        <v>0</v>
      </c>
      <c r="D265" s="154">
        <f>G29</f>
        <v>0</v>
      </c>
      <c r="E265" s="154">
        <f>H29</f>
        <v>0</v>
      </c>
      <c r="F265" s="154">
        <f>I29</f>
        <v>0</v>
      </c>
      <c r="G265" s="257"/>
      <c r="H265" s="257"/>
    </row>
    <row r="266" spans="1:9" x14ac:dyDescent="0.2">
      <c r="A266" s="387" t="s">
        <v>347</v>
      </c>
      <c r="B266" s="345">
        <f>SUM(B255:B265)</f>
        <v>147334.41227661143</v>
      </c>
      <c r="C266" s="345">
        <f>SUM(C255:C265)</f>
        <v>129418.27747426101</v>
      </c>
      <c r="D266" s="345">
        <f>SUM(D255:D265)</f>
        <v>144348.47461912656</v>
      </c>
      <c r="E266" s="345">
        <f>SUM(E255:E265)</f>
        <v>162845.8233548901</v>
      </c>
      <c r="F266" s="345">
        <f>SUM(F255:F265)</f>
        <v>183950.13725258305</v>
      </c>
      <c r="G266" s="325"/>
      <c r="H266" s="325"/>
    </row>
    <row r="267" spans="1:9" s="252" customFormat="1" x14ac:dyDescent="0.2">
      <c r="A267" s="389"/>
      <c r="B267" s="380"/>
      <c r="C267" s="380"/>
      <c r="D267" s="380"/>
      <c r="E267" s="380"/>
      <c r="F267" s="390"/>
      <c r="G267" s="383"/>
      <c r="H267" s="383"/>
    </row>
    <row r="268" spans="1:9" s="160" customFormat="1" x14ac:dyDescent="0.2">
      <c r="A268" s="394" t="s">
        <v>348</v>
      </c>
      <c r="B268" s="345">
        <f>B250-B266</f>
        <v>3184.8949367998866</v>
      </c>
      <c r="C268" s="345">
        <f>C250-C266</f>
        <v>8957.7543703958509</v>
      </c>
      <c r="D268" s="345">
        <f>D250-D266</f>
        <v>14064.406636636646</v>
      </c>
      <c r="E268" s="345">
        <f>E250-E266</f>
        <v>18505.243106707581</v>
      </c>
      <c r="F268" s="388">
        <f>F250-F266</f>
        <v>23660.563632653997</v>
      </c>
      <c r="G268" s="325"/>
      <c r="H268" s="325"/>
    </row>
    <row r="269" spans="1:9" s="252" customFormat="1" x14ac:dyDescent="0.2">
      <c r="A269" s="389"/>
      <c r="B269" s="380"/>
      <c r="C269" s="380"/>
      <c r="D269" s="380"/>
      <c r="E269" s="380"/>
      <c r="F269" s="390"/>
      <c r="G269" s="383"/>
      <c r="H269" s="383"/>
    </row>
    <row r="270" spans="1:9" s="160" customFormat="1" x14ac:dyDescent="0.2">
      <c r="A270" s="394" t="s">
        <v>349</v>
      </c>
      <c r="B270" s="345">
        <f>B252-B266</f>
        <v>5161.4080497998802</v>
      </c>
      <c r="C270" s="345">
        <f>C252-C266</f>
        <v>14119.162420195731</v>
      </c>
      <c r="D270" s="345">
        <f>D252-D266</f>
        <v>28183.569056832377</v>
      </c>
      <c r="E270" s="345">
        <f>E252-E266</f>
        <v>46688.812163539958</v>
      </c>
      <c r="F270" s="388">
        <f>F252-F266</f>
        <v>70349.375796193955</v>
      </c>
      <c r="G270" s="325"/>
      <c r="H270" s="325"/>
    </row>
    <row r="271" spans="1:9" s="252" customFormat="1" x14ac:dyDescent="0.2">
      <c r="A271" s="379"/>
      <c r="F271" s="395"/>
      <c r="G271" s="383"/>
      <c r="H271" s="383"/>
    </row>
    <row r="272" spans="1:9" s="252" customFormat="1" x14ac:dyDescent="0.2">
      <c r="A272" s="379"/>
      <c r="B272" s="381"/>
      <c r="C272" s="381"/>
      <c r="D272" s="381"/>
      <c r="E272" s="381"/>
      <c r="F272" s="382"/>
      <c r="G272" s="383"/>
      <c r="H272" s="383"/>
    </row>
    <row r="273" spans="1:11" x14ac:dyDescent="0.2">
      <c r="A273" s="396" t="s">
        <v>350</v>
      </c>
      <c r="B273" s="323">
        <f>+B270</f>
        <v>5161.4080497998802</v>
      </c>
      <c r="C273" s="323">
        <f>+C270</f>
        <v>14119.162420195731</v>
      </c>
      <c r="D273" s="323">
        <f t="shared" ref="D273:F273" si="83">+D270</f>
        <v>28183.569056832377</v>
      </c>
      <c r="E273" s="323">
        <f t="shared" si="83"/>
        <v>46688.812163539958</v>
      </c>
      <c r="F273" s="323">
        <f t="shared" si="83"/>
        <v>70349.375796193955</v>
      </c>
      <c r="G273" s="325"/>
      <c r="H273" s="325"/>
    </row>
    <row r="274" spans="1:11" x14ac:dyDescent="0.2">
      <c r="B274" s="165"/>
    </row>
    <row r="275" spans="1:11" x14ac:dyDescent="0.2">
      <c r="B275" s="165"/>
      <c r="C275" s="165"/>
      <c r="D275" s="165"/>
    </row>
    <row r="276" spans="1:11" x14ac:dyDescent="0.2">
      <c r="C276" s="165"/>
      <c r="D276" s="165"/>
      <c r="E276" s="165"/>
      <c r="F276" s="165"/>
      <c r="G276" s="165"/>
      <c r="H276" s="165"/>
    </row>
    <row r="277" spans="1:11" x14ac:dyDescent="0.2">
      <c r="A277" s="397" t="s">
        <v>351</v>
      </c>
      <c r="B277" s="398"/>
      <c r="C277" s="398"/>
      <c r="D277" s="398"/>
      <c r="E277" s="398"/>
      <c r="F277" s="398"/>
      <c r="G277" s="398"/>
    </row>
    <row r="278" spans="1:11" x14ac:dyDescent="0.2">
      <c r="A278" s="399" t="s">
        <v>381</v>
      </c>
      <c r="B278" s="400"/>
      <c r="C278" s="400"/>
      <c r="D278" s="165"/>
      <c r="E278" s="165"/>
      <c r="F278" s="165"/>
      <c r="G278" s="165"/>
    </row>
    <row r="279" spans="1:11" ht="12" thickBot="1" x14ac:dyDescent="0.25">
      <c r="A279" s="401"/>
      <c r="B279" s="400"/>
      <c r="C279" s="400"/>
      <c r="D279" s="165"/>
      <c r="E279" s="318" t="s">
        <v>287</v>
      </c>
    </row>
    <row r="280" spans="1:11" s="203" customFormat="1" x14ac:dyDescent="0.2">
      <c r="A280" s="402" t="s">
        <v>209</v>
      </c>
      <c r="B280" s="403">
        <f t="shared" ref="B280:F280" si="84">B211</f>
        <v>2015</v>
      </c>
      <c r="C280" s="320">
        <f t="shared" si="84"/>
        <v>2016</v>
      </c>
      <c r="D280" s="403">
        <f t="shared" si="84"/>
        <v>2017</v>
      </c>
      <c r="E280" s="403">
        <f t="shared" si="84"/>
        <v>2018</v>
      </c>
      <c r="F280" s="404">
        <f t="shared" si="84"/>
        <v>2019</v>
      </c>
      <c r="G280" s="405"/>
      <c r="H280" s="405"/>
    </row>
    <row r="281" spans="1:11" s="203" customFormat="1" x14ac:dyDescent="0.2">
      <c r="A281" s="406" t="s">
        <v>352</v>
      </c>
      <c r="B281" s="154">
        <f>B187</f>
        <v>7913.1110677456036</v>
      </c>
      <c r="C281" s="154">
        <f t="shared" ref="C281:F281" si="85">C187</f>
        <v>9305.115264426513</v>
      </c>
      <c r="D281" s="154">
        <f t="shared" si="85"/>
        <v>13663.468002008472</v>
      </c>
      <c r="E281" s="154">
        <f t="shared" si="85"/>
        <v>18647.453428979443</v>
      </c>
      <c r="F281" s="386">
        <f t="shared" si="85"/>
        <v>24402.348156060252</v>
      </c>
      <c r="G281" s="257"/>
      <c r="H281" s="257"/>
    </row>
    <row r="282" spans="1:11" s="203" customFormat="1" x14ac:dyDescent="0.2">
      <c r="A282" s="406" t="s">
        <v>353</v>
      </c>
      <c r="B282" s="154">
        <f>+B186</f>
        <v>4076.4511561113723</v>
      </c>
      <c r="C282" s="154">
        <f t="shared" ref="C282:F282" si="86">+C186</f>
        <v>4793.5442271288102</v>
      </c>
      <c r="D282" s="154">
        <f t="shared" si="86"/>
        <v>7038.7562434589108</v>
      </c>
      <c r="E282" s="154">
        <f t="shared" si="86"/>
        <v>9606.2638876560777</v>
      </c>
      <c r="F282" s="154">
        <f t="shared" si="86"/>
        <v>12570.906625849222</v>
      </c>
      <c r="G282" s="257"/>
      <c r="H282" s="257"/>
    </row>
    <row r="283" spans="1:11" s="203" customFormat="1" x14ac:dyDescent="0.2">
      <c r="A283" s="407" t="s">
        <v>354</v>
      </c>
      <c r="B283" s="154">
        <f>B180</f>
        <v>8630.9530360000008</v>
      </c>
      <c r="C283" s="154">
        <f t="shared" ref="C283:F283" si="87">C180</f>
        <v>9390.2983644320902</v>
      </c>
      <c r="D283" s="154">
        <f t="shared" si="87"/>
        <v>8782.8986386643919</v>
      </c>
      <c r="E283" s="154">
        <f t="shared" si="87"/>
        <v>8114.8401160238209</v>
      </c>
      <c r="F283" s="154">
        <f t="shared" si="87"/>
        <v>7344.0983848157457</v>
      </c>
      <c r="G283" s="257"/>
      <c r="H283" s="257"/>
    </row>
    <row r="284" spans="1:11" s="203" customFormat="1" x14ac:dyDescent="0.2">
      <c r="A284" s="408" t="s">
        <v>355</v>
      </c>
      <c r="B284" s="345">
        <f>+B281+B282+B283</f>
        <v>20620.515259856977</v>
      </c>
      <c r="C284" s="345">
        <f>+C281+C282+C283</f>
        <v>23488.957855987413</v>
      </c>
      <c r="D284" s="345">
        <f t="shared" ref="D284:F284" si="88">+D281+D282+D283</f>
        <v>29485.122884131775</v>
      </c>
      <c r="E284" s="345">
        <f t="shared" si="88"/>
        <v>36368.557432659341</v>
      </c>
      <c r="F284" s="388">
        <f t="shared" si="88"/>
        <v>44317.353166725225</v>
      </c>
      <c r="G284" s="325"/>
      <c r="H284" s="325"/>
    </row>
    <row r="285" spans="1:11" s="203" customFormat="1" x14ac:dyDescent="0.2">
      <c r="A285" s="407" t="s">
        <v>356</v>
      </c>
      <c r="B285" s="409">
        <f>+B170+B175</f>
        <v>3919.280372643248</v>
      </c>
      <c r="C285" s="409">
        <f t="shared" ref="C285:F285" si="89">+C170+C175</f>
        <v>6219.2803726432485</v>
      </c>
      <c r="D285" s="409">
        <f t="shared" si="89"/>
        <v>6219.2803726432485</v>
      </c>
      <c r="E285" s="409">
        <f t="shared" si="89"/>
        <v>6219.2803726432485</v>
      </c>
      <c r="F285" s="409">
        <f t="shared" si="89"/>
        <v>6219.2803726432485</v>
      </c>
      <c r="G285" s="410"/>
      <c r="H285" s="410"/>
    </row>
    <row r="286" spans="1:11" s="203" customFormat="1" x14ac:dyDescent="0.2">
      <c r="A286" s="407" t="s">
        <v>357</v>
      </c>
      <c r="B286" s="154">
        <v>0</v>
      </c>
      <c r="C286" s="154">
        <v>0</v>
      </c>
      <c r="D286" s="154">
        <v>0</v>
      </c>
      <c r="E286" s="154">
        <v>0</v>
      </c>
      <c r="F286" s="386">
        <v>0</v>
      </c>
      <c r="G286" s="257"/>
      <c r="H286" s="257"/>
    </row>
    <row r="287" spans="1:11" s="203" customFormat="1" x14ac:dyDescent="0.2">
      <c r="A287" s="389" t="s">
        <v>358</v>
      </c>
      <c r="B287" s="345">
        <f>+B284+B285+B286</f>
        <v>24539.795632500223</v>
      </c>
      <c r="C287" s="345">
        <f>+C284+C285+C286</f>
        <v>29708.23822863066</v>
      </c>
      <c r="D287" s="345">
        <f t="shared" ref="D287:F287" si="90">+D284+D285+D286</f>
        <v>35704.403256775026</v>
      </c>
      <c r="E287" s="345">
        <f t="shared" si="90"/>
        <v>42587.837805302588</v>
      </c>
      <c r="F287" s="388">
        <f t="shared" si="90"/>
        <v>50536.633539368471</v>
      </c>
      <c r="G287" s="325"/>
      <c r="H287" s="325"/>
    </row>
    <row r="288" spans="1:11" s="203" customFormat="1" x14ac:dyDescent="0.2">
      <c r="A288" s="411"/>
      <c r="B288" s="351"/>
      <c r="C288" s="351"/>
      <c r="D288" s="351"/>
      <c r="E288" s="351"/>
      <c r="F288" s="412"/>
      <c r="G288" s="351"/>
      <c r="H288" s="351"/>
      <c r="K288" s="413"/>
    </row>
    <row r="289" spans="1:10" s="203" customFormat="1" ht="12" thickBot="1" x14ac:dyDescent="0.25">
      <c r="A289" s="414" t="s">
        <v>359</v>
      </c>
      <c r="B289" s="415">
        <f>+B287/B168</f>
        <v>0.19894358700139528</v>
      </c>
      <c r="C289" s="415">
        <f>+C287/C168</f>
        <v>0.21038088591757392</v>
      </c>
      <c r="D289" s="415">
        <f>+D287/D168</f>
        <v>0.22086227429173969</v>
      </c>
      <c r="E289" s="415">
        <f>+E287/E168</f>
        <v>0.23012072396469557</v>
      </c>
      <c r="F289" s="416">
        <f>+F287/F168</f>
        <v>0.23853209790674049</v>
      </c>
      <c r="G289" s="417"/>
      <c r="H289" s="417"/>
    </row>
    <row r="290" spans="1:10" s="203" customFormat="1" x14ac:dyDescent="0.2">
      <c r="A290" s="418"/>
      <c r="B290" s="351"/>
      <c r="C290" s="417"/>
    </row>
    <row r="291" spans="1:10" x14ac:dyDescent="0.2">
      <c r="D291" s="165"/>
      <c r="E291" s="165"/>
      <c r="F291" s="165"/>
      <c r="G291" s="165"/>
    </row>
    <row r="292" spans="1:10" x14ac:dyDescent="0.2">
      <c r="D292" s="165"/>
      <c r="E292" s="165"/>
      <c r="F292" s="165"/>
      <c r="G292" s="165"/>
    </row>
    <row r="293" spans="1:10" x14ac:dyDescent="0.2">
      <c r="D293" s="165"/>
      <c r="E293" s="165"/>
      <c r="F293" s="165"/>
      <c r="G293" s="165"/>
      <c r="J293" s="115"/>
    </row>
    <row r="294" spans="1:10" x14ac:dyDescent="0.2">
      <c r="D294" s="165"/>
      <c r="E294" s="165"/>
      <c r="F294" s="165"/>
      <c r="G294" s="165"/>
    </row>
    <row r="295" spans="1:10" x14ac:dyDescent="0.2">
      <c r="D295" s="165"/>
      <c r="E295" s="165"/>
      <c r="F295" s="165"/>
      <c r="G295" s="165"/>
    </row>
    <row r="296" spans="1:10" x14ac:dyDescent="0.2">
      <c r="D296" s="165"/>
      <c r="E296" s="165"/>
      <c r="F296" s="165"/>
      <c r="G296" s="165"/>
    </row>
    <row r="297" spans="1:10" x14ac:dyDescent="0.2">
      <c r="D297" s="165"/>
      <c r="E297" s="165"/>
      <c r="F297" s="165"/>
      <c r="G297" s="165"/>
    </row>
    <row r="298" spans="1:10" x14ac:dyDescent="0.2">
      <c r="A298" s="648" t="s">
        <v>382</v>
      </c>
      <c r="B298" s="648"/>
      <c r="C298" s="648"/>
      <c r="D298" s="419"/>
      <c r="E298" s="419"/>
      <c r="G298" s="165"/>
    </row>
    <row r="299" spans="1:10" x14ac:dyDescent="0.2">
      <c r="B299" s="420"/>
      <c r="C299" s="420"/>
      <c r="D299" s="420"/>
      <c r="E299" s="420"/>
      <c r="F299" s="420"/>
      <c r="G299" s="165"/>
    </row>
    <row r="300" spans="1:10" x14ac:dyDescent="0.2">
      <c r="A300" s="421" t="s">
        <v>360</v>
      </c>
      <c r="B300" s="115"/>
      <c r="C300" s="264"/>
      <c r="D300" s="264"/>
      <c r="E300" s="264"/>
      <c r="F300" s="264"/>
      <c r="G300" s="264"/>
    </row>
    <row r="301" spans="1:10" x14ac:dyDescent="0.2">
      <c r="A301" s="642" t="s">
        <v>239</v>
      </c>
      <c r="B301" s="643"/>
      <c r="C301" s="422">
        <v>2015</v>
      </c>
      <c r="D301" s="125">
        <v>2016</v>
      </c>
      <c r="E301" s="125">
        <v>2017</v>
      </c>
      <c r="F301" s="125">
        <v>2018</v>
      </c>
      <c r="G301" s="423">
        <v>2019</v>
      </c>
      <c r="H301" s="254"/>
    </row>
    <row r="302" spans="1:10" x14ac:dyDescent="0.2">
      <c r="A302" s="170" t="s">
        <v>383</v>
      </c>
      <c r="B302" s="424"/>
      <c r="C302" s="425">
        <f>B213+B219</f>
        <v>95024.3662343209</v>
      </c>
      <c r="D302" s="425">
        <f t="shared" ref="D302:G302" si="91">C213+C219</f>
        <v>88931.375618219041</v>
      </c>
      <c r="E302" s="425">
        <f t="shared" si="91"/>
        <v>81833.546062557973</v>
      </c>
      <c r="F302" s="425">
        <f t="shared" si="91"/>
        <v>73758.681470599971</v>
      </c>
      <c r="G302" s="425">
        <f t="shared" si="91"/>
        <v>66759.30303603111</v>
      </c>
      <c r="H302" s="426"/>
      <c r="I302" s="165"/>
    </row>
    <row r="303" spans="1:10" x14ac:dyDescent="0.2">
      <c r="A303" s="170" t="s">
        <v>384</v>
      </c>
      <c r="B303" s="424"/>
      <c r="C303" s="425">
        <f>+B225+B226+B228</f>
        <v>44943.995427000002</v>
      </c>
      <c r="D303" s="425">
        <f t="shared" ref="D303:G303" si="92">+C225+C226+C228</f>
        <v>52857.106494745611</v>
      </c>
      <c r="E303" s="425">
        <f t="shared" si="92"/>
        <v>62162.221759172127</v>
      </c>
      <c r="F303" s="425">
        <f t="shared" si="92"/>
        <v>75825.689761180605</v>
      </c>
      <c r="G303" s="425">
        <f t="shared" si="92"/>
        <v>94473.143190160044</v>
      </c>
      <c r="H303" s="426"/>
      <c r="I303" s="165"/>
    </row>
    <row r="304" spans="1:10" x14ac:dyDescent="0.2">
      <c r="A304" s="427" t="s">
        <v>385</v>
      </c>
      <c r="B304" s="424"/>
      <c r="C304" s="424">
        <f>+C302+C303</f>
        <v>139968.3616613209</v>
      </c>
      <c r="D304" s="424">
        <f t="shared" ref="D304:G304" si="93">+D302+D303</f>
        <v>141788.48211296464</v>
      </c>
      <c r="E304" s="424">
        <f t="shared" si="93"/>
        <v>143995.76782173011</v>
      </c>
      <c r="F304" s="424">
        <f t="shared" si="93"/>
        <v>149584.37123178056</v>
      </c>
      <c r="G304" s="428">
        <f t="shared" si="93"/>
        <v>161232.44622619115</v>
      </c>
      <c r="H304" s="429"/>
      <c r="I304" s="165"/>
    </row>
    <row r="305" spans="1:15" x14ac:dyDescent="0.2">
      <c r="A305" s="170" t="s">
        <v>386</v>
      </c>
      <c r="B305" s="430"/>
      <c r="C305" s="431">
        <f>+C302/(C302+C303)</f>
        <v>0.67889889619662591</v>
      </c>
      <c r="D305" s="431">
        <f t="shared" ref="D305:G305" si="94">+D302/(D302+D303)</f>
        <v>0.62721156396445732</v>
      </c>
      <c r="E305" s="431">
        <f t="shared" si="94"/>
        <v>0.56830521688574676</v>
      </c>
      <c r="F305" s="431">
        <f t="shared" si="94"/>
        <v>0.49309082802715465</v>
      </c>
      <c r="G305" s="432">
        <f t="shared" si="94"/>
        <v>0.41405625603655016</v>
      </c>
      <c r="H305" s="433"/>
    </row>
    <row r="306" spans="1:15" x14ac:dyDescent="0.2">
      <c r="A306" s="170" t="s">
        <v>387</v>
      </c>
      <c r="B306" s="170"/>
      <c r="C306" s="431">
        <f>+C303/(C302+C303)</f>
        <v>0.32110110380337403</v>
      </c>
      <c r="D306" s="431">
        <f t="shared" ref="D306:G306" si="95">+D303/(D302+D303)</f>
        <v>0.37278843603554268</v>
      </c>
      <c r="E306" s="431">
        <f t="shared" si="95"/>
        <v>0.43169478311425308</v>
      </c>
      <c r="F306" s="431">
        <f t="shared" si="95"/>
        <v>0.50690917197284546</v>
      </c>
      <c r="G306" s="432">
        <f t="shared" si="95"/>
        <v>0.58594374396344984</v>
      </c>
      <c r="H306" s="433"/>
    </row>
    <row r="307" spans="1:15" x14ac:dyDescent="0.2">
      <c r="B307" s="115"/>
      <c r="C307" s="115"/>
      <c r="D307" s="115"/>
      <c r="E307" s="115"/>
      <c r="F307" s="115"/>
      <c r="G307" s="115"/>
      <c r="H307" s="115"/>
    </row>
    <row r="308" spans="1:15" x14ac:dyDescent="0.2">
      <c r="B308" s="115"/>
      <c r="C308" s="115"/>
      <c r="D308" s="115"/>
      <c r="E308" s="115"/>
      <c r="F308" s="115"/>
      <c r="G308" s="115"/>
      <c r="H308" s="115"/>
    </row>
    <row r="309" spans="1:15" x14ac:dyDescent="0.2">
      <c r="A309" s="434" t="s">
        <v>361</v>
      </c>
      <c r="B309" s="435"/>
      <c r="C309" s="435"/>
      <c r="D309" s="435"/>
      <c r="E309" s="435"/>
      <c r="F309" s="435"/>
      <c r="G309" s="435"/>
      <c r="H309" s="436"/>
    </row>
    <row r="310" spans="1:15" x14ac:dyDescent="0.2">
      <c r="A310" s="642" t="s">
        <v>239</v>
      </c>
      <c r="B310" s="643"/>
      <c r="C310" s="422">
        <f t="shared" ref="C310:G310" si="96">C301</f>
        <v>2015</v>
      </c>
      <c r="D310" s="125">
        <f t="shared" si="96"/>
        <v>2016</v>
      </c>
      <c r="E310" s="125">
        <f t="shared" si="96"/>
        <v>2017</v>
      </c>
      <c r="F310" s="125">
        <f t="shared" si="96"/>
        <v>2018</v>
      </c>
      <c r="G310" s="423">
        <f t="shared" si="96"/>
        <v>2019</v>
      </c>
      <c r="H310" s="254"/>
    </row>
    <row r="311" spans="1:15" x14ac:dyDescent="0.2">
      <c r="A311" s="170" t="s">
        <v>388</v>
      </c>
      <c r="B311" s="437"/>
      <c r="C311" s="132">
        <f>B180</f>
        <v>8630.9530360000008</v>
      </c>
      <c r="D311" s="132">
        <f t="shared" ref="D311:G311" si="97">C180</f>
        <v>9390.2983644320902</v>
      </c>
      <c r="E311" s="132">
        <f t="shared" si="97"/>
        <v>8782.8986386643919</v>
      </c>
      <c r="F311" s="132">
        <f t="shared" si="97"/>
        <v>8114.8401160238209</v>
      </c>
      <c r="G311" s="438">
        <f t="shared" si="97"/>
        <v>7344.0983848157457</v>
      </c>
      <c r="H311" s="257"/>
    </row>
    <row r="312" spans="1:15" x14ac:dyDescent="0.2">
      <c r="A312" s="170" t="s">
        <v>389</v>
      </c>
      <c r="B312" s="437"/>
      <c r="C312" s="425">
        <f>+C302</f>
        <v>95024.3662343209</v>
      </c>
      <c r="D312" s="425">
        <f t="shared" ref="D312:F312" si="98">+D302</f>
        <v>88931.375618219041</v>
      </c>
      <c r="E312" s="425">
        <f t="shared" si="98"/>
        <v>81833.546062557973</v>
      </c>
      <c r="F312" s="425">
        <f t="shared" si="98"/>
        <v>73758.681470599971</v>
      </c>
      <c r="G312" s="439">
        <f>+G302</f>
        <v>66759.30303603111</v>
      </c>
      <c r="H312" s="426"/>
    </row>
    <row r="313" spans="1:15" x14ac:dyDescent="0.2">
      <c r="A313" s="440" t="s">
        <v>390</v>
      </c>
      <c r="B313" s="441" t="s">
        <v>362</v>
      </c>
      <c r="C313" s="442">
        <f t="shared" ref="C313:G313" si="99">+C311/C312</f>
        <v>9.0828840833485858E-2</v>
      </c>
      <c r="D313" s="442">
        <f t="shared" si="99"/>
        <v>0.10559038696021626</v>
      </c>
      <c r="E313" s="442">
        <f t="shared" si="99"/>
        <v>0.10732638460943963</v>
      </c>
      <c r="F313" s="442">
        <f t="shared" si="99"/>
        <v>0.11001877954201739</v>
      </c>
      <c r="G313" s="443">
        <f t="shared" si="99"/>
        <v>0.11000861379352647</v>
      </c>
      <c r="H313" s="202"/>
      <c r="J313" s="444"/>
    </row>
    <row r="314" spans="1:15" x14ac:dyDescent="0.2">
      <c r="A314" s="445" t="s">
        <v>391</v>
      </c>
      <c r="B314" s="446"/>
      <c r="C314" s="447">
        <f>+C313*(1-0.34)</f>
        <v>5.9947034950100661E-2</v>
      </c>
      <c r="D314" s="447">
        <f t="shared" ref="D314:G314" si="100">+D313*(1-0.34)</f>
        <v>6.9689655393742722E-2</v>
      </c>
      <c r="E314" s="447">
        <f t="shared" si="100"/>
        <v>7.0835413842230147E-2</v>
      </c>
      <c r="F314" s="447">
        <f t="shared" si="100"/>
        <v>7.2612394497731464E-2</v>
      </c>
      <c r="G314" s="447">
        <f t="shared" si="100"/>
        <v>7.260568510372746E-2</v>
      </c>
      <c r="H314" s="202"/>
    </row>
    <row r="315" spans="1:15" x14ac:dyDescent="0.2">
      <c r="B315" s="115"/>
      <c r="C315" s="115"/>
      <c r="D315" s="115"/>
      <c r="E315" s="115"/>
      <c r="F315" s="115"/>
      <c r="G315" s="115"/>
      <c r="H315" s="115"/>
    </row>
    <row r="316" spans="1:15" x14ac:dyDescent="0.2">
      <c r="A316" s="434" t="s">
        <v>363</v>
      </c>
      <c r="B316" s="115"/>
      <c r="C316" s="115"/>
      <c r="D316" s="115"/>
      <c r="E316" s="115"/>
      <c r="F316" s="115"/>
      <c r="G316" s="115"/>
      <c r="H316" s="115"/>
    </row>
    <row r="317" spans="1:15" s="203" customFormat="1" x14ac:dyDescent="0.2">
      <c r="A317" s="448" t="s">
        <v>364</v>
      </c>
      <c r="B317" s="429"/>
      <c r="C317" s="449"/>
      <c r="F317" s="121"/>
      <c r="G317" s="121"/>
      <c r="H317" s="115"/>
      <c r="I317" s="121"/>
      <c r="J317" s="121"/>
      <c r="K317" s="121"/>
      <c r="L317" s="121"/>
    </row>
    <row r="318" spans="1:15" s="203" customFormat="1" ht="33.75" x14ac:dyDescent="0.2">
      <c r="A318" s="448"/>
      <c r="B318" s="429"/>
      <c r="C318" s="449"/>
      <c r="F318" s="121"/>
      <c r="G318" s="121"/>
      <c r="J318" s="450" t="s">
        <v>365</v>
      </c>
      <c r="K318" s="450" t="s">
        <v>366</v>
      </c>
      <c r="L318" s="450" t="s">
        <v>367</v>
      </c>
      <c r="M318" s="451" t="s">
        <v>368</v>
      </c>
      <c r="N318" s="450" t="s">
        <v>369</v>
      </c>
      <c r="O318" s="452" t="s">
        <v>392</v>
      </c>
    </row>
    <row r="319" spans="1:15" s="203" customFormat="1" x14ac:dyDescent="0.2">
      <c r="A319" s="448"/>
      <c r="B319" s="429"/>
      <c r="C319" s="449"/>
      <c r="F319" s="121"/>
      <c r="G319" s="121"/>
      <c r="I319" s="391">
        <v>2005</v>
      </c>
      <c r="J319" s="453">
        <v>2.8675329597779506E-2</v>
      </c>
      <c r="K319" s="453">
        <v>3.3385498174230532E-2</v>
      </c>
      <c r="L319" s="453">
        <v>4.8499999999999995E-2</v>
      </c>
      <c r="M319" s="454">
        <v>1.7999999999999999E-2</v>
      </c>
      <c r="N319" s="454">
        <v>6.6000000000000003E-2</v>
      </c>
      <c r="O319" s="455">
        <v>0.5</v>
      </c>
    </row>
    <row r="320" spans="1:15" s="203" customFormat="1" x14ac:dyDescent="0.2">
      <c r="B320" s="456"/>
      <c r="C320" s="457">
        <f>+C310</f>
        <v>2015</v>
      </c>
      <c r="I320" s="391">
        <v>2006</v>
      </c>
      <c r="J320" s="453">
        <v>1.9610012417568386E-2</v>
      </c>
      <c r="K320" s="453">
        <v>2.5239777889954462E-2</v>
      </c>
      <c r="L320" s="453">
        <v>4.4800000000000006E-2</v>
      </c>
      <c r="M320" s="454">
        <v>2.0299999999999999E-2</v>
      </c>
      <c r="N320" s="454">
        <v>6.9400000000000003E-2</v>
      </c>
      <c r="O320" s="455">
        <v>0.61</v>
      </c>
    </row>
    <row r="321" spans="1:15" s="203" customFormat="1" x14ac:dyDescent="0.2">
      <c r="A321" s="458" t="s">
        <v>393</v>
      </c>
      <c r="B321" s="459"/>
      <c r="C321" s="460">
        <f>AVERAGE(J319:J328)</f>
        <v>5.313449326075901E-2</v>
      </c>
      <c r="D321" s="203" t="s">
        <v>370</v>
      </c>
      <c r="I321" s="391">
        <v>2007</v>
      </c>
      <c r="J321" s="453">
        <v>0.10209921930012807</v>
      </c>
      <c r="K321" s="453">
        <v>4.1088133924175319E-2</v>
      </c>
      <c r="L321" s="453">
        <v>5.6900000000000006E-2</v>
      </c>
      <c r="M321" s="454">
        <v>2.0299999999999999E-2</v>
      </c>
      <c r="N321" s="454">
        <v>6.8199999999999997E-2</v>
      </c>
      <c r="O321" s="455">
        <v>0.66</v>
      </c>
    </row>
    <row r="322" spans="1:15" s="203" customFormat="1" x14ac:dyDescent="0.2">
      <c r="A322" s="461" t="s">
        <v>371</v>
      </c>
      <c r="B322" s="459"/>
      <c r="C322" s="462">
        <f>AVERAGE(K319:K328)</f>
        <v>2.1230756532747735E-2</v>
      </c>
      <c r="I322" s="391">
        <v>2008</v>
      </c>
      <c r="J322" s="453">
        <v>0.20101279926977011</v>
      </c>
      <c r="K322" s="453">
        <v>-2.2228002553859039E-4</v>
      </c>
      <c r="L322" s="453">
        <v>7.6700000000000004E-2</v>
      </c>
      <c r="M322" s="454">
        <v>3.9E-2</v>
      </c>
      <c r="N322" s="454">
        <v>8.8999999999999996E-2</v>
      </c>
      <c r="O322" s="455">
        <v>0.63</v>
      </c>
    </row>
    <row r="323" spans="1:15" s="203" customFormat="1" x14ac:dyDescent="0.2">
      <c r="A323" s="458" t="s">
        <v>394</v>
      </c>
      <c r="B323" s="459"/>
      <c r="C323" s="462">
        <f>+(1+C321)/(1+C322)-1</f>
        <v>3.1240477750914986E-2</v>
      </c>
      <c r="D323" s="463" t="s">
        <v>372</v>
      </c>
      <c r="I323" s="391">
        <v>2009</v>
      </c>
      <c r="J323" s="453">
        <v>-0.11116695313259162</v>
      </c>
      <c r="K323" s="453">
        <v>2.8141231232083674E-2</v>
      </c>
      <c r="L323" s="453">
        <v>0.02</v>
      </c>
      <c r="M323" s="454">
        <v>0.03</v>
      </c>
      <c r="N323" s="454">
        <v>7.4999999999999997E-2</v>
      </c>
      <c r="O323" s="455">
        <v>0.69</v>
      </c>
    </row>
    <row r="324" spans="1:15" s="203" customFormat="1" x14ac:dyDescent="0.2">
      <c r="C324" s="464"/>
      <c r="I324" s="391">
        <v>2010</v>
      </c>
      <c r="J324" s="453">
        <v>8.4629338803557719E-2</v>
      </c>
      <c r="K324" s="453">
        <v>1.421689740369092E-2</v>
      </c>
      <c r="L324" s="453">
        <v>3.1699999999999999E-2</v>
      </c>
      <c r="M324" s="454">
        <v>0.03</v>
      </c>
      <c r="N324" s="454">
        <v>0.08</v>
      </c>
      <c r="O324" s="455">
        <v>0.72</v>
      </c>
    </row>
    <row r="325" spans="1:15" s="203" customFormat="1" x14ac:dyDescent="0.2">
      <c r="A325" s="461" t="s">
        <v>373</v>
      </c>
      <c r="B325" s="459"/>
      <c r="C325" s="462">
        <f>AVERAGE(L319:L328)</f>
        <v>3.9629999999999992E-2</v>
      </c>
      <c r="I325" s="391">
        <v>2011</v>
      </c>
      <c r="J325" s="453">
        <v>0.16035334999461354</v>
      </c>
      <c r="K325" s="453">
        <v>3.019456806253018E-2</v>
      </c>
      <c r="L325" s="453">
        <v>3.73E-2</v>
      </c>
      <c r="M325" s="454">
        <v>0.03</v>
      </c>
      <c r="N325" s="454">
        <v>7.4999999999999997E-2</v>
      </c>
      <c r="O325" s="465">
        <v>0.52</v>
      </c>
    </row>
    <row r="326" spans="1:15" s="203" customFormat="1" x14ac:dyDescent="0.2">
      <c r="A326" s="170" t="s">
        <v>395</v>
      </c>
      <c r="B326" s="459"/>
      <c r="C326" s="462">
        <f>+((1+C323)*(1+C325))-1</f>
        <v>7.2108537884183699E-2</v>
      </c>
      <c r="D326" s="463" t="s">
        <v>372</v>
      </c>
      <c r="I326" s="391">
        <v>2012</v>
      </c>
      <c r="J326" s="453">
        <v>2.971571978018946E-2</v>
      </c>
      <c r="K326" s="453">
        <v>1.7640349988771176E-2</v>
      </c>
      <c r="L326" s="453">
        <v>2.4399999999999998E-2</v>
      </c>
      <c r="M326" s="454">
        <v>0.03</v>
      </c>
      <c r="N326" s="454">
        <v>8.7999999999999995E-2</v>
      </c>
      <c r="O326" s="465">
        <v>0.63</v>
      </c>
    </row>
    <row r="327" spans="1:15" s="203" customFormat="1" x14ac:dyDescent="0.2">
      <c r="I327" s="391">
        <v>2013</v>
      </c>
      <c r="J327" s="453">
        <v>-9.104568794347262E-2</v>
      </c>
      <c r="K327" s="453">
        <v>1.5123388677579674E-2</v>
      </c>
      <c r="L327" s="453">
        <v>1.9400000000000001E-2</v>
      </c>
      <c r="M327" s="454">
        <v>3.3000000000000002E-2</v>
      </c>
      <c r="N327" s="454">
        <v>8.3000000000000004E-2</v>
      </c>
      <c r="O327" s="465">
        <v>0.56999999999999995</v>
      </c>
    </row>
    <row r="328" spans="1:15" s="203" customFormat="1" x14ac:dyDescent="0.2">
      <c r="A328" s="461" t="s">
        <v>374</v>
      </c>
      <c r="B328" s="459"/>
      <c r="C328" s="460">
        <f>+AVERAGE(M319:M328)</f>
        <v>2.8459999999999996E-2</v>
      </c>
      <c r="D328" s="203" t="s">
        <v>370</v>
      </c>
      <c r="I328" s="391">
        <v>2014</v>
      </c>
      <c r="J328" s="466">
        <v>0.10746180452004755</v>
      </c>
      <c r="K328" s="466">
        <v>7.4999999999999997E-3</v>
      </c>
      <c r="L328" s="466">
        <v>3.6600000000000001E-2</v>
      </c>
      <c r="M328" s="467">
        <v>3.4000000000000002E-2</v>
      </c>
      <c r="N328" s="468">
        <v>9.1399999999999995E-2</v>
      </c>
      <c r="O328" s="469">
        <v>0.56999999999999995</v>
      </c>
    </row>
    <row r="329" spans="1:15" s="203" customFormat="1" x14ac:dyDescent="0.2">
      <c r="N329" s="391">
        <v>2015</v>
      </c>
      <c r="O329" s="465">
        <f>0.02479*N329-49.13224</f>
        <v>0.81960999999999729</v>
      </c>
    </row>
    <row r="330" spans="1:15" s="203" customFormat="1" x14ac:dyDescent="0.2">
      <c r="A330" s="470" t="s">
        <v>396</v>
      </c>
      <c r="B330" s="459"/>
      <c r="C330" s="471">
        <f>+C328+C326</f>
        <v>0.1005685378841837</v>
      </c>
      <c r="D330" s="203" t="s">
        <v>375</v>
      </c>
      <c r="N330" s="391">
        <v>2016</v>
      </c>
      <c r="O330" s="465">
        <f>0.02479*N330-49.13224</f>
        <v>0.84439999999999316</v>
      </c>
    </row>
    <row r="331" spans="1:15" s="203" customFormat="1" x14ac:dyDescent="0.2">
      <c r="N331" s="391">
        <v>2017</v>
      </c>
      <c r="O331" s="465">
        <f>0.02479*N331-49.13224</f>
        <v>0.86918999999999613</v>
      </c>
    </row>
    <row r="332" spans="1:15" s="203" customFormat="1" x14ac:dyDescent="0.2">
      <c r="A332" s="458" t="s">
        <v>397</v>
      </c>
      <c r="B332" s="459"/>
      <c r="C332" s="460">
        <f>AVERAGE(N319:N328)</f>
        <v>7.8499999999999986E-2</v>
      </c>
      <c r="D332" s="203" t="s">
        <v>370</v>
      </c>
      <c r="N332" s="391">
        <v>2018</v>
      </c>
      <c r="O332" s="465">
        <f>0.02479*N332-49.13224</f>
        <v>0.89397999999999911</v>
      </c>
    </row>
    <row r="333" spans="1:15" s="203" customFormat="1" x14ac:dyDescent="0.2">
      <c r="D333" s="351" t="s">
        <v>376</v>
      </c>
      <c r="J333" s="121"/>
      <c r="K333" s="121"/>
      <c r="L333" s="121"/>
      <c r="N333" s="391">
        <v>2019</v>
      </c>
      <c r="O333" s="465">
        <f>0.02479*N333-49.13224</f>
        <v>0.91876999999999498</v>
      </c>
    </row>
    <row r="334" spans="1:15" s="203" customFormat="1" x14ac:dyDescent="0.2">
      <c r="A334" s="472" t="s">
        <v>398</v>
      </c>
      <c r="B334" s="459"/>
      <c r="C334" s="473">
        <f>AVERAGE($O$319:$O$328)</f>
        <v>0.6100000000000001</v>
      </c>
      <c r="D334" s="474">
        <f>AVERAGE($O$320:$O$329)</f>
        <v>0.64196099999999978</v>
      </c>
      <c r="E334" s="474">
        <f>AVERAGE($O$321:$O$330)</f>
        <v>0.66540099999999902</v>
      </c>
      <c r="F334" s="474">
        <f>AVERAGE($O$322:$O$331)</f>
        <v>0.68631999999999871</v>
      </c>
      <c r="G334" s="475">
        <f>AVERAGE($O$323:$O$332)</f>
        <v>0.71271799999999852</v>
      </c>
      <c r="H334" s="476"/>
      <c r="J334" s="121"/>
      <c r="K334" s="121"/>
      <c r="L334" s="121"/>
    </row>
    <row r="335" spans="1:15" s="203" customFormat="1" x14ac:dyDescent="0.2">
      <c r="H335" s="351"/>
      <c r="J335" s="121"/>
      <c r="K335" s="121"/>
      <c r="L335" s="121"/>
    </row>
    <row r="336" spans="1:15" s="203" customFormat="1" x14ac:dyDescent="0.2">
      <c r="A336" s="477" t="s">
        <v>399</v>
      </c>
      <c r="B336" s="478"/>
      <c r="C336" s="479">
        <f>+C334*($C$332)</f>
        <v>4.7884999999999997E-2</v>
      </c>
      <c r="D336" s="479">
        <f>+D334*($C$332)</f>
        <v>5.0393938499999971E-2</v>
      </c>
      <c r="E336" s="479">
        <f t="shared" ref="E336:G336" si="101">+E334*($C$332)</f>
        <v>5.2233978499999917E-2</v>
      </c>
      <c r="F336" s="479">
        <f t="shared" si="101"/>
        <v>5.3876119999999889E-2</v>
      </c>
      <c r="G336" s="480">
        <f t="shared" si="101"/>
        <v>5.5948362999999876E-2</v>
      </c>
      <c r="H336" s="481"/>
      <c r="I336" s="203" t="s">
        <v>377</v>
      </c>
      <c r="J336" s="121"/>
      <c r="K336" s="121"/>
      <c r="L336" s="121"/>
    </row>
    <row r="337" spans="1:13" s="203" customFormat="1" x14ac:dyDescent="0.2">
      <c r="H337" s="351"/>
      <c r="J337" s="121"/>
      <c r="K337" s="121"/>
      <c r="L337" s="121"/>
    </row>
    <row r="338" spans="1:13" s="203" customFormat="1" x14ac:dyDescent="0.2">
      <c r="A338" s="458" t="s">
        <v>400</v>
      </c>
      <c r="B338" s="482"/>
      <c r="C338" s="465">
        <f>+C302/C303</f>
        <v>2.1142839067048147</v>
      </c>
      <c r="D338" s="465">
        <f>+D302/D303</f>
        <v>1.6824866421142346</v>
      </c>
      <c r="E338" s="465">
        <f>+E302/E303</f>
        <v>1.3164514354006871</v>
      </c>
      <c r="F338" s="465">
        <f>+F302/F303</f>
        <v>0.97274000016233486</v>
      </c>
      <c r="G338" s="483">
        <f>+G302/G303</f>
        <v>0.70664847999875269</v>
      </c>
      <c r="H338" s="484"/>
      <c r="J338" s="121"/>
      <c r="K338" s="121"/>
      <c r="L338" s="121"/>
    </row>
    <row r="339" spans="1:13" s="203" customFormat="1" x14ac:dyDescent="0.2">
      <c r="A339" s="472" t="s">
        <v>401</v>
      </c>
      <c r="B339" s="459"/>
      <c r="C339" s="474">
        <f>+C334*(1+C338*(1-0.34))</f>
        <v>1.4612107008393587</v>
      </c>
      <c r="D339" s="474">
        <f>+D334*(1+D338*(1-0.34))</f>
        <v>1.354820932790475</v>
      </c>
      <c r="E339" s="474">
        <f>+E334*(1+E338*(1-0.34))</f>
        <v>1.2435399470342527</v>
      </c>
      <c r="F339" s="474">
        <f>+F334*(1+F338*(1-0.34))</f>
        <v>1.1269432051615309</v>
      </c>
      <c r="G339" s="475">
        <f>+G334*(1+G338*(1-0.34))</f>
        <v>1.0451211203027133</v>
      </c>
      <c r="H339" s="476"/>
      <c r="I339" s="463" t="s">
        <v>372</v>
      </c>
      <c r="J339" s="121"/>
      <c r="K339" s="121"/>
      <c r="L339" s="121"/>
    </row>
    <row r="340" spans="1:13" s="203" customFormat="1" x14ac:dyDescent="0.2">
      <c r="H340" s="351"/>
      <c r="J340" s="121"/>
      <c r="K340" s="121"/>
      <c r="L340" s="121"/>
    </row>
    <row r="341" spans="1:13" s="203" customFormat="1" x14ac:dyDescent="0.2">
      <c r="A341" s="477" t="s">
        <v>402</v>
      </c>
      <c r="B341" s="478"/>
      <c r="C341" s="479">
        <f>+(C339-C334)*$C$332</f>
        <v>6.6820040015889634E-2</v>
      </c>
      <c r="D341" s="479">
        <f>+(D339-D334)*$C$332</f>
        <v>5.5959504724052297E-2</v>
      </c>
      <c r="E341" s="479">
        <f>+(E339-E334)*$C$332</f>
        <v>4.538390734218891E-2</v>
      </c>
      <c r="F341" s="479">
        <f>+(F339-F334)*$C$332</f>
        <v>3.4588921605180269E-2</v>
      </c>
      <c r="G341" s="480">
        <f>+(G339-G334)*$C$332</f>
        <v>2.6093644943763109E-2</v>
      </c>
      <c r="H341" s="481"/>
      <c r="J341" s="121"/>
      <c r="K341" s="121"/>
      <c r="L341" s="121"/>
    </row>
    <row r="342" spans="1:13" s="203" customFormat="1" x14ac:dyDescent="0.2">
      <c r="H342" s="351"/>
      <c r="J342" s="121"/>
      <c r="K342" s="121"/>
      <c r="L342" s="121"/>
    </row>
    <row r="343" spans="1:13" s="203" customFormat="1" x14ac:dyDescent="0.2">
      <c r="A343" s="470" t="s">
        <v>403</v>
      </c>
      <c r="B343" s="459"/>
      <c r="C343" s="471">
        <f>+C339*$C$332</f>
        <v>0.11470504001588963</v>
      </c>
      <c r="D343" s="471">
        <f>+D339*$C$332</f>
        <v>0.10635344322405227</v>
      </c>
      <c r="E343" s="471">
        <f>+E339*$C$332</f>
        <v>9.761788584218882E-2</v>
      </c>
      <c r="F343" s="471">
        <f>+F339*$C$332</f>
        <v>8.8465041605180164E-2</v>
      </c>
      <c r="G343" s="485">
        <f>+G339*$C$332</f>
        <v>8.2042007943762985E-2</v>
      </c>
      <c r="H343" s="486"/>
      <c r="J343" s="121"/>
      <c r="K343" s="121"/>
      <c r="L343" s="121"/>
    </row>
    <row r="344" spans="1:13" s="203" customFormat="1" x14ac:dyDescent="0.2">
      <c r="H344" s="351"/>
      <c r="J344" s="121"/>
      <c r="K344" s="121"/>
      <c r="L344" s="121"/>
    </row>
    <row r="345" spans="1:13" x14ac:dyDescent="0.2">
      <c r="A345" s="115"/>
      <c r="B345" s="487" t="s">
        <v>378</v>
      </c>
      <c r="C345" s="488">
        <f t="shared" ref="C345:G345" si="102">C343-C341-C336</f>
        <v>0</v>
      </c>
      <c r="D345" s="488">
        <f t="shared" si="102"/>
        <v>0</v>
      </c>
      <c r="E345" s="488">
        <f t="shared" si="102"/>
        <v>0</v>
      </c>
      <c r="F345" s="488">
        <f t="shared" si="102"/>
        <v>0</v>
      </c>
      <c r="G345" s="489">
        <f t="shared" si="102"/>
        <v>0</v>
      </c>
      <c r="H345" s="490"/>
    </row>
    <row r="346" spans="1:13" s="120" customFormat="1" x14ac:dyDescent="0.2">
      <c r="A346" s="351"/>
      <c r="B346" s="115"/>
      <c r="C346" s="491"/>
      <c r="D346" s="492"/>
      <c r="E346" s="492"/>
      <c r="F346" s="492"/>
      <c r="G346" s="492"/>
    </row>
    <row r="347" spans="1:13" s="120" customFormat="1" x14ac:dyDescent="0.2">
      <c r="A347" s="351"/>
      <c r="B347" s="115"/>
      <c r="C347" s="118"/>
      <c r="D347" s="493"/>
      <c r="E347" s="493"/>
      <c r="F347" s="493"/>
      <c r="G347" s="493"/>
    </row>
    <row r="348" spans="1:13" s="203" customFormat="1" x14ac:dyDescent="0.2">
      <c r="H348" s="464"/>
      <c r="I348" s="464"/>
      <c r="J348" s="464"/>
      <c r="L348" s="203">
        <v>26</v>
      </c>
      <c r="M348" s="203" t="e">
        <f>+(#REF!/#REF!)*L348</f>
        <v>#REF!</v>
      </c>
    </row>
    <row r="349" spans="1:13" s="203" customFormat="1" x14ac:dyDescent="0.2"/>
    <row r="350" spans="1:13" x14ac:dyDescent="0.2">
      <c r="A350" s="642" t="s">
        <v>209</v>
      </c>
      <c r="B350" s="643">
        <v>0</v>
      </c>
      <c r="C350" s="422">
        <f t="shared" ref="C350:G350" si="103">+C310</f>
        <v>2015</v>
      </c>
      <c r="D350" s="125">
        <f t="shared" si="103"/>
        <v>2016</v>
      </c>
      <c r="E350" s="125">
        <f t="shared" si="103"/>
        <v>2017</v>
      </c>
      <c r="F350" s="125">
        <f t="shared" si="103"/>
        <v>2018</v>
      </c>
      <c r="G350" s="423">
        <f t="shared" si="103"/>
        <v>2019</v>
      </c>
      <c r="H350" s="254"/>
    </row>
    <row r="351" spans="1:13" ht="22.5" x14ac:dyDescent="0.2">
      <c r="A351" s="494" t="s">
        <v>404</v>
      </c>
      <c r="B351" s="495"/>
      <c r="C351" s="496">
        <f>+C330+C343</f>
        <v>0.21527357790007334</v>
      </c>
      <c r="D351" s="496">
        <f>C330+D343</f>
        <v>0.20692198110823595</v>
      </c>
      <c r="E351" s="496">
        <f>C330+E343</f>
        <v>0.19818642372637252</v>
      </c>
      <c r="F351" s="496">
        <f>C330+F343</f>
        <v>0.18903357948936386</v>
      </c>
      <c r="G351" s="496">
        <f>C330+G343</f>
        <v>0.18261054582794667</v>
      </c>
      <c r="H351" s="417"/>
    </row>
    <row r="352" spans="1:13" x14ac:dyDescent="0.2">
      <c r="B352" s="420"/>
      <c r="C352" s="420"/>
      <c r="D352" s="420"/>
      <c r="E352" s="420"/>
      <c r="F352" s="420"/>
      <c r="G352" s="165"/>
      <c r="H352" s="123"/>
    </row>
    <row r="353" spans="1:10" x14ac:dyDescent="0.2">
      <c r="A353" s="115"/>
      <c r="B353" s="115"/>
      <c r="C353" s="115"/>
      <c r="D353" s="115"/>
      <c r="E353" s="115"/>
      <c r="F353" s="115"/>
      <c r="G353" s="115"/>
      <c r="H353" s="351"/>
    </row>
    <row r="354" spans="1:10" x14ac:dyDescent="0.2">
      <c r="A354" s="421" t="s">
        <v>379</v>
      </c>
      <c r="B354" s="115"/>
      <c r="C354" s="115"/>
      <c r="D354" s="115"/>
      <c r="E354" s="115"/>
      <c r="F354" s="115"/>
      <c r="G354" s="115"/>
      <c r="H354" s="497"/>
    </row>
    <row r="355" spans="1:10" x14ac:dyDescent="0.2">
      <c r="A355" s="115"/>
      <c r="B355" s="115"/>
      <c r="C355" s="115"/>
      <c r="D355" s="115"/>
      <c r="E355" s="115"/>
      <c r="F355" s="115"/>
      <c r="G355" s="115"/>
      <c r="H355" s="351"/>
    </row>
    <row r="356" spans="1:10" x14ac:dyDescent="0.2">
      <c r="A356" s="642" t="s">
        <v>209</v>
      </c>
      <c r="B356" s="643">
        <v>0</v>
      </c>
      <c r="C356" s="593">
        <f t="shared" ref="C356:G356" si="104">C310</f>
        <v>2015</v>
      </c>
      <c r="D356" s="268">
        <f t="shared" si="104"/>
        <v>2016</v>
      </c>
      <c r="E356" s="268">
        <f t="shared" si="104"/>
        <v>2017</v>
      </c>
      <c r="F356" s="268">
        <f t="shared" si="104"/>
        <v>2018</v>
      </c>
      <c r="G356" s="594">
        <f t="shared" si="104"/>
        <v>2019</v>
      </c>
      <c r="H356" s="254"/>
    </row>
    <row r="357" spans="1:10" x14ac:dyDescent="0.2">
      <c r="A357" s="445" t="s">
        <v>391</v>
      </c>
      <c r="B357" s="446"/>
      <c r="C357" s="498">
        <f>+C314</f>
        <v>5.9947034950100661E-2</v>
      </c>
      <c r="D357" s="498">
        <f t="shared" ref="D357:G357" si="105">+D314</f>
        <v>6.9689655393742722E-2</v>
      </c>
      <c r="E357" s="498">
        <f t="shared" si="105"/>
        <v>7.0835413842230147E-2</v>
      </c>
      <c r="F357" s="498">
        <f t="shared" si="105"/>
        <v>7.2612394497731464E-2</v>
      </c>
      <c r="G357" s="499">
        <f t="shared" si="105"/>
        <v>7.260568510372746E-2</v>
      </c>
      <c r="H357" s="202"/>
    </row>
    <row r="358" spans="1:10" x14ac:dyDescent="0.2">
      <c r="A358" s="170" t="s">
        <v>386</v>
      </c>
      <c r="B358" s="430"/>
      <c r="C358" s="500">
        <f>+C305</f>
        <v>0.67889889619662591</v>
      </c>
      <c r="D358" s="500">
        <f t="shared" ref="D358:G358" si="106">+D305</f>
        <v>0.62721156396445732</v>
      </c>
      <c r="E358" s="500">
        <f t="shared" si="106"/>
        <v>0.56830521688574676</v>
      </c>
      <c r="F358" s="500">
        <f t="shared" si="106"/>
        <v>0.49309082802715465</v>
      </c>
      <c r="G358" s="501">
        <f t="shared" si="106"/>
        <v>0.41405625603655016</v>
      </c>
      <c r="H358" s="433"/>
    </row>
    <row r="359" spans="1:10" ht="22.5" x14ac:dyDescent="0.2">
      <c r="A359" s="494" t="s">
        <v>405</v>
      </c>
      <c r="B359" s="495"/>
      <c r="C359" s="502">
        <f>+C351</f>
        <v>0.21527357790007334</v>
      </c>
      <c r="D359" s="502">
        <f t="shared" ref="D359:G359" si="107">+D351</f>
        <v>0.20692198110823595</v>
      </c>
      <c r="E359" s="502">
        <f t="shared" si="107"/>
        <v>0.19818642372637252</v>
      </c>
      <c r="F359" s="502">
        <f t="shared" si="107"/>
        <v>0.18903357948936386</v>
      </c>
      <c r="G359" s="503">
        <f t="shared" si="107"/>
        <v>0.18261054582794667</v>
      </c>
      <c r="H359" s="417"/>
    </row>
    <row r="360" spans="1:10" x14ac:dyDescent="0.2">
      <c r="A360" s="170" t="s">
        <v>387</v>
      </c>
      <c r="B360" s="170"/>
      <c r="C360" s="500">
        <f>+C306</f>
        <v>0.32110110380337403</v>
      </c>
      <c r="D360" s="500">
        <f t="shared" ref="D360:G360" si="108">+D306</f>
        <v>0.37278843603554268</v>
      </c>
      <c r="E360" s="500">
        <f t="shared" si="108"/>
        <v>0.43169478311425308</v>
      </c>
      <c r="F360" s="500">
        <f t="shared" si="108"/>
        <v>0.50690917197284546</v>
      </c>
      <c r="G360" s="501">
        <f t="shared" si="108"/>
        <v>0.58594374396344984</v>
      </c>
      <c r="H360" s="433"/>
    </row>
    <row r="361" spans="1:10" x14ac:dyDescent="0.2">
      <c r="A361" s="504" t="s">
        <v>380</v>
      </c>
      <c r="B361" s="505"/>
      <c r="C361" s="506">
        <f>+(C357*C358)+(C359*C360)</f>
        <v>0.10982255934129906</v>
      </c>
      <c r="D361" s="506">
        <f t="shared" ref="D361:G361" si="109">+(D357*D358)+(D359*D360)</f>
        <v>0.12084827947036883</v>
      </c>
      <c r="E361" s="506">
        <f t="shared" si="109"/>
        <v>0.12581218043354608</v>
      </c>
      <c r="F361" s="506">
        <f t="shared" si="109"/>
        <v>0.13162736098193731</v>
      </c>
      <c r="G361" s="507">
        <f t="shared" si="109"/>
        <v>0.13706234505065432</v>
      </c>
      <c r="H361" s="417"/>
    </row>
    <row r="362" spans="1:10" x14ac:dyDescent="0.2">
      <c r="A362" s="115"/>
      <c r="B362" s="115"/>
      <c r="C362" s="115"/>
      <c r="D362" s="115"/>
      <c r="E362" s="115"/>
      <c r="F362" s="115"/>
      <c r="G362" s="115"/>
      <c r="H362" s="115"/>
      <c r="I362" s="115"/>
      <c r="J362" s="115"/>
    </row>
    <row r="363" spans="1:10" x14ac:dyDescent="0.2">
      <c r="A363" s="115"/>
      <c r="B363" s="115"/>
      <c r="C363" s="115"/>
      <c r="D363" s="115"/>
      <c r="E363" s="115"/>
      <c r="F363" s="115"/>
      <c r="G363" s="115"/>
      <c r="H363" s="115"/>
      <c r="I363" s="115"/>
      <c r="J363" s="115"/>
    </row>
    <row r="364" spans="1:10" x14ac:dyDescent="0.2">
      <c r="A364" s="115"/>
      <c r="B364" s="115"/>
      <c r="C364" s="115"/>
      <c r="D364" s="115"/>
      <c r="E364" s="115"/>
      <c r="F364" s="115"/>
      <c r="G364" s="115"/>
      <c r="H364" s="115"/>
      <c r="I364" s="115"/>
      <c r="J364" s="115"/>
    </row>
  </sheetData>
  <mergeCells count="21">
    <mergeCell ref="A310:B310"/>
    <mergeCell ref="A350:B350"/>
    <mergeCell ref="A356:B356"/>
    <mergeCell ref="A116:E116"/>
    <mergeCell ref="F116:J116"/>
    <mergeCell ref="A145:E145"/>
    <mergeCell ref="E239:F239"/>
    <mergeCell ref="A298:C298"/>
    <mergeCell ref="A301:B301"/>
    <mergeCell ref="A92:E92"/>
    <mergeCell ref="F92:J92"/>
    <mergeCell ref="A106:E106"/>
    <mergeCell ref="F106:J106"/>
    <mergeCell ref="A111:E111"/>
    <mergeCell ref="F111:J111"/>
    <mergeCell ref="A69:C69"/>
    <mergeCell ref="D69:I69"/>
    <mergeCell ref="A77:E77"/>
    <mergeCell ref="F77:J77"/>
    <mergeCell ref="A86:E86"/>
    <mergeCell ref="F86:J86"/>
  </mergeCells>
  <conditionalFormatting sqref="C127:H127 C137:H137">
    <cfRule type="cellIs" dxfId="0" priority="1" stopIfTrue="1" operator="lessThan">
      <formula>0</formula>
    </cfRule>
  </conditionalFormatting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4097" r:id="rId3">
          <objectPr defaultSize="0" autoPict="0" r:id="rId4">
            <anchor moveWithCells="1">
              <from>
                <xdr:col>8</xdr:col>
                <xdr:colOff>104775</xdr:colOff>
                <xdr:row>354</xdr:row>
                <xdr:rowOff>0</xdr:rowOff>
              </from>
              <to>
                <xdr:col>12</xdr:col>
                <xdr:colOff>295275</xdr:colOff>
                <xdr:row>359</xdr:row>
                <xdr:rowOff>104775</xdr:rowOff>
              </to>
            </anchor>
          </objectPr>
        </oleObject>
      </mc:Choice>
      <mc:Fallback>
        <oleObject progId="Equation.3" shapeId="4097" r:id="rId3"/>
      </mc:Fallback>
    </mc:AlternateContent>
    <mc:AlternateContent xmlns:mc="http://schemas.openxmlformats.org/markup-compatibility/2006">
      <mc:Choice Requires="x14">
        <oleObject progId="Equation.3" shapeId="4098" r:id="rId5">
          <objectPr defaultSize="0" autoPict="0" r:id="rId6">
            <anchor moveWithCells="1">
              <from>
                <xdr:col>8</xdr:col>
                <xdr:colOff>38100</xdr:colOff>
                <xdr:row>311</xdr:row>
                <xdr:rowOff>257175</xdr:rowOff>
              </from>
              <to>
                <xdr:col>9</xdr:col>
                <xdr:colOff>142875</xdr:colOff>
                <xdr:row>314</xdr:row>
                <xdr:rowOff>123825</xdr:rowOff>
              </to>
            </anchor>
          </objectPr>
        </oleObject>
      </mc:Choice>
      <mc:Fallback>
        <oleObject progId="Equation.3" shapeId="4098" r:id="rId5"/>
      </mc:Fallback>
    </mc:AlternateContent>
    <mc:AlternateContent xmlns:mc="http://schemas.openxmlformats.org/markup-compatibility/2006">
      <mc:Choice Requires="x14">
        <oleObject progId="Equation.3" shapeId="4099" r:id="rId7">
          <objectPr defaultSize="0" autoPict="0" r:id="rId8">
            <anchor moveWithCells="1" sizeWithCells="1">
              <from>
                <xdr:col>8</xdr:col>
                <xdr:colOff>66675</xdr:colOff>
                <xdr:row>343</xdr:row>
                <xdr:rowOff>0</xdr:rowOff>
              </from>
              <to>
                <xdr:col>9</xdr:col>
                <xdr:colOff>762000</xdr:colOff>
                <xdr:row>343</xdr:row>
                <xdr:rowOff>0</xdr:rowOff>
              </to>
            </anchor>
          </objectPr>
        </oleObject>
      </mc:Choice>
      <mc:Fallback>
        <oleObject progId="Equation.3" shapeId="4099" r:id="rId7"/>
      </mc:Fallback>
    </mc:AlternateContent>
    <mc:AlternateContent xmlns:mc="http://schemas.openxmlformats.org/markup-compatibility/2006">
      <mc:Choice Requires="x14">
        <oleObject progId="Equation.3" shapeId="4100" r:id="rId9">
          <objectPr defaultSize="0" autoPict="0" r:id="rId10">
            <anchor moveWithCells="1">
              <from>
                <xdr:col>0</xdr:col>
                <xdr:colOff>104775</xdr:colOff>
                <xdr:row>293</xdr:row>
                <xdr:rowOff>219075</xdr:rowOff>
              </from>
              <to>
                <xdr:col>6</xdr:col>
                <xdr:colOff>295275</xdr:colOff>
                <xdr:row>299</xdr:row>
                <xdr:rowOff>95250</xdr:rowOff>
              </to>
            </anchor>
          </objectPr>
        </oleObject>
      </mc:Choice>
      <mc:Fallback>
        <oleObject progId="Equation.3" shapeId="4100" r:id="rId9"/>
      </mc:Fallback>
    </mc:AlternateContent>
    <mc:AlternateContent xmlns:mc="http://schemas.openxmlformats.org/markup-compatibility/2006">
      <mc:Choice Requires="x14">
        <oleObject progId="Equation.3" shapeId="4101" r:id="rId11">
          <objectPr defaultSize="0" autoPict="0" r:id="rId12">
            <anchor moveWithCells="1">
              <from>
                <xdr:col>8</xdr:col>
                <xdr:colOff>38100</xdr:colOff>
                <xdr:row>349</xdr:row>
                <xdr:rowOff>0</xdr:rowOff>
              </from>
              <to>
                <xdr:col>11</xdr:col>
                <xdr:colOff>838200</xdr:colOff>
                <xdr:row>354</xdr:row>
                <xdr:rowOff>104775</xdr:rowOff>
              </to>
            </anchor>
          </objectPr>
        </oleObject>
      </mc:Choice>
      <mc:Fallback>
        <oleObject progId="Equation.3" shapeId="4101" r:id="rId11"/>
      </mc:Fallback>
    </mc:AlternateContent>
    <mc:AlternateContent xmlns:mc="http://schemas.openxmlformats.org/markup-compatibility/2006">
      <mc:Choice Requires="x14">
        <oleObject progId="Equation.3" shapeId="4102" r:id="rId13">
          <objectPr defaultSize="0" autoPict="0" r:id="rId14">
            <anchor moveWithCells="1">
              <from>
                <xdr:col>2</xdr:col>
                <xdr:colOff>66675</xdr:colOff>
                <xdr:row>311</xdr:row>
                <xdr:rowOff>76200</xdr:rowOff>
              </from>
              <to>
                <xdr:col>7</xdr:col>
                <xdr:colOff>561975</xdr:colOff>
                <xdr:row>317</xdr:row>
                <xdr:rowOff>295275</xdr:rowOff>
              </to>
            </anchor>
          </objectPr>
        </oleObject>
      </mc:Choice>
      <mc:Fallback>
        <oleObject progId="Equation.3" shapeId="4102" r:id="rId13"/>
      </mc:Fallback>
    </mc:AlternateContent>
    <mc:AlternateContent xmlns:mc="http://schemas.openxmlformats.org/markup-compatibility/2006">
      <mc:Choice Requires="x14">
        <oleObject progId="Equation.3" shapeId="4103" r:id="rId15">
          <objectPr defaultSize="0" autoPict="0" r:id="rId16">
            <anchor moveWithCells="1" sizeWithCells="1">
              <from>
                <xdr:col>8</xdr:col>
                <xdr:colOff>38100</xdr:colOff>
                <xdr:row>293</xdr:row>
                <xdr:rowOff>0</xdr:rowOff>
              </from>
              <to>
                <xdr:col>10</xdr:col>
                <xdr:colOff>0</xdr:colOff>
                <xdr:row>293</xdr:row>
                <xdr:rowOff>0</xdr:rowOff>
              </to>
            </anchor>
          </objectPr>
        </oleObject>
      </mc:Choice>
      <mc:Fallback>
        <oleObject progId="Equation.3" shapeId="4103" r:id="rId15"/>
      </mc:Fallback>
    </mc:AlternateContent>
    <mc:AlternateContent xmlns:mc="http://schemas.openxmlformats.org/markup-compatibility/2006">
      <mc:Choice Requires="x14">
        <oleObject progId="Equation.3" shapeId="4104" r:id="rId17">
          <objectPr defaultSize="0" autoPict="0" r:id="rId18">
            <anchor moveWithCells="1">
              <from>
                <xdr:col>8</xdr:col>
                <xdr:colOff>104775</xdr:colOff>
                <xdr:row>287</xdr:row>
                <xdr:rowOff>152400</xdr:rowOff>
              </from>
              <to>
                <xdr:col>9</xdr:col>
                <xdr:colOff>428625</xdr:colOff>
                <xdr:row>293</xdr:row>
                <xdr:rowOff>38100</xdr:rowOff>
              </to>
            </anchor>
          </objectPr>
        </oleObject>
      </mc:Choice>
      <mc:Fallback>
        <oleObject progId="Equation.3" shapeId="4104" r:id="rId17"/>
      </mc:Fallback>
    </mc:AlternateContent>
    <mc:AlternateContent xmlns:mc="http://schemas.openxmlformats.org/markup-compatibility/2006">
      <mc:Choice Requires="x14">
        <oleObject progId="Equation.3" shapeId="4105" r:id="rId19">
          <objectPr defaultSize="0" autoPict="0" r:id="rId20">
            <anchor moveWithCells="1">
              <from>
                <xdr:col>8</xdr:col>
                <xdr:colOff>276225</xdr:colOff>
                <xdr:row>337</xdr:row>
                <xdr:rowOff>161925</xdr:rowOff>
              </from>
              <to>
                <xdr:col>10</xdr:col>
                <xdr:colOff>533400</xdr:colOff>
                <xdr:row>341</xdr:row>
                <xdr:rowOff>19050</xdr:rowOff>
              </to>
            </anchor>
          </objectPr>
        </oleObject>
      </mc:Choice>
      <mc:Fallback>
        <oleObject progId="Equation.3" shapeId="4105" r:id="rId19"/>
      </mc:Fallback>
    </mc:AlternateContent>
    <mc:AlternateContent xmlns:mc="http://schemas.openxmlformats.org/markup-compatibility/2006">
      <mc:Choice Requires="x14">
        <oleObject progId="Equation.3" shapeId="4106" r:id="rId21">
          <objectPr defaultSize="0" autoPict="0" r:id="rId22">
            <anchor moveWithCells="1">
              <from>
                <xdr:col>3</xdr:col>
                <xdr:colOff>295275</xdr:colOff>
                <xdr:row>321</xdr:row>
                <xdr:rowOff>152400</xdr:rowOff>
              </from>
              <to>
                <xdr:col>7</xdr:col>
                <xdr:colOff>409575</xdr:colOff>
                <xdr:row>330</xdr:row>
                <xdr:rowOff>66675</xdr:rowOff>
              </to>
            </anchor>
          </objectPr>
        </oleObject>
      </mc:Choice>
      <mc:Fallback>
        <oleObject progId="Equation.3" shapeId="4106" r:id="rId21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opLeftCell="A14" workbookViewId="0">
      <selection activeCell="A17" sqref="A17"/>
    </sheetView>
  </sheetViews>
  <sheetFormatPr baseColWidth="10" defaultRowHeight="11.25" x14ac:dyDescent="0.2"/>
  <cols>
    <col min="1" max="1" width="13.85546875" style="1" customWidth="1"/>
    <col min="2" max="16384" width="11.42578125" style="1"/>
  </cols>
  <sheetData>
    <row r="1" spans="1:8" ht="15" customHeight="1" x14ac:dyDescent="0.2">
      <c r="A1" s="617" t="str">
        <f>+'BALANCE GENERAL'!A1:G1</f>
        <v>Redetrans S.A. Desconsolidación de Contenedores en Puerto de Buenaventura</v>
      </c>
      <c r="B1" s="618"/>
      <c r="C1" s="618"/>
      <c r="D1" s="618"/>
      <c r="E1" s="618"/>
      <c r="F1" s="618"/>
      <c r="G1" s="620"/>
    </row>
    <row r="2" spans="1:8" x14ac:dyDescent="0.2">
      <c r="A2" s="614" t="s">
        <v>477</v>
      </c>
      <c r="B2" s="615"/>
      <c r="C2" s="615"/>
      <c r="D2" s="615"/>
      <c r="E2" s="615"/>
      <c r="F2" s="615"/>
      <c r="G2" s="616"/>
    </row>
    <row r="3" spans="1:8" x14ac:dyDescent="0.2">
      <c r="A3" s="591"/>
      <c r="B3" s="601"/>
      <c r="C3" s="601"/>
      <c r="D3" s="601"/>
      <c r="E3" s="601"/>
      <c r="F3" s="601"/>
      <c r="G3" s="602"/>
    </row>
    <row r="4" spans="1:8" x14ac:dyDescent="0.2">
      <c r="A4" s="14"/>
      <c r="B4" s="580" t="s">
        <v>45</v>
      </c>
      <c r="C4" s="580" t="s">
        <v>6</v>
      </c>
      <c r="D4" s="580" t="s">
        <v>7</v>
      </c>
      <c r="E4" s="580" t="s">
        <v>8</v>
      </c>
      <c r="F4" s="580" t="s">
        <v>9</v>
      </c>
      <c r="G4" s="581" t="s">
        <v>10</v>
      </c>
    </row>
    <row r="5" spans="1:8" x14ac:dyDescent="0.2">
      <c r="A5" s="14" t="s">
        <v>478</v>
      </c>
      <c r="B5" s="586">
        <v>0</v>
      </c>
      <c r="C5" s="586">
        <v>1</v>
      </c>
      <c r="D5" s="586">
        <v>2</v>
      </c>
      <c r="E5" s="586">
        <v>3</v>
      </c>
      <c r="F5" s="586">
        <v>4</v>
      </c>
      <c r="G5" s="587">
        <v>5</v>
      </c>
    </row>
    <row r="6" spans="1:8" x14ac:dyDescent="0.2">
      <c r="A6" s="591" t="s">
        <v>479</v>
      </c>
      <c r="B6" s="582">
        <f>-'FLUJO DE CAJA'!B35-'FLUJO DE CAJA'!B29</f>
        <v>-9088.9055000000026</v>
      </c>
      <c r="C6" s="582">
        <f>+'FLUJO DE CAJA'!C25</f>
        <v>4003.4169204296941</v>
      </c>
      <c r="D6" s="582">
        <f>+'FLUJO DE CAJA'!D25</f>
        <v>3408.1479748166639</v>
      </c>
      <c r="E6" s="582">
        <f>+'FLUJO DE CAJA'!E25</f>
        <v>3783.326557945586</v>
      </c>
      <c r="F6" s="582">
        <f>+'FLUJO DE CAJA'!F25</f>
        <v>4235.6959851069769</v>
      </c>
      <c r="G6" s="583">
        <f>+'FLUJO DE CAJA'!G25</f>
        <v>4757.7419136651097</v>
      </c>
      <c r="H6" s="3"/>
    </row>
    <row r="7" spans="1:8" x14ac:dyDescent="0.2">
      <c r="A7" s="591" t="s">
        <v>517</v>
      </c>
      <c r="B7" s="82">
        <f>+B17</f>
        <v>0.05</v>
      </c>
      <c r="C7" s="582"/>
      <c r="D7" s="582"/>
      <c r="E7" s="582"/>
      <c r="F7" s="582"/>
      <c r="G7" s="583"/>
      <c r="H7" s="3"/>
    </row>
    <row r="8" spans="1:8" x14ac:dyDescent="0.2">
      <c r="A8" s="591" t="s">
        <v>480</v>
      </c>
      <c r="B8" s="582"/>
      <c r="C8" s="603">
        <f>+WACC!C361</f>
        <v>0.10982255934129906</v>
      </c>
      <c r="D8" s="603">
        <f>+WACC!D361</f>
        <v>0.12084827947036883</v>
      </c>
      <c r="E8" s="603">
        <f>+WACC!E361</f>
        <v>0.12581218043354608</v>
      </c>
      <c r="F8" s="603">
        <f>+WACC!F361</f>
        <v>0.13162736098193731</v>
      </c>
      <c r="G8" s="604">
        <f>+WACC!G361</f>
        <v>0.13706234505065432</v>
      </c>
    </row>
    <row r="9" spans="1:8" x14ac:dyDescent="0.2">
      <c r="A9" s="591" t="s">
        <v>481</v>
      </c>
      <c r="B9" s="580">
        <f>+B6/((1+B8)^B5)</f>
        <v>-9088.9055000000026</v>
      </c>
      <c r="C9" s="580">
        <f t="shared" ref="C9:F9" si="0">+C6/((1+C8)^C5)</f>
        <v>3607.258553841074</v>
      </c>
      <c r="D9" s="580">
        <f t="shared" si="0"/>
        <v>2712.843768687138</v>
      </c>
      <c r="E9" s="580">
        <f t="shared" si="0"/>
        <v>2651.4045656646008</v>
      </c>
      <c r="F9" s="580">
        <f t="shared" si="0"/>
        <v>2582.9204061204691</v>
      </c>
      <c r="G9" s="581">
        <f>+(G6/(G8-B7))/((1+G8)^F5)</f>
        <v>32691.391624720454</v>
      </c>
    </row>
    <row r="10" spans="1:8" x14ac:dyDescent="0.2">
      <c r="A10" s="591" t="s">
        <v>406</v>
      </c>
      <c r="B10" s="580">
        <f>SUM(B9:G9)</f>
        <v>35156.913419033735</v>
      </c>
      <c r="C10" s="582"/>
      <c r="D10" s="582"/>
      <c r="E10" s="582"/>
      <c r="F10" s="582"/>
      <c r="G10" s="583"/>
    </row>
    <row r="11" spans="1:8" x14ac:dyDescent="0.2">
      <c r="A11" s="591" t="s">
        <v>407</v>
      </c>
      <c r="B11" s="605">
        <f>IRR(B6:G6)</f>
        <v>0.32726977336907126</v>
      </c>
      <c r="C11" s="582"/>
      <c r="D11" s="582"/>
      <c r="E11" s="582"/>
      <c r="F11" s="582"/>
      <c r="G11" s="583"/>
    </row>
    <row r="12" spans="1:8" ht="12" thickBot="1" x14ac:dyDescent="0.25">
      <c r="A12" s="606" t="s">
        <v>482</v>
      </c>
      <c r="B12" s="607">
        <f>WACC!E66/WACC!E47</f>
        <v>1.7982853119902279E-2</v>
      </c>
      <c r="C12" s="584"/>
      <c r="D12" s="584"/>
      <c r="E12" s="584"/>
      <c r="F12" s="584"/>
      <c r="G12" s="585"/>
    </row>
    <row r="13" spans="1:8" x14ac:dyDescent="0.2">
      <c r="B13" s="62"/>
      <c r="C13" s="62"/>
      <c r="D13" s="62"/>
      <c r="E13" s="62"/>
      <c r="F13" s="62"/>
      <c r="G13" s="62"/>
    </row>
    <row r="14" spans="1:8" x14ac:dyDescent="0.2">
      <c r="B14" s="62"/>
      <c r="C14" s="62"/>
      <c r="D14" s="62"/>
      <c r="E14" s="62"/>
      <c r="F14" s="62"/>
      <c r="G14" s="62"/>
    </row>
    <row r="15" spans="1:8" x14ac:dyDescent="0.2">
      <c r="A15" s="7" t="s">
        <v>483</v>
      </c>
      <c r="B15" s="62"/>
      <c r="C15" s="62"/>
      <c r="D15" s="62"/>
      <c r="E15" s="62"/>
      <c r="F15" s="62"/>
      <c r="G15" s="62"/>
    </row>
    <row r="16" spans="1:8" x14ac:dyDescent="0.2">
      <c r="A16" s="1" t="s">
        <v>484</v>
      </c>
      <c r="B16" s="514">
        <v>0.05</v>
      </c>
      <c r="C16" s="62"/>
      <c r="D16" s="62"/>
      <c r="E16" s="62"/>
      <c r="F16" s="62"/>
      <c r="G16" s="62"/>
    </row>
    <row r="17" spans="1:14" x14ac:dyDescent="0.2">
      <c r="A17" s="1" t="s">
        <v>518</v>
      </c>
      <c r="B17" s="514">
        <v>0.05</v>
      </c>
      <c r="C17" s="62"/>
      <c r="D17" s="62"/>
      <c r="E17" s="62"/>
      <c r="F17" s="62"/>
      <c r="G17" s="62"/>
    </row>
    <row r="18" spans="1:14" ht="12" thickBot="1" x14ac:dyDescent="0.25">
      <c r="B18" s="9"/>
      <c r="C18" s="62"/>
      <c r="D18" s="62"/>
      <c r="E18" s="62"/>
      <c r="F18" s="62"/>
      <c r="G18" s="62"/>
    </row>
    <row r="19" spans="1:14" ht="12" thickBot="1" x14ac:dyDescent="0.25">
      <c r="B19" s="62"/>
      <c r="C19" s="652" t="str">
        <f>+A16</f>
        <v>1. Variación de Contenedores</v>
      </c>
      <c r="D19" s="653"/>
      <c r="E19" s="653"/>
      <c r="F19" s="653"/>
      <c r="G19" s="653"/>
      <c r="H19" s="653"/>
      <c r="I19" s="653"/>
      <c r="J19" s="653"/>
      <c r="K19" s="653"/>
      <c r="L19" s="653"/>
      <c r="M19" s="653"/>
      <c r="N19" s="654"/>
    </row>
    <row r="20" spans="1:14" ht="12" customHeight="1" thickBot="1" x14ac:dyDescent="0.25">
      <c r="A20" s="649" t="str">
        <f>+A17</f>
        <v>2. Variación de crecimiento perpetuo</v>
      </c>
      <c r="B20" s="547">
        <f>+B10</f>
        <v>35156.913419033735</v>
      </c>
      <c r="C20" s="551">
        <f t="shared" ref="C20:K20" si="1">+D20-4%</f>
        <v>-0.35</v>
      </c>
      <c r="D20" s="551">
        <f t="shared" si="1"/>
        <v>-0.31</v>
      </c>
      <c r="E20" s="551">
        <f t="shared" si="1"/>
        <v>-0.27</v>
      </c>
      <c r="F20" s="551">
        <f t="shared" si="1"/>
        <v>-0.23000000000000004</v>
      </c>
      <c r="G20" s="551">
        <f t="shared" si="1"/>
        <v>-0.19000000000000003</v>
      </c>
      <c r="H20" s="551">
        <f t="shared" si="1"/>
        <v>-0.15000000000000002</v>
      </c>
      <c r="I20" s="551">
        <f t="shared" si="1"/>
        <v>-0.11000000000000001</v>
      </c>
      <c r="J20" s="551">
        <f t="shared" si="1"/>
        <v>-7.0000000000000007E-2</v>
      </c>
      <c r="K20" s="551">
        <f t="shared" si="1"/>
        <v>-0.03</v>
      </c>
      <c r="L20" s="551">
        <f>+M20-4%</f>
        <v>1.0000000000000002E-2</v>
      </c>
      <c r="M20" s="551">
        <v>0.05</v>
      </c>
      <c r="N20" s="552">
        <f>+M20+4%</f>
        <v>0.09</v>
      </c>
    </row>
    <row r="21" spans="1:14" x14ac:dyDescent="0.2">
      <c r="A21" s="650"/>
      <c r="B21" s="548">
        <f t="shared" ref="B21:B28" si="2">+B22-4%</f>
        <v>-0.3</v>
      </c>
      <c r="C21" s="608">
        <f t="dataTable" ref="C21:N34" dt2D="1" dtr="1" r1="B16" r2="B17"/>
        <v>-1941.7723120918315</v>
      </c>
      <c r="D21" s="609">
        <v>-1335.0519491829052</v>
      </c>
      <c r="E21" s="609">
        <v>-646.43542877588175</v>
      </c>
      <c r="F21" s="609">
        <v>132.93412439680446</v>
      </c>
      <c r="G21" s="609">
        <v>1012.4089575500568</v>
      </c>
      <c r="H21" s="609">
        <v>2001.8366898461443</v>
      </c>
      <c r="I21" s="609">
        <v>3111.5603123946626</v>
      </c>
      <c r="J21" s="609">
        <v>4352.418188252559</v>
      </c>
      <c r="K21" s="609">
        <v>5735.7440524241329</v>
      </c>
      <c r="L21" s="609">
        <v>7273.3670118610207</v>
      </c>
      <c r="M21" s="609">
        <v>8977.6115454622086</v>
      </c>
      <c r="N21" s="610">
        <v>10861.297504074028</v>
      </c>
    </row>
    <row r="22" spans="1:14" x14ac:dyDescent="0.2">
      <c r="A22" s="650"/>
      <c r="B22" s="549">
        <f t="shared" si="2"/>
        <v>-0.26</v>
      </c>
      <c r="C22" s="595">
        <v>-1849.3223351828224</v>
      </c>
      <c r="D22" s="596">
        <v>-1220.4886839590099</v>
      </c>
      <c r="E22" s="596">
        <v>-504.4207835744055</v>
      </c>
      <c r="F22" s="596">
        <v>308.5028259577291</v>
      </c>
      <c r="G22" s="596">
        <v>1228.4488802657913</v>
      </c>
      <c r="H22" s="596">
        <v>2266.1293906198653</v>
      </c>
      <c r="I22" s="596">
        <v>3432.8016439316834</v>
      </c>
      <c r="J22" s="596">
        <v>4740.2682027546507</v>
      </c>
      <c r="K22" s="596">
        <v>6200.8769052838416</v>
      </c>
      <c r="L22" s="596">
        <v>7827.5208653559985</v>
      </c>
      <c r="M22" s="596">
        <v>9633.6384724495219</v>
      </c>
      <c r="N22" s="597">
        <v>11633.21339168449</v>
      </c>
    </row>
    <row r="23" spans="1:14" x14ac:dyDescent="0.2">
      <c r="A23" s="650"/>
      <c r="B23" s="549">
        <f t="shared" si="2"/>
        <v>-0.22000000000000003</v>
      </c>
      <c r="C23" s="595">
        <v>-1736.1588939300127</v>
      </c>
      <c r="D23" s="596">
        <v>-1080.2574608981961</v>
      </c>
      <c r="E23" s="596">
        <v>-330.58768489106978</v>
      </c>
      <c r="F23" s="596">
        <v>523.40778439245332</v>
      </c>
      <c r="G23" s="596">
        <v>1492.8926575375319</v>
      </c>
      <c r="H23" s="596">
        <v>2589.6370054134277</v>
      </c>
      <c r="I23" s="596">
        <v>3826.0172591734604</v>
      </c>
      <c r="J23" s="596">
        <v>5215.0162102550366</v>
      </c>
      <c r="K23" s="596">
        <v>6770.2230103796492</v>
      </c>
      <c r="L23" s="596">
        <v>8505.8331715528657</v>
      </c>
      <c r="M23" s="611">
        <v>10436.64856606433</v>
      </c>
      <c r="N23" s="597">
        <v>12578.077426487778</v>
      </c>
    </row>
    <row r="24" spans="1:14" x14ac:dyDescent="0.2">
      <c r="A24" s="650"/>
      <c r="B24" s="549">
        <f t="shared" si="2"/>
        <v>-0.18000000000000002</v>
      </c>
      <c r="C24" s="595">
        <v>-1594.4424710900057</v>
      </c>
      <c r="D24" s="596">
        <v>-904.6436135050194</v>
      </c>
      <c r="E24" s="596">
        <v>-112.8936607091689</v>
      </c>
      <c r="F24" s="596">
        <v>792.53676830087898</v>
      </c>
      <c r="G24" s="596">
        <v>1824.0599121063317</v>
      </c>
      <c r="H24" s="596">
        <v>2994.7708668663045</v>
      </c>
      <c r="I24" s="596">
        <v>4318.4475863177704</v>
      </c>
      <c r="J24" s="596">
        <v>5809.5508817755972</v>
      </c>
      <c r="K24" s="596">
        <v>7483.2244221325382</v>
      </c>
      <c r="L24" s="596">
        <v>9355.2947338592239</v>
      </c>
      <c r="M24" s="596">
        <v>11442.271201004167</v>
      </c>
      <c r="N24" s="597">
        <v>13761.346065193771</v>
      </c>
    </row>
    <row r="25" spans="1:14" x14ac:dyDescent="0.2">
      <c r="A25" s="650"/>
      <c r="B25" s="549">
        <f t="shared" si="2"/>
        <v>-0.14000000000000001</v>
      </c>
      <c r="C25" s="595">
        <v>-1411.8063273650559</v>
      </c>
      <c r="D25" s="596">
        <v>-678.32237825339666</v>
      </c>
      <c r="E25" s="596">
        <v>167.65813626523459</v>
      </c>
      <c r="F25" s="596">
        <v>1139.375044349807</v>
      </c>
      <c r="G25" s="596">
        <v>2250.8496171407851</v>
      </c>
      <c r="H25" s="596">
        <v>3516.8845687601643</v>
      </c>
      <c r="I25" s="596">
        <v>4953.0640563114212</v>
      </c>
      <c r="J25" s="596">
        <v>6575.7536798795427</v>
      </c>
      <c r="K25" s="596">
        <v>8402.1004825310338</v>
      </c>
      <c r="L25" s="596">
        <v>10450.032950313889</v>
      </c>
      <c r="M25" s="596">
        <v>12738.261012257617</v>
      </c>
      <c r="N25" s="597">
        <v>15286.276040373232</v>
      </c>
    </row>
    <row r="26" spans="1:14" x14ac:dyDescent="0.2">
      <c r="A26" s="650"/>
      <c r="B26" s="549">
        <f t="shared" si="2"/>
        <v>-0.1</v>
      </c>
      <c r="C26" s="595">
        <v>-1167.5370655889285</v>
      </c>
      <c r="D26" s="596">
        <v>-375.62588055230754</v>
      </c>
      <c r="E26" s="596">
        <v>542.8860563209164</v>
      </c>
      <c r="F26" s="596">
        <v>1603.2587418383368</v>
      </c>
      <c r="G26" s="596">
        <v>2821.6654702143142</v>
      </c>
      <c r="H26" s="596">
        <v>4215.1928330700148</v>
      </c>
      <c r="I26" s="596">
        <v>5801.8407194333522</v>
      </c>
      <c r="J26" s="596">
        <v>7600.5223157390274</v>
      </c>
      <c r="K26" s="596">
        <v>9631.0641058285273</v>
      </c>
      <c r="L26" s="596">
        <v>11914.205870950105</v>
      </c>
      <c r="M26" s="596">
        <v>14471.60068975879</v>
      </c>
      <c r="N26" s="597">
        <v>17325.814938316398</v>
      </c>
    </row>
    <row r="27" spans="1:14" x14ac:dyDescent="0.2">
      <c r="A27" s="650"/>
      <c r="B27" s="549">
        <f t="shared" si="2"/>
        <v>-0.06</v>
      </c>
      <c r="C27" s="595">
        <v>-824.10354725700336</v>
      </c>
      <c r="D27" s="596">
        <v>49.954163520173097</v>
      </c>
      <c r="E27" s="596">
        <v>1070.4425889115728</v>
      </c>
      <c r="F27" s="596">
        <v>2255.4620078854532</v>
      </c>
      <c r="G27" s="596">
        <v>3624.2113792462478</v>
      </c>
      <c r="H27" s="596">
        <v>5196.9883416346129</v>
      </c>
      <c r="I27" s="596">
        <v>6995.1892135273592</v>
      </c>
      <c r="J27" s="596">
        <v>9041.3089932374951</v>
      </c>
      <c r="K27" s="596">
        <v>11358.941358914237</v>
      </c>
      <c r="L27" s="596">
        <v>13972.778668542969</v>
      </c>
      <c r="M27" s="596">
        <v>16908.611959945265</v>
      </c>
      <c r="N27" s="597">
        <v>20193.330950778902</v>
      </c>
    </row>
    <row r="28" spans="1:14" x14ac:dyDescent="0.2">
      <c r="A28" s="650"/>
      <c r="B28" s="549">
        <f t="shared" si="2"/>
        <v>-1.9999999999999997E-2</v>
      </c>
      <c r="C28" s="595">
        <v>-305.74152230120762</v>
      </c>
      <c r="D28" s="596">
        <v>692.30420115678999</v>
      </c>
      <c r="E28" s="596">
        <v>1866.711030735732</v>
      </c>
      <c r="F28" s="596">
        <v>3239.8662306096257</v>
      </c>
      <c r="G28" s="596">
        <v>4835.5355521061429</v>
      </c>
      <c r="H28" s="596">
        <v>6678.8632337066747</v>
      </c>
      <c r="I28" s="596">
        <v>8796.372001046253</v>
      </c>
      <c r="J28" s="596">
        <v>11215.963066913602</v>
      </c>
      <c r="K28" s="596">
        <v>13966.916131251146</v>
      </c>
      <c r="L28" s="596">
        <v>17079.889381154971</v>
      </c>
      <c r="M28" s="596">
        <v>20586.919490874832</v>
      </c>
      <c r="N28" s="597">
        <v>24521.421621814188</v>
      </c>
    </row>
    <row r="29" spans="1:14" ht="12" thickBot="1" x14ac:dyDescent="0.25">
      <c r="A29" s="650"/>
      <c r="B29" s="549">
        <f>+B30-3%</f>
        <v>2.0000000000000004E-2</v>
      </c>
      <c r="C29" s="595">
        <v>566.86731001625049</v>
      </c>
      <c r="D29" s="596">
        <v>1773.6340233577175</v>
      </c>
      <c r="E29" s="596">
        <v>3207.1465599214866</v>
      </c>
      <c r="F29" s="596">
        <v>4897.008879886389</v>
      </c>
      <c r="G29" s="596">
        <v>6874.6744572512926</v>
      </c>
      <c r="H29" s="596">
        <v>9173.4462798351633</v>
      </c>
      <c r="I29" s="596">
        <v>11828.476849276984</v>
      </c>
      <c r="J29" s="596">
        <v>14876.768181035795</v>
      </c>
      <c r="K29" s="596">
        <v>18357.171804390724</v>
      </c>
      <c r="L29" s="596">
        <v>22310.388762440925</v>
      </c>
      <c r="M29" s="596">
        <v>26778.969612105597</v>
      </c>
      <c r="N29" s="597">
        <v>31807.314424124033</v>
      </c>
    </row>
    <row r="30" spans="1:14" ht="12" thickBot="1" x14ac:dyDescent="0.25">
      <c r="A30" s="650"/>
      <c r="B30" s="549">
        <v>0.05</v>
      </c>
      <c r="C30" s="595">
        <v>1747.5211515474507</v>
      </c>
      <c r="D30" s="596">
        <v>3236.690734751759</v>
      </c>
      <c r="E30" s="596">
        <v>5020.7774770588421</v>
      </c>
      <c r="F30" s="596">
        <v>7139.1496448815533</v>
      </c>
      <c r="G30" s="596">
        <v>9633.6623251387955</v>
      </c>
      <c r="H30" s="596">
        <v>12548.657425255609</v>
      </c>
      <c r="I30" s="596">
        <v>15930.963673163064</v>
      </c>
      <c r="J30" s="596">
        <v>19829.896617298309</v>
      </c>
      <c r="K30" s="596">
        <v>24297.258626604616</v>
      </c>
      <c r="L30" s="596">
        <v>29387.338890531297</v>
      </c>
      <c r="M30" s="612">
        <v>35156.913419033735</v>
      </c>
      <c r="N30" s="597">
        <v>41665.245042573421</v>
      </c>
    </row>
    <row r="31" spans="1:14" x14ac:dyDescent="0.2">
      <c r="A31" s="650"/>
      <c r="B31" s="549">
        <f>+B30+4%</f>
        <v>0.09</v>
      </c>
      <c r="C31" s="595">
        <v>5663.1811761084045</v>
      </c>
      <c r="D31" s="596">
        <v>8088.94503398098</v>
      </c>
      <c r="E31" s="596">
        <v>11035.717531234661</v>
      </c>
      <c r="F31" s="596">
        <v>14575.250434206828</v>
      </c>
      <c r="G31" s="596">
        <v>18783.895969002529</v>
      </c>
      <c r="H31" s="596">
        <v>23742.606821494603</v>
      </c>
      <c r="I31" s="596">
        <v>29536.936137323504</v>
      </c>
      <c r="J31" s="596">
        <v>36257.037521897408</v>
      </c>
      <c r="K31" s="596">
        <v>43997.665040392225</v>
      </c>
      <c r="L31" s="596">
        <v>52858.173217751588</v>
      </c>
      <c r="M31" s="596">
        <v>62942.51703868671</v>
      </c>
      <c r="N31" s="597">
        <v>74359.251947676632</v>
      </c>
    </row>
    <row r="32" spans="1:14" x14ac:dyDescent="0.2">
      <c r="A32" s="650"/>
      <c r="B32" s="549">
        <f t="shared" ref="B32:B34" si="3">+B31+4%</f>
        <v>0.13</v>
      </c>
      <c r="C32" s="595">
        <v>53934.193384410959</v>
      </c>
      <c r="D32" s="596">
        <v>67905.993768222077</v>
      </c>
      <c r="E32" s="596">
        <v>85185.986698150984</v>
      </c>
      <c r="F32" s="596">
        <v>106245.13743465854</v>
      </c>
      <c r="G32" s="596">
        <v>131585.06797097987</v>
      </c>
      <c r="H32" s="596">
        <v>161738.05703312525</v>
      </c>
      <c r="I32" s="596">
        <v>197267.0400798787</v>
      </c>
      <c r="J32" s="596">
        <v>238765.60930279904</v>
      </c>
      <c r="K32" s="596">
        <v>286858.01362622</v>
      </c>
      <c r="L32" s="596">
        <v>342199.15870724933</v>
      </c>
      <c r="M32" s="596">
        <v>405474.60693576914</v>
      </c>
      <c r="N32" s="597">
        <v>477400.57743443648</v>
      </c>
    </row>
    <row r="33" spans="1:14" x14ac:dyDescent="0.2">
      <c r="A33" s="650"/>
      <c r="B33" s="549">
        <f t="shared" si="3"/>
        <v>0.17</v>
      </c>
      <c r="C33" s="595">
        <v>-15036.929058433443</v>
      </c>
      <c r="D33" s="596">
        <v>-17562.464498524754</v>
      </c>
      <c r="E33" s="596">
        <v>-20762.222380456555</v>
      </c>
      <c r="F33" s="596">
        <v>-24735.646091202358</v>
      </c>
      <c r="G33" s="596">
        <v>-29588.752297627983</v>
      </c>
      <c r="H33" s="596">
        <v>-35434.130946491692</v>
      </c>
      <c r="I33" s="596">
        <v>-42390.945264443944</v>
      </c>
      <c r="J33" s="596">
        <v>-50584.931758027597</v>
      </c>
      <c r="K33" s="596">
        <v>-60148.400213677902</v>
      </c>
      <c r="L33" s="596">
        <v>-71220.233697722375</v>
      </c>
      <c r="M33" s="596">
        <v>-83945.888556380858</v>
      </c>
      <c r="N33" s="597">
        <v>-98477.39441576555</v>
      </c>
    </row>
    <row r="34" spans="1:14" ht="12" thickBot="1" x14ac:dyDescent="0.25">
      <c r="A34" s="651"/>
      <c r="B34" s="550">
        <f t="shared" si="3"/>
        <v>0.21000000000000002</v>
      </c>
      <c r="C34" s="598">
        <v>-8358.6520345754925</v>
      </c>
      <c r="D34" s="599">
        <v>-9286.7975107882776</v>
      </c>
      <c r="E34" s="599">
        <v>-10503.559546675597</v>
      </c>
      <c r="F34" s="599">
        <v>-12053.150487153798</v>
      </c>
      <c r="G34" s="599">
        <v>-13982.75108111559</v>
      </c>
      <c r="H34" s="599">
        <v>-16342.510481430101</v>
      </c>
      <c r="I34" s="599">
        <v>-19185.546244942791</v>
      </c>
      <c r="J34" s="599">
        <v>-22567.944332475501</v>
      </c>
      <c r="K34" s="599">
        <v>-26548.759108826493</v>
      </c>
      <c r="L34" s="599">
        <v>-31190.01334277038</v>
      </c>
      <c r="M34" s="599">
        <v>-36556.698207058107</v>
      </c>
      <c r="N34" s="600">
        <v>-42716.773278417066</v>
      </c>
    </row>
  </sheetData>
  <mergeCells count="4">
    <mergeCell ref="A1:G1"/>
    <mergeCell ref="A2:G2"/>
    <mergeCell ref="A20:A34"/>
    <mergeCell ref="C19:N19"/>
  </mergeCells>
  <conditionalFormatting sqref="C21:N3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NECESIDADES</vt:lpstr>
      <vt:lpstr>BASES DE LAS PROYECCIONE</vt:lpstr>
      <vt:lpstr>PROYECCION VENTAS</vt:lpstr>
      <vt:lpstr>PLAN DE AMORTIZACIÓN</vt:lpstr>
      <vt:lpstr>ESTADO DE RESULTADOS</vt:lpstr>
      <vt:lpstr>FLUJO DE CAJA</vt:lpstr>
      <vt:lpstr>BALANCE GENERAL</vt:lpstr>
      <vt:lpstr>WACC</vt:lpstr>
      <vt:lpstr>EVALUACIÓN</vt:lpstr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Marley Serrano</dc:creator>
  <cp:lastModifiedBy>Luis Alberto Garay</cp:lastModifiedBy>
  <dcterms:created xsi:type="dcterms:W3CDTF">2014-05-12T17:48:05Z</dcterms:created>
  <dcterms:modified xsi:type="dcterms:W3CDTF">2016-03-07T20:05:45Z</dcterms:modified>
</cp:coreProperties>
</file>