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autoCompressPictures="0" defaultThemeVersion="124226"/>
  <mc:AlternateContent xmlns:mc="http://schemas.openxmlformats.org/markup-compatibility/2006">
    <mc:Choice Requires="x15">
      <x15ac:absPath xmlns:x15ac="http://schemas.microsoft.com/office/spreadsheetml/2010/11/ac" url="https://edfman-my.sharepoint.com/personal/yuli_guerrero_edfman_net/Documents/Nueva carpeta/Versión Jurados/"/>
    </mc:Choice>
  </mc:AlternateContent>
  <xr:revisionPtr revIDLastSave="0" documentId="13_ncr:1_{039D1608-F473-47C0-B7A0-24A92CF5E441}" xr6:coauthVersionLast="45" xr6:coauthVersionMax="45" xr10:uidLastSave="{00000000-0000-0000-0000-000000000000}"/>
  <bookViews>
    <workbookView xWindow="-120" yWindow="-120" windowWidth="20730" windowHeight="11160" tabRatio="703" xr2:uid="{00000000-000D-0000-FFFF-FFFF00000000}"/>
  </bookViews>
  <sheets>
    <sheet name="Menú" sheetId="7" r:id="rId1"/>
    <sheet name="1" sheetId="1" r:id="rId2"/>
    <sheet name="2" sheetId="4" r:id="rId3"/>
    <sheet name="3" sheetId="3" r:id="rId4"/>
    <sheet name="4" sheetId="5" r:id="rId5"/>
    <sheet name="5" sheetId="6" r:id="rId6"/>
    <sheet name="6" sheetId="8" r:id="rId7"/>
  </sheets>
  <definedNames>
    <definedName name="_xlnm.Print_Area" localSheetId="6">'6'!$A:$F</definedName>
    <definedName name="_xlnm.Print_Area" localSheetId="0">Menú!$B$2:$J$24</definedName>
  </definedNames>
  <calcPr calcId="191029"/>
  <customWorkbookViews>
    <customWorkbookView name="v1" guid="{D031F759-B892-43F4-943A-9CD4A624A3F4}" includePrintSettings="0" includeHiddenRowCol="0" maximized="1" xWindow="-8" yWindow="-8" windowWidth="1382" windowHeight="744" tabRatio="70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26" i="4" l="1"/>
  <c r="F25" i="4" l="1"/>
  <c r="F20" i="4"/>
  <c r="F30" i="4"/>
  <c r="C21" i="4"/>
  <c r="C6" i="4"/>
  <c r="C12" i="4"/>
  <c r="C26" i="4" l="1"/>
  <c r="F27" i="4"/>
  <c r="F28" i="4"/>
  <c r="F23" i="4" l="1"/>
  <c r="F22" i="4" l="1"/>
  <c r="F21" i="4"/>
  <c r="C3" i="1"/>
  <c r="C4" i="1"/>
  <c r="C5" i="1"/>
  <c r="C6" i="1"/>
  <c r="C7" i="1"/>
  <c r="C8" i="1"/>
  <c r="C23" i="4"/>
  <c r="C19" i="4"/>
  <c r="F24" i="4"/>
  <c r="F19" i="4" l="1"/>
  <c r="B23" i="5" l="1"/>
  <c r="L3" i="3" l="1"/>
  <c r="AQ10" i="3"/>
  <c r="AQ11" i="3" s="1"/>
  <c r="AQ12" i="3" s="1"/>
  <c r="AQ13" i="3" s="1"/>
  <c r="AQ14" i="3" s="1"/>
  <c r="AQ15" i="3" s="1"/>
  <c r="AQ16" i="3" s="1"/>
  <c r="AQ17" i="3" s="1"/>
  <c r="AQ19" i="3" s="1"/>
  <c r="AQ20" i="3" s="1"/>
  <c r="AQ21" i="3" s="1"/>
  <c r="AQ22" i="3" s="1"/>
  <c r="AQ23" i="3" s="1"/>
  <c r="AQ24" i="3" s="1"/>
  <c r="AQ25" i="3" s="1"/>
  <c r="AQ26" i="3" s="1"/>
  <c r="AQ27" i="3" s="1"/>
  <c r="AQ28" i="3" s="1"/>
  <c r="AQ29" i="3" s="1"/>
  <c r="AQ30" i="3" s="1"/>
  <c r="AQ31" i="3" s="1"/>
  <c r="AQ32" i="3" s="1"/>
  <c r="AQ33" i="3" s="1"/>
  <c r="AQ34" i="3" s="1"/>
  <c r="AQ35" i="3" s="1"/>
  <c r="AQ36" i="3" s="1"/>
  <c r="AQ37" i="3" s="1"/>
  <c r="AQ38" i="3" s="1"/>
  <c r="AQ39" i="3" s="1"/>
  <c r="AQ40" i="3" s="1"/>
  <c r="AQ41" i="3" s="1"/>
  <c r="AQ42" i="3" s="1"/>
  <c r="AQ43" i="3" s="1"/>
  <c r="AQ44" i="3" s="1"/>
  <c r="AQ45" i="3" s="1"/>
  <c r="AQ46" i="3" s="1"/>
  <c r="AQ47" i="3" s="1"/>
  <c r="AQ48" i="3" s="1"/>
  <c r="AQ49" i="3" s="1"/>
  <c r="AQ50" i="3" s="1"/>
  <c r="AQ51" i="3" s="1"/>
  <c r="AQ52" i="3" s="1"/>
  <c r="AQ53" i="3" s="1"/>
  <c r="AQ54" i="3" s="1"/>
  <c r="AQ55" i="3" s="1"/>
  <c r="AQ56" i="3" s="1"/>
  <c r="AQ57" i="3" s="1"/>
  <c r="AQ58" i="3" s="1"/>
  <c r="AQ59" i="3" s="1"/>
  <c r="AQ60" i="3" s="1"/>
  <c r="AQ61" i="3" s="1"/>
  <c r="AQ62" i="3" s="1"/>
  <c r="AQ63" i="3" s="1"/>
  <c r="AQ64" i="3" s="1"/>
  <c r="AQ65" i="3" s="1"/>
  <c r="AQ66" i="3" s="1"/>
  <c r="AQ67" i="3" s="1"/>
  <c r="AQ68" i="3" s="1"/>
  <c r="AQ69" i="3" s="1"/>
  <c r="AK10" i="3"/>
  <c r="AK11" i="3" s="1"/>
  <c r="AK12" i="3" s="1"/>
  <c r="AK13" i="3" s="1"/>
  <c r="AK14" i="3" s="1"/>
  <c r="AK15" i="3" s="1"/>
  <c r="AK16" i="3" s="1"/>
  <c r="AK17" i="3" s="1"/>
  <c r="AK19" i="3" s="1"/>
  <c r="AK20" i="3" s="1"/>
  <c r="AK21" i="3" s="1"/>
  <c r="AK22" i="3" s="1"/>
  <c r="AK23" i="3" s="1"/>
  <c r="AK24" i="3" s="1"/>
  <c r="AK25" i="3" s="1"/>
  <c r="AK26" i="3" s="1"/>
  <c r="AK27" i="3" s="1"/>
  <c r="AK28" i="3" s="1"/>
  <c r="AK29" i="3" s="1"/>
  <c r="AK30" i="3" s="1"/>
  <c r="AK31" i="3" s="1"/>
  <c r="AK32" i="3" s="1"/>
  <c r="AK33" i="3" s="1"/>
  <c r="AK34" i="3" s="1"/>
  <c r="AK35" i="3" s="1"/>
  <c r="AK36" i="3" s="1"/>
  <c r="AK37" i="3" s="1"/>
  <c r="AK38" i="3" s="1"/>
  <c r="AK39" i="3" s="1"/>
  <c r="AK40" i="3" s="1"/>
  <c r="AK41" i="3" s="1"/>
  <c r="AK42" i="3" s="1"/>
  <c r="AK43" i="3" s="1"/>
  <c r="AK44" i="3" s="1"/>
  <c r="AK45" i="3" s="1"/>
  <c r="AK46" i="3" s="1"/>
  <c r="AK47" i="3" s="1"/>
  <c r="AK48" i="3" s="1"/>
  <c r="AK49" i="3" s="1"/>
  <c r="AK50" i="3" s="1"/>
  <c r="AK51" i="3" s="1"/>
  <c r="AK52" i="3" s="1"/>
  <c r="AK53" i="3" s="1"/>
  <c r="AK54" i="3" s="1"/>
  <c r="AK55" i="3" s="1"/>
  <c r="AK56" i="3" s="1"/>
  <c r="AK57" i="3" s="1"/>
  <c r="AK58" i="3" s="1"/>
  <c r="AK59" i="3" s="1"/>
  <c r="AK60" i="3" s="1"/>
  <c r="AK61" i="3" s="1"/>
  <c r="AK62" i="3" s="1"/>
  <c r="AK63" i="3" s="1"/>
  <c r="AK64" i="3" s="1"/>
  <c r="AK65" i="3" s="1"/>
  <c r="AK66" i="3" s="1"/>
  <c r="AK67" i="3" s="1"/>
  <c r="AK68" i="3" s="1"/>
  <c r="AK69" i="3" s="1"/>
  <c r="AE10" i="3"/>
  <c r="AE11" i="3" s="1"/>
  <c r="AE12" i="3" s="1"/>
  <c r="AE13" i="3" s="1"/>
  <c r="AE14" i="3" s="1"/>
  <c r="AE15" i="3" s="1"/>
  <c r="AE16" i="3" s="1"/>
  <c r="AE17" i="3" s="1"/>
  <c r="AE19" i="3" s="1"/>
  <c r="AE20" i="3" s="1"/>
  <c r="AE21" i="3" s="1"/>
  <c r="AE22" i="3" s="1"/>
  <c r="AE23" i="3" s="1"/>
  <c r="AE24" i="3" s="1"/>
  <c r="AE25" i="3" s="1"/>
  <c r="AE26" i="3" s="1"/>
  <c r="AE27" i="3" s="1"/>
  <c r="AE28" i="3" s="1"/>
  <c r="AE29" i="3" s="1"/>
  <c r="AE30" i="3" s="1"/>
  <c r="AE31" i="3" s="1"/>
  <c r="AE32" i="3" s="1"/>
  <c r="AE33" i="3" s="1"/>
  <c r="AE34" i="3" s="1"/>
  <c r="AE35" i="3" s="1"/>
  <c r="AE36" i="3" s="1"/>
  <c r="AE37" i="3" s="1"/>
  <c r="AE38" i="3" s="1"/>
  <c r="AE39" i="3" s="1"/>
  <c r="AE40" i="3" s="1"/>
  <c r="AE41" i="3" s="1"/>
  <c r="AE42" i="3" s="1"/>
  <c r="AE43" i="3" s="1"/>
  <c r="AE44" i="3" s="1"/>
  <c r="AE45" i="3" s="1"/>
  <c r="AE46" i="3" s="1"/>
  <c r="AE47" i="3" s="1"/>
  <c r="AE48" i="3" s="1"/>
  <c r="AE49" i="3" s="1"/>
  <c r="AE50" i="3" s="1"/>
  <c r="AE51" i="3" s="1"/>
  <c r="AE52" i="3" s="1"/>
  <c r="AE53" i="3" s="1"/>
  <c r="AE54" i="3" s="1"/>
  <c r="AE55" i="3" s="1"/>
  <c r="AE56" i="3" s="1"/>
  <c r="AE57" i="3" s="1"/>
  <c r="AE58" i="3" s="1"/>
  <c r="AE59" i="3" s="1"/>
  <c r="AE60" i="3" s="1"/>
  <c r="AE61" i="3" s="1"/>
  <c r="AE62" i="3" s="1"/>
  <c r="AE63" i="3" s="1"/>
  <c r="AE64" i="3" s="1"/>
  <c r="AE65" i="3" s="1"/>
  <c r="AE66" i="3" s="1"/>
  <c r="AE67" i="3" s="1"/>
  <c r="AE68" i="3" s="1"/>
  <c r="AE69" i="3" s="1"/>
  <c r="AO8" i="3"/>
  <c r="AI8" i="3"/>
  <c r="J6" i="4" l="1"/>
  <c r="I4" i="3" s="1"/>
  <c r="H3" i="6" s="1"/>
  <c r="D7" i="8" s="1"/>
  <c r="D52" i="8" s="1"/>
  <c r="A205" i="8"/>
  <c r="D205" i="8"/>
  <c r="B204" i="8"/>
  <c r="C204" i="8"/>
  <c r="D204" i="8"/>
  <c r="E204" i="8"/>
  <c r="A204" i="8"/>
  <c r="A202" i="8"/>
  <c r="A203" i="8"/>
  <c r="E203" i="8"/>
  <c r="B189" i="8"/>
  <c r="C189" i="8"/>
  <c r="D189" i="8"/>
  <c r="E189" i="8"/>
  <c r="A187" i="8"/>
  <c r="A185" i="8"/>
  <c r="A181" i="8"/>
  <c r="C165" i="8"/>
  <c r="D165" i="8"/>
  <c r="E165" i="8"/>
  <c r="F165" i="8"/>
  <c r="B165" i="8"/>
  <c r="A172" i="8"/>
  <c r="A173" i="8"/>
  <c r="A159" i="8"/>
  <c r="A160" i="8"/>
  <c r="A162" i="8"/>
  <c r="A163" i="8"/>
  <c r="A164" i="8"/>
  <c r="A166" i="8"/>
  <c r="A168" i="8"/>
  <c r="A169" i="8"/>
  <c r="A170" i="8"/>
  <c r="A171" i="8"/>
  <c r="A158" i="8"/>
  <c r="B153" i="8"/>
  <c r="C153" i="8"/>
  <c r="D153" i="8"/>
  <c r="E153" i="8"/>
  <c r="F153" i="8"/>
  <c r="A137" i="8"/>
  <c r="A138" i="8"/>
  <c r="A139" i="8"/>
  <c r="A140" i="8"/>
  <c r="A141" i="8"/>
  <c r="A142" i="8"/>
  <c r="A143" i="8"/>
  <c r="A144" i="8"/>
  <c r="A145" i="8"/>
  <c r="A146" i="8"/>
  <c r="A147" i="8"/>
  <c r="A148" i="8"/>
  <c r="A149" i="8"/>
  <c r="A150" i="8"/>
  <c r="A151" i="8"/>
  <c r="A152" i="8"/>
  <c r="A154" i="8"/>
  <c r="A128" i="8"/>
  <c r="A129" i="8"/>
  <c r="A118" i="8"/>
  <c r="A119" i="8"/>
  <c r="A120" i="8"/>
  <c r="A121" i="8"/>
  <c r="A122" i="8"/>
  <c r="A123" i="8"/>
  <c r="A124" i="8"/>
  <c r="A125" i="8"/>
  <c r="A126" i="8"/>
  <c r="A127" i="8"/>
  <c r="A116" i="8"/>
  <c r="A106" i="8"/>
  <c r="B106" i="8"/>
  <c r="C106" i="8"/>
  <c r="D106" i="8"/>
  <c r="E106" i="8"/>
  <c r="A107" i="8"/>
  <c r="B107" i="8"/>
  <c r="C107" i="8"/>
  <c r="D107" i="8"/>
  <c r="A104" i="8"/>
  <c r="B103" i="8"/>
  <c r="A94" i="8"/>
  <c r="A95" i="8"/>
  <c r="C96" i="8"/>
  <c r="A97" i="8"/>
  <c r="A98" i="8"/>
  <c r="A99" i="8"/>
  <c r="A92" i="8"/>
  <c r="A76" i="8"/>
  <c r="C76" i="8"/>
  <c r="A77" i="8"/>
  <c r="A78" i="8"/>
  <c r="A80" i="8"/>
  <c r="B80" i="8"/>
  <c r="C80" i="8"/>
  <c r="A81" i="8"/>
  <c r="B81" i="8"/>
  <c r="A82" i="8"/>
  <c r="B82" i="8"/>
  <c r="A83" i="8"/>
  <c r="B83" i="8"/>
  <c r="A84" i="8"/>
  <c r="B84" i="8"/>
  <c r="A85" i="8"/>
  <c r="B85" i="8"/>
  <c r="C75" i="8"/>
  <c r="D66" i="8"/>
  <c r="D67" i="8"/>
  <c r="D68" i="8"/>
  <c r="D69" i="8"/>
  <c r="D70" i="8"/>
  <c r="D71" i="8"/>
  <c r="E70" i="8"/>
  <c r="B65" i="8"/>
  <c r="A66" i="8"/>
  <c r="B66" i="8"/>
  <c r="D58" i="8"/>
  <c r="E58" i="8"/>
  <c r="B67" i="8"/>
  <c r="D59" i="8"/>
  <c r="E59" i="8"/>
  <c r="A68" i="8"/>
  <c r="B68" i="8"/>
  <c r="D60" i="8"/>
  <c r="E60" i="8"/>
  <c r="B69" i="8"/>
  <c r="D61" i="8"/>
  <c r="E61" i="8"/>
  <c r="A70" i="8"/>
  <c r="B70" i="8"/>
  <c r="D62" i="8"/>
  <c r="E62" i="8"/>
  <c r="A71" i="8"/>
  <c r="D63" i="8"/>
  <c r="E63" i="8"/>
  <c r="D64" i="8"/>
  <c r="E64" i="8"/>
  <c r="A73" i="8"/>
  <c r="B73" i="8"/>
  <c r="D65" i="8"/>
  <c r="E65" i="8"/>
  <c r="E66" i="8"/>
  <c r="E67" i="8"/>
  <c r="E68" i="8"/>
  <c r="E69" i="8"/>
  <c r="D56" i="8"/>
  <c r="A64" i="8"/>
  <c r="D55" i="8"/>
  <c r="A61" i="8"/>
  <c r="B61" i="8"/>
  <c r="A62" i="8"/>
  <c r="A59" i="8"/>
  <c r="B59" i="8"/>
  <c r="A60" i="8"/>
  <c r="A54" i="8"/>
  <c r="B54" i="8"/>
  <c r="A55" i="8"/>
  <c r="B55" i="8"/>
  <c r="A56" i="8"/>
  <c r="B56" i="8"/>
  <c r="A57" i="8"/>
  <c r="B57" i="8"/>
  <c r="A58" i="8"/>
  <c r="B58" i="8"/>
  <c r="B53" i="8"/>
  <c r="A6" i="8"/>
  <c r="C32" i="8"/>
  <c r="C28" i="8"/>
  <c r="C29" i="8"/>
  <c r="C30" i="8"/>
  <c r="C31" i="8"/>
  <c r="C23" i="8"/>
  <c r="C24" i="8"/>
  <c r="C25" i="8"/>
  <c r="C26" i="8"/>
  <c r="C27" i="8"/>
  <c r="B22" i="8"/>
  <c r="C22" i="8"/>
  <c r="D22" i="8"/>
  <c r="A22" i="8"/>
  <c r="A20" i="8"/>
  <c r="C19" i="8"/>
  <c r="A18" i="8"/>
  <c r="B18" i="8"/>
  <c r="C18" i="8"/>
  <c r="B17" i="8"/>
  <c r="C17" i="8"/>
  <c r="A17" i="8"/>
  <c r="A10" i="8"/>
  <c r="B10" i="8"/>
  <c r="C10" i="8"/>
  <c r="A11" i="8"/>
  <c r="B11" i="8"/>
  <c r="C11" i="8"/>
  <c r="A12" i="8"/>
  <c r="B12" i="8"/>
  <c r="C12" i="8"/>
  <c r="A13" i="8"/>
  <c r="B13" i="8"/>
  <c r="C13" i="8"/>
  <c r="A14" i="8"/>
  <c r="B14" i="8"/>
  <c r="C14" i="8"/>
  <c r="A15" i="8"/>
  <c r="B15" i="8"/>
  <c r="C15" i="8"/>
  <c r="A16" i="8"/>
  <c r="B16" i="8"/>
  <c r="C16" i="8"/>
  <c r="B9" i="8"/>
  <c r="C9" i="8"/>
  <c r="A9" i="8"/>
  <c r="B8" i="8"/>
  <c r="C8" i="8"/>
  <c r="D8" i="8"/>
  <c r="A8" i="8"/>
  <c r="B135" i="8" l="1"/>
  <c r="D93" i="8"/>
  <c r="L2" i="3"/>
  <c r="AJ2" i="3" s="1"/>
  <c r="B167" i="8" l="1"/>
  <c r="B178" i="8" s="1"/>
  <c r="C156" i="8"/>
  <c r="C5" i="3"/>
  <c r="X10" i="3"/>
  <c r="X11" i="3" s="1"/>
  <c r="X12" i="3" s="1"/>
  <c r="X13" i="3" s="1"/>
  <c r="X14" i="3" s="1"/>
  <c r="X15" i="3" s="1"/>
  <c r="X16" i="3" s="1"/>
  <c r="X17" i="3" s="1"/>
  <c r="X19" i="3" s="1"/>
  <c r="X20" i="3" s="1"/>
  <c r="X21" i="3" s="1"/>
  <c r="X22" i="3" s="1"/>
  <c r="X23" i="3" s="1"/>
  <c r="X24" i="3" s="1"/>
  <c r="X25" i="3" s="1"/>
  <c r="X26" i="3" s="1"/>
  <c r="X27" i="3" s="1"/>
  <c r="X28" i="3" s="1"/>
  <c r="X29" i="3" s="1"/>
  <c r="X30" i="3" s="1"/>
  <c r="X31" i="3" s="1"/>
  <c r="X32" i="3" s="1"/>
  <c r="X33" i="3" s="1"/>
  <c r="X34" i="3" s="1"/>
  <c r="X35" i="3" s="1"/>
  <c r="X36" i="3" s="1"/>
  <c r="X37" i="3" s="1"/>
  <c r="X38" i="3" s="1"/>
  <c r="X39" i="3" s="1"/>
  <c r="X40" i="3" s="1"/>
  <c r="X41" i="3" s="1"/>
  <c r="X42" i="3" s="1"/>
  <c r="X43" i="3" s="1"/>
  <c r="X44" i="3" s="1"/>
  <c r="X45" i="3" s="1"/>
  <c r="X46" i="3" s="1"/>
  <c r="X47" i="3" s="1"/>
  <c r="X48" i="3" s="1"/>
  <c r="X49" i="3" s="1"/>
  <c r="X50" i="3" s="1"/>
  <c r="X51" i="3" s="1"/>
  <c r="X52" i="3" s="1"/>
  <c r="X53" i="3" s="1"/>
  <c r="X54" i="3" s="1"/>
  <c r="X55" i="3" s="1"/>
  <c r="X56" i="3" s="1"/>
  <c r="X57" i="3" s="1"/>
  <c r="X58" i="3" s="1"/>
  <c r="X59" i="3" s="1"/>
  <c r="X60" i="3" s="1"/>
  <c r="X61" i="3" s="1"/>
  <c r="X62" i="3" s="1"/>
  <c r="X63" i="3" s="1"/>
  <c r="X64" i="3" s="1"/>
  <c r="X65" i="3" s="1"/>
  <c r="X66" i="3" s="1"/>
  <c r="X67" i="3" s="1"/>
  <c r="X68" i="3" s="1"/>
  <c r="X69" i="3" s="1"/>
  <c r="R10" i="3"/>
  <c r="R11" i="3" s="1"/>
  <c r="R12" i="3" s="1"/>
  <c r="R13" i="3" s="1"/>
  <c r="R14" i="3" s="1"/>
  <c r="R15" i="3" s="1"/>
  <c r="R16" i="3" s="1"/>
  <c r="R17" i="3" s="1"/>
  <c r="R19" i="3" s="1"/>
  <c r="R20" i="3" s="1"/>
  <c r="R21" i="3" s="1"/>
  <c r="R22" i="3" s="1"/>
  <c r="R23" i="3" s="1"/>
  <c r="R24" i="3" s="1"/>
  <c r="R25" i="3" s="1"/>
  <c r="R26" i="3" s="1"/>
  <c r="R27" i="3" s="1"/>
  <c r="R28" i="3" s="1"/>
  <c r="R29" i="3" s="1"/>
  <c r="R30" i="3" s="1"/>
  <c r="R31" i="3" s="1"/>
  <c r="R32" i="3" s="1"/>
  <c r="R33" i="3" s="1"/>
  <c r="R34" i="3" s="1"/>
  <c r="R35" i="3" s="1"/>
  <c r="R36" i="3" s="1"/>
  <c r="R37" i="3" s="1"/>
  <c r="R38" i="3" s="1"/>
  <c r="R39" i="3" s="1"/>
  <c r="R40" i="3" s="1"/>
  <c r="R41" i="3" s="1"/>
  <c r="R42" i="3" s="1"/>
  <c r="R43" i="3" s="1"/>
  <c r="R44" i="3" s="1"/>
  <c r="R45" i="3" s="1"/>
  <c r="R46" i="3" s="1"/>
  <c r="R47" i="3" s="1"/>
  <c r="R48" i="3" s="1"/>
  <c r="R49" i="3" s="1"/>
  <c r="R50" i="3" s="1"/>
  <c r="R51" i="3" s="1"/>
  <c r="R52" i="3" s="1"/>
  <c r="R53" i="3" s="1"/>
  <c r="R54" i="3" s="1"/>
  <c r="R55" i="3" s="1"/>
  <c r="R56" i="3" s="1"/>
  <c r="R57" i="3" s="1"/>
  <c r="R58" i="3" s="1"/>
  <c r="R59" i="3" s="1"/>
  <c r="R60" i="3" s="1"/>
  <c r="R61" i="3" s="1"/>
  <c r="R62" i="3" s="1"/>
  <c r="R63" i="3" s="1"/>
  <c r="R64" i="3" s="1"/>
  <c r="R65" i="3" s="1"/>
  <c r="R66" i="3" s="1"/>
  <c r="R67" i="3" s="1"/>
  <c r="R68" i="3" s="1"/>
  <c r="R69" i="3" s="1"/>
  <c r="D19" i="3" l="1"/>
  <c r="B77" i="8"/>
  <c r="A40" i="8"/>
  <c r="A41" i="8"/>
  <c r="A42" i="8"/>
  <c r="A39" i="8"/>
  <c r="A38" i="8"/>
  <c r="A36" i="8"/>
  <c r="L10" i="3"/>
  <c r="L11" i="3" s="1"/>
  <c r="L12" i="3" s="1"/>
  <c r="L13" i="3" s="1"/>
  <c r="L14" i="3" s="1"/>
  <c r="L15" i="3" s="1"/>
  <c r="L16" i="3" s="1"/>
  <c r="L17" i="3" s="1"/>
  <c r="L19" i="3" s="1"/>
  <c r="L20" i="3" s="1"/>
  <c r="L21" i="3" s="1"/>
  <c r="L22" i="3" s="1"/>
  <c r="L23" i="3" s="1"/>
  <c r="L24" i="3" s="1"/>
  <c r="L25" i="3" s="1"/>
  <c r="L26" i="3" s="1"/>
  <c r="L27" i="3" s="1"/>
  <c r="L28" i="3" s="1"/>
  <c r="L29" i="3" s="1"/>
  <c r="L30" i="3" s="1"/>
  <c r="L31" i="3" s="1"/>
  <c r="L32" i="3" s="1"/>
  <c r="L33" i="3" s="1"/>
  <c r="L34" i="3" s="1"/>
  <c r="L35" i="3" s="1"/>
  <c r="L36" i="3" s="1"/>
  <c r="L37" i="3" s="1"/>
  <c r="L38" i="3" s="1"/>
  <c r="L39" i="3" s="1"/>
  <c r="L40" i="3" s="1"/>
  <c r="L41" i="3" s="1"/>
  <c r="L42" i="3" s="1"/>
  <c r="L43" i="3" s="1"/>
  <c r="L44" i="3" s="1"/>
  <c r="L45" i="3" s="1"/>
  <c r="L46" i="3" s="1"/>
  <c r="L47" i="3" s="1"/>
  <c r="L48" i="3" s="1"/>
  <c r="L49" i="3" s="1"/>
  <c r="L50" i="3" s="1"/>
  <c r="L51" i="3" s="1"/>
  <c r="L52" i="3" s="1"/>
  <c r="L53" i="3" s="1"/>
  <c r="L54" i="3" s="1"/>
  <c r="L55" i="3" s="1"/>
  <c r="L56" i="3" s="1"/>
  <c r="L57" i="3" s="1"/>
  <c r="L58" i="3" s="1"/>
  <c r="L59" i="3" s="1"/>
  <c r="L60" i="3" s="1"/>
  <c r="L61" i="3" s="1"/>
  <c r="L62" i="3" s="1"/>
  <c r="L63" i="3" s="1"/>
  <c r="L64" i="3" s="1"/>
  <c r="L65" i="3" s="1"/>
  <c r="L66" i="3" s="1"/>
  <c r="L67" i="3" s="1"/>
  <c r="L68" i="3" s="1"/>
  <c r="L69" i="3" s="1"/>
  <c r="C97" i="8" l="1"/>
  <c r="P6" i="3"/>
  <c r="V6" i="3" s="1"/>
  <c r="AB6" i="3" s="1"/>
  <c r="AI6" i="3" s="1"/>
  <c r="AO6" i="3" s="1"/>
  <c r="AU6" i="3" s="1"/>
  <c r="O6" i="3"/>
  <c r="U6" i="3" s="1"/>
  <c r="AA6" i="3" s="1"/>
  <c r="AH6" i="3" s="1"/>
  <c r="N6" i="3"/>
  <c r="T6" i="3" s="1"/>
  <c r="Z6" i="3" s="1"/>
  <c r="AG6" i="3" s="1"/>
  <c r="AM6" i="3" s="1"/>
  <c r="AS6" i="3" s="1"/>
  <c r="M6" i="3"/>
  <c r="S6" i="3" s="1"/>
  <c r="Y6" i="3" s="1"/>
  <c r="AF6" i="3" s="1"/>
  <c r="AL6" i="3" s="1"/>
  <c r="AR6" i="3" s="1"/>
  <c r="F32" i="4" l="1"/>
  <c r="E71" i="8" s="1"/>
  <c r="J15" i="6"/>
  <c r="J16" i="6"/>
  <c r="J17" i="6"/>
  <c r="J18" i="6"/>
  <c r="J19" i="6"/>
  <c r="J20" i="6"/>
  <c r="J21" i="6"/>
  <c r="J22" i="6"/>
  <c r="J23" i="6"/>
  <c r="J14" i="6"/>
  <c r="H15" i="6"/>
  <c r="H16" i="6"/>
  <c r="H17" i="6"/>
  <c r="H18" i="6"/>
  <c r="H19" i="6"/>
  <c r="H20" i="6"/>
  <c r="H21" i="6"/>
  <c r="H22" i="6"/>
  <c r="H23" i="6"/>
  <c r="H14" i="6"/>
  <c r="D32" i="6"/>
  <c r="C205" i="8" s="1"/>
  <c r="G15" i="6"/>
  <c r="G16" i="6" s="1"/>
  <c r="G17" i="6" s="1"/>
  <c r="G18" i="6" s="1"/>
  <c r="G19" i="6" s="1"/>
  <c r="G20" i="6" s="1"/>
  <c r="G21" i="6" s="1"/>
  <c r="G22" i="6" s="1"/>
  <c r="G23" i="6" s="1"/>
  <c r="G24" i="6" s="1"/>
  <c r="C15" i="6"/>
  <c r="B191" i="8" s="1"/>
  <c r="C16" i="6"/>
  <c r="B192" i="8" s="1"/>
  <c r="C17" i="6"/>
  <c r="B193" i="8" s="1"/>
  <c r="C18" i="6"/>
  <c r="B194" i="8" s="1"/>
  <c r="C19" i="6"/>
  <c r="B195" i="8" s="1"/>
  <c r="C20" i="6"/>
  <c r="B196" i="8" s="1"/>
  <c r="C21" i="6"/>
  <c r="B197" i="8" s="1"/>
  <c r="C22" i="6"/>
  <c r="B198" i="8" s="1"/>
  <c r="C23" i="6"/>
  <c r="B199" i="8" s="1"/>
  <c r="C14" i="6"/>
  <c r="B190" i="8" s="1"/>
  <c r="B15" i="6"/>
  <c r="A191" i="8" s="1"/>
  <c r="B16" i="6"/>
  <c r="A192" i="8" s="1"/>
  <c r="B17" i="6"/>
  <c r="A193" i="8" s="1"/>
  <c r="B18" i="6"/>
  <c r="A194" i="8" s="1"/>
  <c r="B19" i="6"/>
  <c r="A195" i="8" s="1"/>
  <c r="B20" i="6"/>
  <c r="A196" i="8" s="1"/>
  <c r="B21" i="6"/>
  <c r="A197" i="8" s="1"/>
  <c r="B22" i="6"/>
  <c r="A198" i="8" s="1"/>
  <c r="B23" i="6"/>
  <c r="A199" i="8" s="1"/>
  <c r="B14" i="6"/>
  <c r="A190" i="8" s="1"/>
  <c r="B13" i="6"/>
  <c r="A189" i="8" s="1"/>
  <c r="C24" i="4"/>
  <c r="B49" i="5"/>
  <c r="B45" i="5"/>
  <c r="C23" i="5"/>
  <c r="G7" i="4"/>
  <c r="G8" i="4"/>
  <c r="G9" i="4"/>
  <c r="G10" i="4"/>
  <c r="G12" i="4"/>
  <c r="G6" i="4"/>
  <c r="B30" i="5"/>
  <c r="C10" i="5"/>
  <c r="D11" i="3"/>
  <c r="C83" i="8" s="1"/>
  <c r="F18" i="4"/>
  <c r="E57" i="8" s="1"/>
  <c r="R16" i="1"/>
  <c r="S16" i="1"/>
  <c r="V16" i="1"/>
  <c r="W16" i="1"/>
  <c r="G2" i="1"/>
  <c r="B31" i="1"/>
  <c r="P18" i="1"/>
  <c r="Q18" i="1" s="1"/>
  <c r="R18" i="1" s="1"/>
  <c r="S18" i="1" s="1"/>
  <c r="P19" i="1"/>
  <c r="Q19" i="1" s="1"/>
  <c r="R19" i="1" s="1"/>
  <c r="S19" i="1" s="1"/>
  <c r="P20" i="1"/>
  <c r="Q20" i="1" s="1"/>
  <c r="R20" i="1" s="1"/>
  <c r="S20" i="1" s="1"/>
  <c r="P21" i="1"/>
  <c r="Q21" i="1" s="1"/>
  <c r="R21" i="1" s="1"/>
  <c r="S21" i="1" s="1"/>
  <c r="P22" i="1"/>
  <c r="Q22" i="1" s="1"/>
  <c r="R22" i="1" s="1"/>
  <c r="S22" i="1" s="1"/>
  <c r="P23" i="1"/>
  <c r="Q23" i="1" s="1"/>
  <c r="R23" i="1" s="1"/>
  <c r="S23" i="1" s="1"/>
  <c r="P24" i="1"/>
  <c r="Q24" i="1" s="1"/>
  <c r="R24" i="1" s="1"/>
  <c r="S24" i="1" s="1"/>
  <c r="P25" i="1"/>
  <c r="Q25" i="1" s="1"/>
  <c r="R25" i="1" s="1"/>
  <c r="P26" i="1"/>
  <c r="Q26" i="1" s="1"/>
  <c r="R26" i="1" s="1"/>
  <c r="S26" i="1" s="1"/>
  <c r="P17" i="1"/>
  <c r="Q17" i="1" s="1"/>
  <c r="R17" i="1" s="1"/>
  <c r="S17" i="1" s="1"/>
  <c r="P16" i="1"/>
  <c r="Q16" i="1"/>
  <c r="T16" i="1"/>
  <c r="U16" i="1"/>
  <c r="P4" i="1"/>
  <c r="Q4" i="1" s="1"/>
  <c r="R4" i="1" s="1"/>
  <c r="S4" i="1" s="1"/>
  <c r="P5" i="1"/>
  <c r="Q5" i="1" s="1"/>
  <c r="R5" i="1" s="1"/>
  <c r="S5" i="1" s="1"/>
  <c r="P6" i="1"/>
  <c r="Q6" i="1" s="1"/>
  <c r="P7" i="1"/>
  <c r="Q7" i="1" s="1"/>
  <c r="R7" i="1" s="1"/>
  <c r="S7" i="1" s="1"/>
  <c r="P8" i="1"/>
  <c r="P9" i="1"/>
  <c r="Q9" i="1" s="1"/>
  <c r="R9" i="1" s="1"/>
  <c r="S9" i="1" s="1"/>
  <c r="P10" i="1"/>
  <c r="P11" i="1"/>
  <c r="P12" i="1"/>
  <c r="P3" i="1"/>
  <c r="Q3" i="1" s="1"/>
  <c r="R3" i="1" s="1"/>
  <c r="S3" i="1" s="1"/>
  <c r="L4" i="1"/>
  <c r="M4" i="1" s="1"/>
  <c r="N4" i="1" s="1"/>
  <c r="L5" i="1"/>
  <c r="M5" i="1" s="1"/>
  <c r="N5" i="1" s="1"/>
  <c r="O5" i="1" s="1"/>
  <c r="L6" i="1"/>
  <c r="M6" i="1" s="1"/>
  <c r="N6" i="1" s="1"/>
  <c r="O6" i="1" s="1"/>
  <c r="L7" i="1"/>
  <c r="L8" i="1"/>
  <c r="M8" i="1" s="1"/>
  <c r="N8" i="1" s="1"/>
  <c r="O8" i="1" s="1"/>
  <c r="L9" i="1"/>
  <c r="M9" i="1" s="1"/>
  <c r="N9" i="1" s="1"/>
  <c r="O9" i="1" s="1"/>
  <c r="L10" i="1"/>
  <c r="M10" i="1" s="1"/>
  <c r="L11" i="1"/>
  <c r="M11" i="1" s="1"/>
  <c r="L12" i="1"/>
  <c r="M12" i="1" s="1"/>
  <c r="L3" i="1"/>
  <c r="D27" i="1"/>
  <c r="E4" i="1"/>
  <c r="D10" i="8" s="1"/>
  <c r="E5" i="1"/>
  <c r="D11" i="8" s="1"/>
  <c r="E6" i="1"/>
  <c r="D12" i="8" s="1"/>
  <c r="E7" i="1"/>
  <c r="D13" i="8" s="1"/>
  <c r="E8" i="1"/>
  <c r="D14" i="8" s="1"/>
  <c r="E9" i="1"/>
  <c r="D15" i="8" s="1"/>
  <c r="E10" i="1"/>
  <c r="D16" i="8" s="1"/>
  <c r="E11" i="1"/>
  <c r="D17" i="8" s="1"/>
  <c r="E12" i="1"/>
  <c r="D18" i="8" s="1"/>
  <c r="E3" i="1"/>
  <c r="D9" i="8" s="1"/>
  <c r="B18" i="1"/>
  <c r="A24" i="8" s="1"/>
  <c r="B19" i="1"/>
  <c r="A25" i="8" s="1"/>
  <c r="B20" i="1"/>
  <c r="A26" i="8" s="1"/>
  <c r="B21" i="1"/>
  <c r="A27" i="8" s="1"/>
  <c r="B22" i="1"/>
  <c r="A28" i="8" s="1"/>
  <c r="B23" i="1"/>
  <c r="A29" i="8" s="1"/>
  <c r="B24" i="1"/>
  <c r="A30" i="8" s="1"/>
  <c r="B25" i="1"/>
  <c r="A31" i="8" s="1"/>
  <c r="B26" i="1"/>
  <c r="A32" i="8" s="1"/>
  <c r="B17" i="1"/>
  <c r="A23" i="8" s="1"/>
  <c r="C18" i="1"/>
  <c r="L18" i="1" s="1"/>
  <c r="C19" i="1"/>
  <c r="L19" i="1" s="1"/>
  <c r="M19" i="1" s="1"/>
  <c r="N19" i="1" s="1"/>
  <c r="C20" i="1"/>
  <c r="B26" i="8" s="1"/>
  <c r="C21" i="1"/>
  <c r="E21" i="1" s="1"/>
  <c r="D27" i="8" s="1"/>
  <c r="C22" i="1"/>
  <c r="B28" i="8" s="1"/>
  <c r="C23" i="1"/>
  <c r="B29" i="8" s="1"/>
  <c r="E23" i="1"/>
  <c r="D29" i="8" s="1"/>
  <c r="C24" i="1"/>
  <c r="B30" i="8" s="1"/>
  <c r="C25" i="1"/>
  <c r="B31" i="8" s="1"/>
  <c r="C26" i="1"/>
  <c r="B32" i="8" s="1"/>
  <c r="C17" i="1"/>
  <c r="A17" i="1"/>
  <c r="A4" i="1"/>
  <c r="T7" i="1" l="1"/>
  <c r="L22" i="1"/>
  <c r="M22" i="1" s="1"/>
  <c r="U22" i="1" s="1"/>
  <c r="E25" i="1"/>
  <c r="D31" i="8" s="1"/>
  <c r="E26" i="1"/>
  <c r="D32" i="8" s="1"/>
  <c r="E24" i="1"/>
  <c r="D30" i="8" s="1"/>
  <c r="E22" i="1"/>
  <c r="D28" i="8" s="1"/>
  <c r="U9" i="1"/>
  <c r="L23" i="1"/>
  <c r="M23" i="1" s="1"/>
  <c r="T9" i="1"/>
  <c r="L25" i="1"/>
  <c r="M25" i="1" s="1"/>
  <c r="N25" i="1" s="1"/>
  <c r="O25" i="1" s="1"/>
  <c r="L26" i="1"/>
  <c r="M26" i="1" s="1"/>
  <c r="M7" i="1"/>
  <c r="N7" i="1" s="1"/>
  <c r="O7" i="1" s="1"/>
  <c r="W7" i="1" s="1"/>
  <c r="L21" i="1"/>
  <c r="B27" i="8"/>
  <c r="W9" i="1"/>
  <c r="V9" i="1"/>
  <c r="L24" i="1"/>
  <c r="W5" i="1"/>
  <c r="C9" i="5"/>
  <c r="D9" i="5" s="1"/>
  <c r="B71" i="8"/>
  <c r="T3" i="1"/>
  <c r="V19" i="1"/>
  <c r="V4" i="1"/>
  <c r="M3" i="1"/>
  <c r="N3" i="1" s="1"/>
  <c r="L17" i="1"/>
  <c r="T17" i="1" s="1"/>
  <c r="B23" i="8"/>
  <c r="D10" i="5"/>
  <c r="B122" i="8"/>
  <c r="D23" i="5"/>
  <c r="B139" i="8"/>
  <c r="C5" i="5"/>
  <c r="B39" i="8"/>
  <c r="C31" i="1"/>
  <c r="C39" i="8" s="1"/>
  <c r="E18" i="1"/>
  <c r="D24" i="8" s="1"/>
  <c r="B24" i="8"/>
  <c r="O4" i="1"/>
  <c r="W4" i="1" s="1"/>
  <c r="U4" i="1"/>
  <c r="T4" i="1"/>
  <c r="E13" i="1"/>
  <c r="F5" i="1" s="1"/>
  <c r="D16" i="6" s="1"/>
  <c r="E19" i="1"/>
  <c r="D25" i="8" s="1"/>
  <c r="B25" i="8"/>
  <c r="E17" i="1"/>
  <c r="D23" i="8" s="1"/>
  <c r="C11" i="5"/>
  <c r="D12" i="3"/>
  <c r="C84" i="8" s="1"/>
  <c r="C32" i="6"/>
  <c r="B205" i="8" s="1"/>
  <c r="E20" i="1"/>
  <c r="D26" i="8" s="1"/>
  <c r="L20" i="1"/>
  <c r="O19" i="1"/>
  <c r="W19" i="1" s="1"/>
  <c r="U19" i="1"/>
  <c r="A18" i="1"/>
  <c r="A5" i="1"/>
  <c r="Q8" i="1"/>
  <c r="T8" i="1"/>
  <c r="T19" i="1"/>
  <c r="T6" i="1"/>
  <c r="M18" i="1"/>
  <c r="T18" i="1"/>
  <c r="N11" i="1"/>
  <c r="Q10" i="1"/>
  <c r="R10" i="1" s="1"/>
  <c r="S10" i="1" s="1"/>
  <c r="T10" i="1"/>
  <c r="L2" i="1"/>
  <c r="L16" i="1" s="1"/>
  <c r="H2" i="1"/>
  <c r="Z3" i="1"/>
  <c r="AA3" i="1" s="1"/>
  <c r="AB3" i="1" s="1"/>
  <c r="AC3" i="1" s="1"/>
  <c r="N12" i="1"/>
  <c r="R6" i="1"/>
  <c r="S6" i="1" s="1"/>
  <c r="W6" i="1" s="1"/>
  <c r="U6" i="1"/>
  <c r="S25" i="1"/>
  <c r="W25" i="1" s="1"/>
  <c r="Q12" i="1"/>
  <c r="R12" i="1" s="1"/>
  <c r="S12" i="1" s="1"/>
  <c r="T12" i="1"/>
  <c r="N22" i="1"/>
  <c r="V5" i="1"/>
  <c r="Q11" i="1"/>
  <c r="R11" i="1" s="1"/>
  <c r="S11" i="1" s="1"/>
  <c r="T11" i="1"/>
  <c r="T5" i="1"/>
  <c r="U5" i="1"/>
  <c r="F10" i="3"/>
  <c r="A108" i="8" s="1"/>
  <c r="N10" i="1"/>
  <c r="D10" i="3"/>
  <c r="C82" i="8" s="1"/>
  <c r="T23" i="1" l="1"/>
  <c r="V7" i="1"/>
  <c r="T22" i="1"/>
  <c r="U10" i="1"/>
  <c r="T26" i="1"/>
  <c r="T25" i="1"/>
  <c r="V25" i="1"/>
  <c r="U25" i="1"/>
  <c r="U7" i="1"/>
  <c r="N26" i="1"/>
  <c r="U26" i="1"/>
  <c r="M24" i="1"/>
  <c r="T24" i="1"/>
  <c r="V6" i="1"/>
  <c r="M21" i="1"/>
  <c r="T21" i="1"/>
  <c r="D5" i="5"/>
  <c r="D20" i="5" s="1"/>
  <c r="B121" i="8"/>
  <c r="M17" i="1"/>
  <c r="N17" i="1" s="1"/>
  <c r="D20" i="3"/>
  <c r="C98" i="8" s="1"/>
  <c r="U3" i="1"/>
  <c r="E16" i="6"/>
  <c r="D192" i="8" s="1"/>
  <c r="C192" i="8"/>
  <c r="E9" i="5"/>
  <c r="C121" i="8"/>
  <c r="E23" i="5"/>
  <c r="C139" i="8"/>
  <c r="E10" i="5"/>
  <c r="C122" i="8"/>
  <c r="F11" i="3"/>
  <c r="A109" i="8" s="1"/>
  <c r="D31" i="1"/>
  <c r="D39" i="8" s="1"/>
  <c r="B117" i="8"/>
  <c r="C20" i="5"/>
  <c r="D11" i="5"/>
  <c r="B126" i="8"/>
  <c r="F11" i="1"/>
  <c r="D22" i="6" s="1"/>
  <c r="F8" i="1"/>
  <c r="D19" i="6" s="1"/>
  <c r="F6" i="1"/>
  <c r="D17" i="6" s="1"/>
  <c r="F4" i="1"/>
  <c r="D15" i="6" s="1"/>
  <c r="F3" i="1"/>
  <c r="D14" i="6" s="1"/>
  <c r="D19" i="8"/>
  <c r="F7" i="1"/>
  <c r="D18" i="6" s="1"/>
  <c r="F10" i="1"/>
  <c r="D21" i="6" s="1"/>
  <c r="F9" i="1"/>
  <c r="D20" i="6" s="1"/>
  <c r="F12" i="1"/>
  <c r="D23" i="6" s="1"/>
  <c r="B32" i="1"/>
  <c r="T13" i="1"/>
  <c r="C32" i="1" s="1"/>
  <c r="C40" i="8" s="1"/>
  <c r="E27" i="1"/>
  <c r="F18" i="1" s="1"/>
  <c r="V11" i="1"/>
  <c r="O11" i="1"/>
  <c r="W11" i="1" s="1"/>
  <c r="N23" i="1"/>
  <c r="U23" i="1"/>
  <c r="M2" i="1"/>
  <c r="I2" i="1"/>
  <c r="J2" i="1" s="1"/>
  <c r="R8" i="1"/>
  <c r="U8" i="1"/>
  <c r="V3" i="1"/>
  <c r="O3" i="1"/>
  <c r="W3" i="1" s="1"/>
  <c r="V12" i="1"/>
  <c r="O12" i="1"/>
  <c r="W12" i="1" s="1"/>
  <c r="O10" i="1"/>
  <c r="W10" i="1" s="1"/>
  <c r="V10" i="1"/>
  <c r="O22" i="1"/>
  <c r="W22" i="1" s="1"/>
  <c r="V22" i="1"/>
  <c r="U12" i="1"/>
  <c r="U11" i="1"/>
  <c r="U18" i="1"/>
  <c r="N18" i="1"/>
  <c r="A19" i="1"/>
  <c r="A6" i="1"/>
  <c r="T20" i="1"/>
  <c r="M20" i="1"/>
  <c r="C33" i="6"/>
  <c r="B206" i="8" s="1"/>
  <c r="F32" i="6"/>
  <c r="E205" i="8" s="1"/>
  <c r="F12" i="3" l="1"/>
  <c r="A110" i="8" s="1"/>
  <c r="O26" i="1"/>
  <c r="W26" i="1" s="1"/>
  <c r="V26" i="1"/>
  <c r="C117" i="8"/>
  <c r="T27" i="1"/>
  <c r="C33" i="1" s="1"/>
  <c r="C41" i="8" s="1"/>
  <c r="N21" i="1"/>
  <c r="U21" i="1"/>
  <c r="N24" i="1"/>
  <c r="U24" i="1"/>
  <c r="C136" i="8"/>
  <c r="D43" i="5"/>
  <c r="C157" i="8" s="1"/>
  <c r="E6" i="6"/>
  <c r="C181" i="8" s="1"/>
  <c r="U17" i="1"/>
  <c r="U13" i="1"/>
  <c r="D32" i="1" s="1"/>
  <c r="D40" i="8" s="1"/>
  <c r="E23" i="6"/>
  <c r="D199" i="8" s="1"/>
  <c r="C199" i="8"/>
  <c r="E19" i="6"/>
  <c r="D195" i="8" s="1"/>
  <c r="C195" i="8"/>
  <c r="E20" i="6"/>
  <c r="D196" i="8" s="1"/>
  <c r="C196" i="8"/>
  <c r="E14" i="6"/>
  <c r="D190" i="8" s="1"/>
  <c r="C190" i="8"/>
  <c r="E22" i="6"/>
  <c r="D198" i="8" s="1"/>
  <c r="C198" i="8"/>
  <c r="E21" i="6"/>
  <c r="D197" i="8" s="1"/>
  <c r="C197" i="8"/>
  <c r="E15" i="6"/>
  <c r="D191" i="8" s="1"/>
  <c r="C191" i="8"/>
  <c r="E18" i="6"/>
  <c r="D194" i="8" s="1"/>
  <c r="C194" i="8"/>
  <c r="E17" i="6"/>
  <c r="D193" i="8" s="1"/>
  <c r="C193" i="8"/>
  <c r="F10" i="5"/>
  <c r="D122" i="8"/>
  <c r="F23" i="5"/>
  <c r="D139" i="8"/>
  <c r="F9" i="5"/>
  <c r="D121" i="8"/>
  <c r="E5" i="5"/>
  <c r="B136" i="8"/>
  <c r="D6" i="6"/>
  <c r="B181" i="8" s="1"/>
  <c r="C43" i="5"/>
  <c r="B157" i="8" s="1"/>
  <c r="E31" i="1"/>
  <c r="E39" i="8" s="1"/>
  <c r="E11" i="5"/>
  <c r="C126" i="8"/>
  <c r="F13" i="1"/>
  <c r="F19" i="1"/>
  <c r="B40" i="8"/>
  <c r="C6" i="5"/>
  <c r="B118" i="8" s="1"/>
  <c r="D6" i="5"/>
  <c r="C118" i="8" s="1"/>
  <c r="F23" i="1"/>
  <c r="D33" i="8"/>
  <c r="F20" i="1"/>
  <c r="F24" i="1"/>
  <c r="F26" i="1"/>
  <c r="B33" i="1"/>
  <c r="C7" i="5" s="1"/>
  <c r="F22" i="1"/>
  <c r="F21" i="1"/>
  <c r="F17" i="1"/>
  <c r="F25" i="1"/>
  <c r="A7" i="1"/>
  <c r="A20" i="1"/>
  <c r="S8" i="1"/>
  <c r="W8" i="1" s="1"/>
  <c r="W13" i="1" s="1"/>
  <c r="F32" i="1" s="1"/>
  <c r="F40" i="8" s="1"/>
  <c r="V8" i="1"/>
  <c r="V13" i="1" s="1"/>
  <c r="E32" i="1" s="1"/>
  <c r="E40" i="8" s="1"/>
  <c r="O23" i="1"/>
  <c r="W23" i="1" s="1"/>
  <c r="V23" i="1"/>
  <c r="N20" i="1"/>
  <c r="U20" i="1"/>
  <c r="V18" i="1"/>
  <c r="O18" i="1"/>
  <c r="W18" i="1" s="1"/>
  <c r="M16" i="1"/>
  <c r="N2" i="1"/>
  <c r="C34" i="6"/>
  <c r="B207" i="8" s="1"/>
  <c r="O17" i="1"/>
  <c r="W17" i="1" s="1"/>
  <c r="V17" i="1"/>
  <c r="F31" i="1" l="1"/>
  <c r="F39" i="8" s="1"/>
  <c r="C34" i="1"/>
  <c r="C42" i="8" s="1"/>
  <c r="D7" i="5"/>
  <c r="C119" i="8" s="1"/>
  <c r="O21" i="1"/>
  <c r="W21" i="1" s="1"/>
  <c r="V21" i="1"/>
  <c r="V24" i="1"/>
  <c r="O24" i="1"/>
  <c r="W24" i="1" s="1"/>
  <c r="F13" i="3"/>
  <c r="A111" i="8" s="1"/>
  <c r="F5" i="5"/>
  <c r="E117" i="8" s="1"/>
  <c r="U27" i="1"/>
  <c r="D33" i="1" s="1"/>
  <c r="D34" i="1" s="1"/>
  <c r="D42" i="8" s="1"/>
  <c r="E6" i="5"/>
  <c r="D118" i="8" s="1"/>
  <c r="C8" i="5"/>
  <c r="B119" i="8"/>
  <c r="E26" i="6"/>
  <c r="G9" i="5"/>
  <c r="F121" i="8" s="1"/>
  <c r="E121" i="8"/>
  <c r="E139" i="8"/>
  <c r="G23" i="5"/>
  <c r="F139" i="8" s="1"/>
  <c r="G10" i="5"/>
  <c r="F122" i="8" s="1"/>
  <c r="E122" i="8"/>
  <c r="E20" i="5"/>
  <c r="D117" i="8"/>
  <c r="F11" i="5"/>
  <c r="D126" i="8"/>
  <c r="F27" i="1"/>
  <c r="B34" i="1"/>
  <c r="B42" i="8" s="1"/>
  <c r="B41" i="8"/>
  <c r="D9" i="3"/>
  <c r="O20" i="1"/>
  <c r="W20" i="1" s="1"/>
  <c r="V20" i="1"/>
  <c r="G6" i="5"/>
  <c r="F118" i="8" s="1"/>
  <c r="G5" i="5"/>
  <c r="F14" i="3"/>
  <c r="A112" i="8" s="1"/>
  <c r="A21" i="1"/>
  <c r="A8" i="1"/>
  <c r="O2" i="1"/>
  <c r="O16" i="1" s="1"/>
  <c r="N16" i="1"/>
  <c r="F6" i="5"/>
  <c r="E118" i="8" s="1"/>
  <c r="W27" i="1" l="1"/>
  <c r="F33" i="1" s="1"/>
  <c r="G7" i="5" s="1"/>
  <c r="V27" i="1"/>
  <c r="E33" i="1" s="1"/>
  <c r="E34" i="1" s="1"/>
  <c r="E42" i="8" s="1"/>
  <c r="D8" i="5"/>
  <c r="F20" i="5"/>
  <c r="E136" i="8" s="1"/>
  <c r="E7" i="5"/>
  <c r="D119" i="8" s="1"/>
  <c r="D41" i="8"/>
  <c r="B120" i="8"/>
  <c r="E27" i="6"/>
  <c r="D202" i="8"/>
  <c r="D136" i="8"/>
  <c r="F6" i="6"/>
  <c r="D181" i="8" s="1"/>
  <c r="E43" i="5"/>
  <c r="D157" i="8" s="1"/>
  <c r="G20" i="5"/>
  <c r="F136" i="8" s="1"/>
  <c r="F117" i="8"/>
  <c r="G11" i="5"/>
  <c r="E126" i="8"/>
  <c r="D13" i="3"/>
  <c r="C81" i="8"/>
  <c r="A9" i="1"/>
  <c r="A22" i="1"/>
  <c r="D16" i="3" l="1"/>
  <c r="C20" i="3"/>
  <c r="B34" i="5" s="1"/>
  <c r="E41" i="8"/>
  <c r="F7" i="5"/>
  <c r="E119" i="8" s="1"/>
  <c r="F41" i="8"/>
  <c r="F34" i="1"/>
  <c r="F42" i="8" s="1"/>
  <c r="C120" i="8"/>
  <c r="G6" i="6"/>
  <c r="E181" i="8" s="1"/>
  <c r="F43" i="5"/>
  <c r="E157" i="8" s="1"/>
  <c r="F126" i="8"/>
  <c r="E8" i="5"/>
  <c r="G43" i="5"/>
  <c r="F157" i="8" s="1"/>
  <c r="F20" i="6"/>
  <c r="E196" i="8" s="1"/>
  <c r="F15" i="6"/>
  <c r="E191" i="8" s="1"/>
  <c r="F16" i="6"/>
  <c r="E192" i="8" s="1"/>
  <c r="F17" i="6"/>
  <c r="E193" i="8" s="1"/>
  <c r="D203" i="8"/>
  <c r="F23" i="6"/>
  <c r="E199" i="8" s="1"/>
  <c r="F21" i="6"/>
  <c r="E197" i="8" s="1"/>
  <c r="F14" i="6"/>
  <c r="F22" i="6"/>
  <c r="E198" i="8" s="1"/>
  <c r="F19" i="6"/>
  <c r="E195" i="8" s="1"/>
  <c r="F18" i="6"/>
  <c r="E194" i="8" s="1"/>
  <c r="G8" i="5"/>
  <c r="F120" i="8" s="1"/>
  <c r="F119" i="8"/>
  <c r="H6" i="6"/>
  <c r="F181" i="8" s="1"/>
  <c r="C94" i="8"/>
  <c r="C85" i="8"/>
  <c r="A10" i="1"/>
  <c r="A23" i="1"/>
  <c r="C34" i="5" l="1"/>
  <c r="B36" i="5"/>
  <c r="F8" i="5"/>
  <c r="D120" i="8"/>
  <c r="E190" i="8"/>
  <c r="D33" i="6"/>
  <c r="C206" i="8" s="1"/>
  <c r="F24" i="6"/>
  <c r="E33" i="6"/>
  <c r="A11" i="1"/>
  <c r="A24" i="1"/>
  <c r="D34" i="5" l="1"/>
  <c r="B150" i="8"/>
  <c r="E120" i="8"/>
  <c r="D206" i="8"/>
  <c r="F33" i="6"/>
  <c r="E206" i="8" s="1"/>
  <c r="E200" i="8"/>
  <c r="B33" i="6"/>
  <c r="A25" i="1"/>
  <c r="A12" i="1"/>
  <c r="A26" i="1" s="1"/>
  <c r="C150" i="8" l="1"/>
  <c r="E34" i="5"/>
  <c r="B34" i="6"/>
  <c r="A206" i="8"/>
  <c r="F34" i="5" l="1"/>
  <c r="D150" i="8"/>
  <c r="AN6" i="3"/>
  <c r="AT6" i="3" s="1"/>
  <c r="A207" i="8"/>
  <c r="I17" i="6"/>
  <c r="I16" i="6"/>
  <c r="I22" i="6"/>
  <c r="I15" i="6"/>
  <c r="I23" i="6"/>
  <c r="I20" i="6"/>
  <c r="I21" i="6"/>
  <c r="I19" i="6"/>
  <c r="I14" i="6"/>
  <c r="I18" i="6"/>
  <c r="G34" i="5" l="1"/>
  <c r="F150" i="8" s="1"/>
  <c r="E150" i="8"/>
  <c r="G10" i="3"/>
  <c r="B108" i="8" s="1"/>
  <c r="E34" i="6"/>
  <c r="D34" i="6"/>
  <c r="C207" i="8" s="1"/>
  <c r="AS11" i="3" l="1"/>
  <c r="F34" i="6"/>
  <c r="E207" i="8" s="1"/>
  <c r="D207" i="8"/>
  <c r="AS20" i="3" l="1"/>
  <c r="I10" i="3" l="1"/>
  <c r="C14" i="5" s="1"/>
  <c r="D108" i="8" l="1"/>
  <c r="H10" i="3"/>
  <c r="C108" i="8" l="1"/>
  <c r="B125" i="8"/>
  <c r="B60" i="8" l="1"/>
  <c r="G11" i="4"/>
  <c r="G13" i="4" s="1"/>
  <c r="C12" i="5" s="1"/>
  <c r="C13" i="4"/>
  <c r="B62" i="8" l="1"/>
  <c r="B24" i="5"/>
  <c r="C4" i="3"/>
  <c r="B123" i="8"/>
  <c r="C25" i="5"/>
  <c r="C13" i="5"/>
  <c r="D12" i="5"/>
  <c r="C123" i="8" l="1"/>
  <c r="E12" i="5"/>
  <c r="D13" i="5"/>
  <c r="D25" i="5"/>
  <c r="B124" i="8"/>
  <c r="C15" i="5"/>
  <c r="C55" i="5"/>
  <c r="D14" i="3"/>
  <c r="B76" i="8"/>
  <c r="D17" i="3"/>
  <c r="B26" i="5"/>
  <c r="B48" i="5" s="1"/>
  <c r="B50" i="5" s="1"/>
  <c r="C24" i="5"/>
  <c r="B141" i="8"/>
  <c r="C49" i="5"/>
  <c r="B163" i="8" s="1"/>
  <c r="B140" i="8" l="1"/>
  <c r="D24" i="5"/>
  <c r="C26" i="5"/>
  <c r="C141" i="8"/>
  <c r="D49" i="5"/>
  <c r="C163" i="8" s="1"/>
  <c r="B169" i="8"/>
  <c r="C56" i="5"/>
  <c r="B170" i="8" s="1"/>
  <c r="C124" i="8"/>
  <c r="D55" i="5"/>
  <c r="C95" i="8"/>
  <c r="D21" i="3"/>
  <c r="I16" i="3"/>
  <c r="I18" i="3" s="1"/>
  <c r="F20" i="3" s="1"/>
  <c r="J20" i="3" s="1"/>
  <c r="C92" i="8"/>
  <c r="C7" i="6"/>
  <c r="B127" i="8"/>
  <c r="C16" i="5"/>
  <c r="C17" i="5" s="1"/>
  <c r="D123" i="8"/>
  <c r="E25" i="5"/>
  <c r="E13" i="5"/>
  <c r="F12" i="5"/>
  <c r="C57" i="5" l="1"/>
  <c r="B171" i="8" s="1"/>
  <c r="D124" i="8"/>
  <c r="E55" i="5"/>
  <c r="B129" i="8"/>
  <c r="C35" i="5"/>
  <c r="E49" i="5"/>
  <c r="D163" i="8" s="1"/>
  <c r="D141" i="8"/>
  <c r="A182" i="8"/>
  <c r="E123" i="8"/>
  <c r="G12" i="5"/>
  <c r="F13" i="5"/>
  <c r="F25" i="5"/>
  <c r="B128" i="8"/>
  <c r="C29" i="5"/>
  <c r="B142" i="8"/>
  <c r="C48" i="5"/>
  <c r="Z4" i="3"/>
  <c r="T4" i="3"/>
  <c r="N4" i="3"/>
  <c r="C169" i="8"/>
  <c r="D56" i="5"/>
  <c r="C170" i="8" s="1"/>
  <c r="C140" i="8"/>
  <c r="E24" i="5"/>
  <c r="D26" i="5"/>
  <c r="D22" i="3"/>
  <c r="C99" i="8"/>
  <c r="J9" i="3"/>
  <c r="D57" i="5" l="1"/>
  <c r="C171" i="8" s="1"/>
  <c r="AG4" i="3"/>
  <c r="B162" i="8"/>
  <c r="C50" i="5"/>
  <c r="B164" i="8" s="1"/>
  <c r="G25" i="5"/>
  <c r="F49" i="5"/>
  <c r="E163" i="8" s="1"/>
  <c r="E141" i="8"/>
  <c r="S25" i="3"/>
  <c r="S30" i="3"/>
  <c r="S40" i="3"/>
  <c r="S34" i="3"/>
  <c r="S10" i="3"/>
  <c r="S27" i="3"/>
  <c r="S42" i="3"/>
  <c r="S26" i="3"/>
  <c r="AL51" i="3"/>
  <c r="S23" i="3"/>
  <c r="S17" i="3"/>
  <c r="S12" i="3"/>
  <c r="S21" i="3"/>
  <c r="S24" i="3"/>
  <c r="S31" i="3"/>
  <c r="S45" i="3"/>
  <c r="S13" i="3"/>
  <c r="S36" i="3"/>
  <c r="AL53" i="3"/>
  <c r="S38" i="3"/>
  <c r="S16" i="3"/>
  <c r="AL37" i="3"/>
  <c r="AL25" i="3"/>
  <c r="AL55" i="3"/>
  <c r="S43" i="3"/>
  <c r="S44" i="3"/>
  <c r="AM4" i="3"/>
  <c r="S19" i="3"/>
  <c r="S29" i="3"/>
  <c r="S20" i="3"/>
  <c r="S22" i="3"/>
  <c r="S28" i="3"/>
  <c r="AL49" i="3"/>
  <c r="S37" i="3"/>
  <c r="AL33" i="3"/>
  <c r="S39" i="3"/>
  <c r="S41" i="3"/>
  <c r="AL34" i="3"/>
  <c r="AL31" i="3"/>
  <c r="AL35" i="3"/>
  <c r="AL36" i="3"/>
  <c r="S35" i="3"/>
  <c r="S33" i="3"/>
  <c r="AL26" i="3"/>
  <c r="AL24" i="3"/>
  <c r="AL28" i="3"/>
  <c r="S32" i="3"/>
  <c r="S11" i="3"/>
  <c r="AL44" i="3"/>
  <c r="AL39" i="3"/>
  <c r="AL38" i="3"/>
  <c r="AL43" i="3"/>
  <c r="AL40" i="3"/>
  <c r="AL45" i="3"/>
  <c r="S15" i="3"/>
  <c r="AL42" i="3"/>
  <c r="AL27" i="3"/>
  <c r="AL29" i="3"/>
  <c r="AL56" i="3"/>
  <c r="AL48" i="3"/>
  <c r="AL46" i="3"/>
  <c r="AL52" i="3"/>
  <c r="S14" i="3"/>
  <c r="AL23" i="3"/>
  <c r="AL32" i="3"/>
  <c r="AL41" i="3"/>
  <c r="AL50" i="3"/>
  <c r="S9" i="3"/>
  <c r="AL57" i="3"/>
  <c r="AL30" i="3"/>
  <c r="AL22" i="3"/>
  <c r="AL47" i="3"/>
  <c r="AL54" i="3"/>
  <c r="C142" i="8"/>
  <c r="D48" i="5"/>
  <c r="E124" i="8"/>
  <c r="F55" i="5"/>
  <c r="D169" i="8"/>
  <c r="E56" i="5"/>
  <c r="D170" i="8" s="1"/>
  <c r="AS4" i="3"/>
  <c r="E107" i="8"/>
  <c r="P8" i="3"/>
  <c r="AI21" i="3" s="1"/>
  <c r="AB8" i="3"/>
  <c r="Y11" i="3" s="1"/>
  <c r="B31" i="5"/>
  <c r="B32" i="5" s="1"/>
  <c r="B38" i="5" s="1"/>
  <c r="B22" i="5" s="1"/>
  <c r="V8" i="3"/>
  <c r="AO21" i="3" s="1"/>
  <c r="J10" i="3"/>
  <c r="D140" i="8"/>
  <c r="E26" i="5"/>
  <c r="F24" i="5"/>
  <c r="B145" i="8"/>
  <c r="C45" i="5"/>
  <c r="B159" i="8" s="1"/>
  <c r="C30" i="5"/>
  <c r="F123" i="8"/>
  <c r="G13" i="5"/>
  <c r="B151" i="8"/>
  <c r="C36" i="5"/>
  <c r="B152" i="8" s="1"/>
  <c r="AF36" i="3" l="1"/>
  <c r="AF41" i="3"/>
  <c r="AF48" i="3"/>
  <c r="AF45" i="3"/>
  <c r="AF29" i="3"/>
  <c r="M40" i="3"/>
  <c r="M50" i="3"/>
  <c r="M17" i="3"/>
  <c r="M11" i="3"/>
  <c r="AF34" i="3"/>
  <c r="AF53" i="3"/>
  <c r="M44" i="3"/>
  <c r="M13" i="3"/>
  <c r="AF43" i="3"/>
  <c r="AF25" i="3"/>
  <c r="M23" i="3"/>
  <c r="AF24" i="3"/>
  <c r="M29" i="3"/>
  <c r="M14" i="3"/>
  <c r="AF52" i="3"/>
  <c r="AF22" i="3"/>
  <c r="AH22" i="3" s="1"/>
  <c r="AG22" i="3" s="1"/>
  <c r="AF38" i="3"/>
  <c r="M32" i="3"/>
  <c r="AF44" i="3"/>
  <c r="M30" i="3"/>
  <c r="M34" i="3"/>
  <c r="M51" i="3"/>
  <c r="M46" i="3"/>
  <c r="AF57" i="3"/>
  <c r="AF50" i="3"/>
  <c r="M33" i="3"/>
  <c r="AF37" i="3"/>
  <c r="M43" i="3"/>
  <c r="M39" i="3"/>
  <c r="M35" i="3"/>
  <c r="AF35" i="3"/>
  <c r="M21" i="3"/>
  <c r="M12" i="3"/>
  <c r="M16" i="3"/>
  <c r="AF55" i="3"/>
  <c r="AF46" i="3"/>
  <c r="M20" i="3"/>
  <c r="AF47" i="3"/>
  <c r="AF26" i="3"/>
  <c r="AF42" i="3"/>
  <c r="M52" i="3"/>
  <c r="M26" i="3"/>
  <c r="M22" i="3"/>
  <c r="M47" i="3"/>
  <c r="M36" i="3"/>
  <c r="AF56" i="3"/>
  <c r="AF49" i="3"/>
  <c r="M41" i="3"/>
  <c r="AF54" i="3"/>
  <c r="AF40" i="3"/>
  <c r="M31" i="3"/>
  <c r="M15" i="3"/>
  <c r="M28" i="3"/>
  <c r="M10" i="3"/>
  <c r="M24" i="3"/>
  <c r="AF28" i="3"/>
  <c r="M9" i="3"/>
  <c r="O9" i="3" s="1"/>
  <c r="N9" i="3" s="1"/>
  <c r="P9" i="3" s="1"/>
  <c r="AF58" i="3"/>
  <c r="M48" i="3"/>
  <c r="AF39" i="3"/>
  <c r="AF27" i="3"/>
  <c r="M45" i="3"/>
  <c r="AF23" i="3"/>
  <c r="AF31" i="3"/>
  <c r="M49" i="3"/>
  <c r="AF32" i="3"/>
  <c r="M42" i="3"/>
  <c r="M37" i="3"/>
  <c r="AF59" i="3"/>
  <c r="AF51" i="3"/>
  <c r="AF30" i="3"/>
  <c r="AF33" i="3"/>
  <c r="M25" i="3"/>
  <c r="M38" i="3"/>
  <c r="M27" i="3"/>
  <c r="M19" i="3"/>
  <c r="Y9" i="3"/>
  <c r="Y44" i="3"/>
  <c r="Y52" i="3"/>
  <c r="Y23" i="3"/>
  <c r="Y16" i="3"/>
  <c r="AN22" i="3"/>
  <c r="AM22" i="3"/>
  <c r="AO22" i="3" s="1"/>
  <c r="AN38" i="3"/>
  <c r="AM38" i="3"/>
  <c r="AO38" i="3" s="1"/>
  <c r="T32" i="3"/>
  <c r="U32" i="3"/>
  <c r="AN33" i="3"/>
  <c r="AM33" i="3"/>
  <c r="AO33" i="3" s="1"/>
  <c r="T22" i="3"/>
  <c r="U22" i="3"/>
  <c r="U31" i="3"/>
  <c r="T31" i="3"/>
  <c r="T42" i="3"/>
  <c r="U42" i="3"/>
  <c r="F124" i="8"/>
  <c r="G55" i="5"/>
  <c r="E108" i="8"/>
  <c r="C31" i="5"/>
  <c r="B147" i="8" s="1"/>
  <c r="Y36" i="3"/>
  <c r="Y49" i="3"/>
  <c r="Y40" i="3"/>
  <c r="Y24" i="3"/>
  <c r="Y46" i="3"/>
  <c r="Y27" i="3"/>
  <c r="Y57" i="3"/>
  <c r="Y29" i="3"/>
  <c r="Y32" i="3"/>
  <c r="Y15" i="3"/>
  <c r="Y12" i="3"/>
  <c r="Y26" i="3"/>
  <c r="Y10" i="3"/>
  <c r="F56" i="5"/>
  <c r="E170" i="8" s="1"/>
  <c r="E169" i="8"/>
  <c r="AN30" i="3"/>
  <c r="AM30" i="3"/>
  <c r="AO30" i="3" s="1"/>
  <c r="AN41" i="3"/>
  <c r="AM41" i="3"/>
  <c r="AO41" i="3" s="1"/>
  <c r="AN52" i="3"/>
  <c r="AM52" i="3"/>
  <c r="AO52" i="3" s="1"/>
  <c r="AM29" i="3"/>
  <c r="AO29" i="3" s="1"/>
  <c r="AN29" i="3"/>
  <c r="AN45" i="3"/>
  <c r="AM45" i="3"/>
  <c r="AO45" i="3" s="1"/>
  <c r="AN39" i="3"/>
  <c r="AM39" i="3"/>
  <c r="AO39" i="3" s="1"/>
  <c r="AN28" i="3"/>
  <c r="AM28" i="3"/>
  <c r="AO28" i="3" s="1"/>
  <c r="U35" i="3"/>
  <c r="T35" i="3"/>
  <c r="AN34" i="3"/>
  <c r="AM34" i="3"/>
  <c r="AO34" i="3" s="1"/>
  <c r="U37" i="3"/>
  <c r="T37" i="3"/>
  <c r="T20" i="3"/>
  <c r="U20" i="3"/>
  <c r="U44" i="3"/>
  <c r="T44" i="3"/>
  <c r="AN37" i="3"/>
  <c r="AM37" i="3"/>
  <c r="AO37" i="3" s="1"/>
  <c r="T36" i="3"/>
  <c r="U36" i="3"/>
  <c r="T24" i="3"/>
  <c r="U24" i="3"/>
  <c r="U23" i="3"/>
  <c r="T23" i="3"/>
  <c r="T27" i="3"/>
  <c r="U27" i="3"/>
  <c r="U30" i="3"/>
  <c r="T30" i="3"/>
  <c r="G49" i="5"/>
  <c r="F163" i="8" s="1"/>
  <c r="F141" i="8"/>
  <c r="Y58" i="3"/>
  <c r="Y39" i="3"/>
  <c r="Y56" i="3"/>
  <c r="AN50" i="3"/>
  <c r="AM50" i="3"/>
  <c r="AO50" i="3" s="1"/>
  <c r="U14" i="3"/>
  <c r="T14" i="3"/>
  <c r="T15" i="3"/>
  <c r="U15" i="3"/>
  <c r="T33" i="3"/>
  <c r="U33" i="3"/>
  <c r="AN53" i="3"/>
  <c r="AM53" i="3"/>
  <c r="AO53" i="3" s="1"/>
  <c r="G24" i="5"/>
  <c r="E140" i="8"/>
  <c r="F26" i="5"/>
  <c r="Y43" i="3"/>
  <c r="Y34" i="3"/>
  <c r="Y51" i="3"/>
  <c r="Y28" i="3"/>
  <c r="Y38" i="3"/>
  <c r="AN54" i="3"/>
  <c r="AM54" i="3"/>
  <c r="AO54" i="3" s="1"/>
  <c r="AN57" i="3"/>
  <c r="AM57" i="3"/>
  <c r="AO57" i="3" s="1"/>
  <c r="AN32" i="3"/>
  <c r="AM32" i="3"/>
  <c r="AO32" i="3" s="1"/>
  <c r="AN46" i="3"/>
  <c r="AM46" i="3"/>
  <c r="AO46" i="3" s="1"/>
  <c r="AN27" i="3"/>
  <c r="AM27" i="3"/>
  <c r="AO27" i="3" s="1"/>
  <c r="AN40" i="3"/>
  <c r="AM40" i="3"/>
  <c r="AO40" i="3" s="1"/>
  <c r="AN44" i="3"/>
  <c r="AM44" i="3"/>
  <c r="AO44" i="3" s="1"/>
  <c r="AM24" i="3"/>
  <c r="AO24" i="3" s="1"/>
  <c r="AN24" i="3"/>
  <c r="AM36" i="3"/>
  <c r="AO36" i="3" s="1"/>
  <c r="AN36" i="3"/>
  <c r="U41" i="3"/>
  <c r="T41" i="3"/>
  <c r="AM49" i="3"/>
  <c r="AO49" i="3" s="1"/>
  <c r="AN49" i="3"/>
  <c r="T29" i="3"/>
  <c r="U29" i="3"/>
  <c r="U43" i="3"/>
  <c r="T43" i="3"/>
  <c r="T16" i="3"/>
  <c r="U16" i="3"/>
  <c r="U13" i="3"/>
  <c r="T13" i="3"/>
  <c r="U21" i="3"/>
  <c r="T21" i="3"/>
  <c r="AN51" i="3"/>
  <c r="AM51" i="3"/>
  <c r="AO51" i="3" s="1"/>
  <c r="T10" i="3"/>
  <c r="U10" i="3"/>
  <c r="U25" i="3"/>
  <c r="T25" i="3"/>
  <c r="AU21" i="3"/>
  <c r="AR51" i="3"/>
  <c r="AR22" i="3"/>
  <c r="AR30" i="3"/>
  <c r="AR52" i="3"/>
  <c r="AR38" i="3"/>
  <c r="AR36" i="3"/>
  <c r="AR25" i="3"/>
  <c r="AR53" i="3"/>
  <c r="AR55" i="3"/>
  <c r="AR24" i="3"/>
  <c r="AR32" i="3"/>
  <c r="AR45" i="3"/>
  <c r="AR50" i="3"/>
  <c r="AR23" i="3"/>
  <c r="AR48" i="3"/>
  <c r="AR44" i="3"/>
  <c r="AR57" i="3"/>
  <c r="AR41" i="3"/>
  <c r="AR47" i="3"/>
  <c r="AR31" i="3"/>
  <c r="AR33" i="3"/>
  <c r="AR58" i="3"/>
  <c r="AR39" i="3"/>
  <c r="AR40" i="3"/>
  <c r="AR27" i="3"/>
  <c r="AR42" i="3"/>
  <c r="AR35" i="3"/>
  <c r="AR43" i="3"/>
  <c r="AR59" i="3"/>
  <c r="AR56" i="3"/>
  <c r="AR28" i="3"/>
  <c r="AR54" i="3"/>
  <c r="AR26" i="3"/>
  <c r="AR46" i="3"/>
  <c r="AR37" i="3"/>
  <c r="AR29" i="3"/>
  <c r="AR49" i="3"/>
  <c r="AR34" i="3"/>
  <c r="Y54" i="3"/>
  <c r="Y45" i="3"/>
  <c r="Y37" i="3"/>
  <c r="Y20" i="3"/>
  <c r="Y33" i="3"/>
  <c r="D50" i="5"/>
  <c r="C164" i="8" s="1"/>
  <c r="C162" i="8"/>
  <c r="AN56" i="3"/>
  <c r="AM56" i="3"/>
  <c r="AO56" i="3" s="1"/>
  <c r="AN31" i="3"/>
  <c r="AM31" i="3"/>
  <c r="AO31" i="3" s="1"/>
  <c r="AM25" i="3"/>
  <c r="AO25" i="3" s="1"/>
  <c r="AN25" i="3"/>
  <c r="U17" i="3"/>
  <c r="T17" i="3"/>
  <c r="U40" i="3"/>
  <c r="T40" i="3"/>
  <c r="Y48" i="3"/>
  <c r="Y59" i="3"/>
  <c r="Y47" i="3"/>
  <c r="Y55" i="3"/>
  <c r="Y19" i="3"/>
  <c r="Y31" i="3"/>
  <c r="B146" i="8"/>
  <c r="E48" i="5"/>
  <c r="D142" i="8"/>
  <c r="B27" i="5"/>
  <c r="B39" i="5" s="1"/>
  <c r="B44" i="5"/>
  <c r="B46" i="5" s="1"/>
  <c r="B52" i="5" s="1"/>
  <c r="Y21" i="3"/>
  <c r="Y22" i="3"/>
  <c r="Y50" i="3"/>
  <c r="Y53" i="3"/>
  <c r="Y41" i="3"/>
  <c r="Y17" i="3"/>
  <c r="Y30" i="3"/>
  <c r="Y14" i="3"/>
  <c r="Y25" i="3"/>
  <c r="Y13" i="3"/>
  <c r="Y42" i="3"/>
  <c r="Y35" i="3"/>
  <c r="E57" i="5"/>
  <c r="AN47" i="3"/>
  <c r="AM47" i="3"/>
  <c r="AO47" i="3" s="1"/>
  <c r="U9" i="3"/>
  <c r="T9" i="3"/>
  <c r="V9" i="3" s="1"/>
  <c r="AN23" i="3"/>
  <c r="AM23" i="3"/>
  <c r="AO23" i="3" s="1"/>
  <c r="AN48" i="3"/>
  <c r="AM48" i="3"/>
  <c r="AO48" i="3" s="1"/>
  <c r="AN42" i="3"/>
  <c r="AM42" i="3"/>
  <c r="AO42" i="3" s="1"/>
  <c r="AN43" i="3"/>
  <c r="AM43" i="3"/>
  <c r="AO43" i="3" s="1"/>
  <c r="T11" i="3"/>
  <c r="U11" i="3"/>
  <c r="AN26" i="3"/>
  <c r="AM26" i="3"/>
  <c r="AO26" i="3" s="1"/>
  <c r="AN35" i="3"/>
  <c r="AM35" i="3"/>
  <c r="AO35" i="3" s="1"/>
  <c r="U39" i="3"/>
  <c r="T39" i="3"/>
  <c r="T28" i="3"/>
  <c r="U28" i="3"/>
  <c r="U19" i="3"/>
  <c r="T19" i="3"/>
  <c r="AM55" i="3"/>
  <c r="AO55" i="3" s="1"/>
  <c r="AN55" i="3"/>
  <c r="T38" i="3"/>
  <c r="U38" i="3"/>
  <c r="T45" i="3"/>
  <c r="U45" i="3"/>
  <c r="T12" i="3"/>
  <c r="U12" i="3"/>
  <c r="T26" i="3"/>
  <c r="U26" i="3"/>
  <c r="T34" i="3"/>
  <c r="U34" i="3"/>
  <c r="O10" i="3" l="1"/>
  <c r="N10" i="3" s="1"/>
  <c r="C32" i="5"/>
  <c r="B148" i="8" s="1"/>
  <c r="G14" i="3"/>
  <c r="B112" i="8" s="1"/>
  <c r="V10" i="3"/>
  <c r="V11" i="3" s="1"/>
  <c r="V12" i="3" s="1"/>
  <c r="V13" i="3" s="1"/>
  <c r="V14" i="3" s="1"/>
  <c r="V15" i="3" s="1"/>
  <c r="V16" i="3" s="1"/>
  <c r="V17" i="3" s="1"/>
  <c r="V19" i="3" s="1"/>
  <c r="V20" i="3" s="1"/>
  <c r="V21" i="3" s="1"/>
  <c r="V22" i="3" s="1"/>
  <c r="V23" i="3" s="1"/>
  <c r="V24" i="3" s="1"/>
  <c r="V25" i="3" s="1"/>
  <c r="V26" i="3" s="1"/>
  <c r="V27" i="3" s="1"/>
  <c r="V28" i="3" s="1"/>
  <c r="V29" i="3" s="1"/>
  <c r="V30" i="3" s="1"/>
  <c r="V31" i="3" s="1"/>
  <c r="V32" i="3" s="1"/>
  <c r="V33" i="3" s="1"/>
  <c r="V34" i="3" s="1"/>
  <c r="V35" i="3" s="1"/>
  <c r="V36" i="3" s="1"/>
  <c r="V37" i="3" s="1"/>
  <c r="V38" i="3" s="1"/>
  <c r="V39" i="3" s="1"/>
  <c r="V40" i="3" s="1"/>
  <c r="V41" i="3" s="1"/>
  <c r="V42" i="3" s="1"/>
  <c r="V43" i="3" s="1"/>
  <c r="V44" i="3" s="1"/>
  <c r="V45" i="3" s="1"/>
  <c r="G12" i="3"/>
  <c r="B110" i="8" s="1"/>
  <c r="G13" i="3"/>
  <c r="B111" i="8" s="1"/>
  <c r="F57" i="5"/>
  <c r="E171" i="8" s="1"/>
  <c r="G11" i="3"/>
  <c r="B109" i="8" s="1"/>
  <c r="D171" i="8"/>
  <c r="E50" i="5"/>
  <c r="D164" i="8" s="1"/>
  <c r="D162" i="8"/>
  <c r="AI22" i="3"/>
  <c r="G26" i="5"/>
  <c r="F140" i="8"/>
  <c r="F169" i="8"/>
  <c r="G56" i="5"/>
  <c r="F170" i="8" s="1"/>
  <c r="P10" i="3"/>
  <c r="AA9" i="3"/>
  <c r="Z9" i="3" s="1"/>
  <c r="AB9" i="3" s="1"/>
  <c r="E142" i="8"/>
  <c r="F48" i="5"/>
  <c r="AT22" i="3"/>
  <c r="C38" i="5" l="1"/>
  <c r="C22" i="5" s="1"/>
  <c r="O11" i="3"/>
  <c r="N11" i="3" s="1"/>
  <c r="P11" i="3" s="1"/>
  <c r="AH23" i="3"/>
  <c r="AG23" i="3" s="1"/>
  <c r="AI23" i="3" s="1"/>
  <c r="G57" i="5"/>
  <c r="F171" i="8" s="1"/>
  <c r="AA10" i="3"/>
  <c r="Z10" i="3" s="1"/>
  <c r="AB10" i="3" s="1"/>
  <c r="AS22" i="3"/>
  <c r="F142" i="8"/>
  <c r="G48" i="5"/>
  <c r="E162" i="8"/>
  <c r="F50" i="5"/>
  <c r="E164" i="8" s="1"/>
  <c r="B154" i="8" l="1"/>
  <c r="AH24" i="3"/>
  <c r="AG24" i="3" s="1"/>
  <c r="AI24" i="3" s="1"/>
  <c r="O12" i="3"/>
  <c r="N12" i="3" s="1"/>
  <c r="P12" i="3" s="1"/>
  <c r="F162" i="8"/>
  <c r="G50" i="5"/>
  <c r="F164" i="8" s="1"/>
  <c r="AU22" i="3"/>
  <c r="AT23" i="3" s="1"/>
  <c r="B138" i="8"/>
  <c r="C44" i="5"/>
  <c r="C27" i="5"/>
  <c r="AA11" i="3"/>
  <c r="Z11" i="3" s="1"/>
  <c r="AB11" i="3" s="1"/>
  <c r="O13" i="3" l="1"/>
  <c r="N13" i="3" s="1"/>
  <c r="P13" i="3" s="1"/>
  <c r="AH25" i="3"/>
  <c r="AG25" i="3" s="1"/>
  <c r="AI25" i="3" s="1"/>
  <c r="AA12" i="3"/>
  <c r="Z12" i="3" s="1"/>
  <c r="AB12" i="3" s="1"/>
  <c r="B158" i="8"/>
  <c r="C46" i="5"/>
  <c r="C39" i="5"/>
  <c r="B143" i="8"/>
  <c r="AS23" i="3"/>
  <c r="AH26" i="3" l="1"/>
  <c r="AG26" i="3" s="1"/>
  <c r="AI26" i="3" s="1"/>
  <c r="O14" i="3"/>
  <c r="N14" i="3" s="1"/>
  <c r="P14" i="3" s="1"/>
  <c r="AA13" i="3"/>
  <c r="Z13" i="3" s="1"/>
  <c r="AB13" i="3" s="1"/>
  <c r="B160" i="8"/>
  <c r="C52" i="5"/>
  <c r="AU23" i="3"/>
  <c r="AT24" i="3" s="1"/>
  <c r="AS24" i="3" s="1"/>
  <c r="AU24" i="3" s="1"/>
  <c r="AT25" i="3" s="1"/>
  <c r="AS25" i="3" s="1"/>
  <c r="AU25" i="3" s="1"/>
  <c r="AT26" i="3" s="1"/>
  <c r="AS26" i="3" s="1"/>
  <c r="AU26" i="3" s="1"/>
  <c r="AT27" i="3" s="1"/>
  <c r="AS27" i="3" s="1"/>
  <c r="AU27" i="3" s="1"/>
  <c r="AT28" i="3" s="1"/>
  <c r="AS28" i="3" s="1"/>
  <c r="AU28" i="3" s="1"/>
  <c r="AT29" i="3" s="1"/>
  <c r="AS29" i="3" s="1"/>
  <c r="AU29" i="3" s="1"/>
  <c r="AT30" i="3" s="1"/>
  <c r="AS30" i="3" s="1"/>
  <c r="AU30" i="3" s="1"/>
  <c r="AT31" i="3" s="1"/>
  <c r="AS31" i="3" s="1"/>
  <c r="AU31" i="3" s="1"/>
  <c r="AT32" i="3" s="1"/>
  <c r="AS32" i="3" s="1"/>
  <c r="AU32" i="3" s="1"/>
  <c r="AT33" i="3" s="1"/>
  <c r="O15" i="3" l="1"/>
  <c r="N15" i="3" s="1"/>
  <c r="P15" i="3" s="1"/>
  <c r="AH27" i="3"/>
  <c r="AG27" i="3" s="1"/>
  <c r="AI27" i="3" s="1"/>
  <c r="AA14" i="3"/>
  <c r="Z14" i="3" s="1"/>
  <c r="AB14" i="3" s="1"/>
  <c r="B166" i="8"/>
  <c r="C58" i="5"/>
  <c r="AS33" i="3"/>
  <c r="AH28" i="3" l="1"/>
  <c r="AG28" i="3" s="1"/>
  <c r="AI28" i="3" s="1"/>
  <c r="O16" i="3"/>
  <c r="N16" i="3" s="1"/>
  <c r="P16" i="3" s="1"/>
  <c r="AA15" i="3"/>
  <c r="Z15" i="3" s="1"/>
  <c r="AB15" i="3" s="1"/>
  <c r="B172" i="8"/>
  <c r="C59" i="5"/>
  <c r="AU33" i="3"/>
  <c r="AT34" i="3" s="1"/>
  <c r="O17" i="3" l="1"/>
  <c r="N17" i="3" s="1"/>
  <c r="P17" i="3" s="1"/>
  <c r="AH29" i="3"/>
  <c r="AG29" i="3" s="1"/>
  <c r="B173" i="8"/>
  <c r="D7" i="6"/>
  <c r="AS34" i="3"/>
  <c r="AA16" i="3"/>
  <c r="Z16" i="3" s="1"/>
  <c r="AB16" i="3" s="1"/>
  <c r="O19" i="3" l="1"/>
  <c r="N19" i="3" s="1"/>
  <c r="P19" i="3" s="1"/>
  <c r="AI29" i="3"/>
  <c r="AA17" i="3"/>
  <c r="Z17" i="3" s="1"/>
  <c r="AB17" i="3" s="1"/>
  <c r="B182" i="8"/>
  <c r="AU34" i="3"/>
  <c r="AT35" i="3" s="1"/>
  <c r="O20" i="3" l="1"/>
  <c r="N20" i="3" s="1"/>
  <c r="P20" i="3" s="1"/>
  <c r="AH30" i="3"/>
  <c r="AS35" i="3"/>
  <c r="AA19" i="3"/>
  <c r="Z19" i="3" s="1"/>
  <c r="AB19" i="3" s="1"/>
  <c r="O21" i="3" l="1"/>
  <c r="N21" i="3" s="1"/>
  <c r="P21" i="3" s="1"/>
  <c r="AG30" i="3"/>
  <c r="AA20" i="3"/>
  <c r="Z20" i="3" s="1"/>
  <c r="AB20" i="3" s="1"/>
  <c r="AU35" i="3"/>
  <c r="AT36" i="3" s="1"/>
  <c r="O22" i="3" l="1"/>
  <c r="N22" i="3" s="1"/>
  <c r="P22" i="3" s="1"/>
  <c r="AI30" i="3"/>
  <c r="AS36" i="3"/>
  <c r="AA21" i="3"/>
  <c r="Z21" i="3" s="1"/>
  <c r="AB21" i="3" s="1"/>
  <c r="O23" i="3" l="1"/>
  <c r="N23" i="3" s="1"/>
  <c r="P23" i="3" s="1"/>
  <c r="AH31" i="3"/>
  <c r="AA22" i="3"/>
  <c r="Z22" i="3" s="1"/>
  <c r="AB22" i="3" s="1"/>
  <c r="AU36" i="3"/>
  <c r="AT37" i="3" s="1"/>
  <c r="AS37" i="3" s="1"/>
  <c r="AU37" i="3" s="1"/>
  <c r="AT38" i="3" s="1"/>
  <c r="AS38" i="3" s="1"/>
  <c r="AU38" i="3" s="1"/>
  <c r="AT39" i="3" s="1"/>
  <c r="AS39" i="3" s="1"/>
  <c r="AU39" i="3" s="1"/>
  <c r="AT40" i="3" s="1"/>
  <c r="AS40" i="3" s="1"/>
  <c r="AU40" i="3" s="1"/>
  <c r="AT41" i="3" s="1"/>
  <c r="AS41" i="3" s="1"/>
  <c r="AU41" i="3" s="1"/>
  <c r="AT42" i="3" s="1"/>
  <c r="AS42" i="3" s="1"/>
  <c r="AU42" i="3" s="1"/>
  <c r="AT43" i="3" s="1"/>
  <c r="AS43" i="3" s="1"/>
  <c r="AU43" i="3" s="1"/>
  <c r="AT44" i="3" s="1"/>
  <c r="AS44" i="3" s="1"/>
  <c r="AU44" i="3" s="1"/>
  <c r="AT45" i="3" s="1"/>
  <c r="O24" i="3" l="1"/>
  <c r="N24" i="3" s="1"/>
  <c r="P24" i="3" s="1"/>
  <c r="AG31" i="3"/>
  <c r="AA23" i="3"/>
  <c r="Z23" i="3" s="1"/>
  <c r="AB23" i="3" s="1"/>
  <c r="AS45" i="3"/>
  <c r="O25" i="3" l="1"/>
  <c r="N25" i="3" s="1"/>
  <c r="P25" i="3" s="1"/>
  <c r="AI31" i="3"/>
  <c r="AA24" i="3"/>
  <c r="Z24" i="3" s="1"/>
  <c r="AB24" i="3" s="1"/>
  <c r="AU45" i="3"/>
  <c r="AT46" i="3" s="1"/>
  <c r="O26" i="3" l="1"/>
  <c r="N26" i="3" s="1"/>
  <c r="P26" i="3" s="1"/>
  <c r="AH32" i="3"/>
  <c r="AG32" i="3" s="1"/>
  <c r="AI32" i="3" s="1"/>
  <c r="AA25" i="3"/>
  <c r="Z25" i="3" s="1"/>
  <c r="AB25" i="3" s="1"/>
  <c r="AS46" i="3"/>
  <c r="AH33" i="3" l="1"/>
  <c r="O27" i="3"/>
  <c r="N27" i="3" s="1"/>
  <c r="P27" i="3" s="1"/>
  <c r="AA26" i="3"/>
  <c r="Z26" i="3" s="1"/>
  <c r="AB26" i="3" s="1"/>
  <c r="AU46" i="3"/>
  <c r="AT47" i="3" s="1"/>
  <c r="O28" i="3" l="1"/>
  <c r="N28" i="3" s="1"/>
  <c r="P28" i="3" s="1"/>
  <c r="AG33" i="3"/>
  <c r="I11" i="3"/>
  <c r="AS47" i="3"/>
  <c r="AA27" i="3"/>
  <c r="Z27" i="3" s="1"/>
  <c r="AB27" i="3" s="1"/>
  <c r="O29" i="3" l="1"/>
  <c r="N29" i="3" s="1"/>
  <c r="P29" i="3" s="1"/>
  <c r="AI33" i="3"/>
  <c r="H11" i="3"/>
  <c r="D109" i="8"/>
  <c r="D14" i="5"/>
  <c r="AA28" i="3"/>
  <c r="Z28" i="3" s="1"/>
  <c r="AB28" i="3" s="1"/>
  <c r="AU47" i="3"/>
  <c r="AT48" i="3" s="1"/>
  <c r="O30" i="3" l="1"/>
  <c r="N30" i="3" s="1"/>
  <c r="P30" i="3" s="1"/>
  <c r="AH34" i="3"/>
  <c r="C125" i="8"/>
  <c r="D15" i="5"/>
  <c r="C109" i="8"/>
  <c r="J11" i="3"/>
  <c r="AA29" i="3"/>
  <c r="Z29" i="3" s="1"/>
  <c r="AB29" i="3" s="1"/>
  <c r="AS48" i="3"/>
  <c r="O31" i="3" l="1"/>
  <c r="N31" i="3" s="1"/>
  <c r="P31" i="3" s="1"/>
  <c r="AG34" i="3"/>
  <c r="D16" i="5"/>
  <c r="C127" i="8"/>
  <c r="E109" i="8"/>
  <c r="D31" i="5"/>
  <c r="C147" i="8" s="1"/>
  <c r="AU48" i="3"/>
  <c r="AT49" i="3" s="1"/>
  <c r="AS49" i="3" s="1"/>
  <c r="AU49" i="3" s="1"/>
  <c r="AT50" i="3" s="1"/>
  <c r="AS50" i="3" s="1"/>
  <c r="AU50" i="3" s="1"/>
  <c r="AT51" i="3" s="1"/>
  <c r="AS51" i="3" s="1"/>
  <c r="AU51" i="3" s="1"/>
  <c r="AT52" i="3" s="1"/>
  <c r="AS52" i="3" s="1"/>
  <c r="AU52" i="3" s="1"/>
  <c r="AT53" i="3" s="1"/>
  <c r="AS53" i="3" s="1"/>
  <c r="AU53" i="3" s="1"/>
  <c r="AT54" i="3" s="1"/>
  <c r="AS54" i="3" s="1"/>
  <c r="AU54" i="3" s="1"/>
  <c r="AT55" i="3" s="1"/>
  <c r="AS55" i="3" s="1"/>
  <c r="AU55" i="3" s="1"/>
  <c r="AT56" i="3" s="1"/>
  <c r="AS56" i="3" s="1"/>
  <c r="AU56" i="3" s="1"/>
  <c r="AT57" i="3" s="1"/>
  <c r="AA30" i="3"/>
  <c r="Z30" i="3" s="1"/>
  <c r="AB30" i="3" s="1"/>
  <c r="O32" i="3" l="1"/>
  <c r="N32" i="3" s="1"/>
  <c r="P32" i="3" s="1"/>
  <c r="AI34" i="3"/>
  <c r="D17" i="5"/>
  <c r="C128" i="8"/>
  <c r="D29" i="5"/>
  <c r="AA31" i="3"/>
  <c r="Z31" i="3" s="1"/>
  <c r="AB31" i="3" s="1"/>
  <c r="AS57" i="3"/>
  <c r="O33" i="3" l="1"/>
  <c r="N33" i="3" s="1"/>
  <c r="P33" i="3" s="1"/>
  <c r="AH35" i="3"/>
  <c r="D45" i="5"/>
  <c r="C159" i="8" s="1"/>
  <c r="D30" i="5"/>
  <c r="C145" i="8"/>
  <c r="C129" i="8"/>
  <c r="D35" i="5"/>
  <c r="AA32" i="3"/>
  <c r="Z32" i="3" s="1"/>
  <c r="AB32" i="3" s="1"/>
  <c r="AU57" i="3"/>
  <c r="AT58" i="3" s="1"/>
  <c r="O34" i="3" l="1"/>
  <c r="N34" i="3" s="1"/>
  <c r="P34" i="3" s="1"/>
  <c r="C146" i="8"/>
  <c r="D32" i="5"/>
  <c r="AG35" i="3"/>
  <c r="C151" i="8"/>
  <c r="D36" i="5"/>
  <c r="C152" i="8" s="1"/>
  <c r="AA33" i="3"/>
  <c r="Z33" i="3" s="1"/>
  <c r="AB33" i="3" s="1"/>
  <c r="AS58" i="3"/>
  <c r="O35" i="3" l="1"/>
  <c r="N35" i="3" s="1"/>
  <c r="P35" i="3" s="1"/>
  <c r="C148" i="8"/>
  <c r="D38" i="5"/>
  <c r="AI35" i="3"/>
  <c r="AA34" i="3"/>
  <c r="Z34" i="3" s="1"/>
  <c r="AB34" i="3" s="1"/>
  <c r="AU58" i="3"/>
  <c r="AT59" i="3" s="1"/>
  <c r="O36" i="3" l="1"/>
  <c r="N36" i="3" s="1"/>
  <c r="P36" i="3" s="1"/>
  <c r="C154" i="8"/>
  <c r="D22" i="5"/>
  <c r="AH36" i="3"/>
  <c r="AA35" i="3"/>
  <c r="Z35" i="3" s="1"/>
  <c r="AB35" i="3" s="1"/>
  <c r="AS59" i="3"/>
  <c r="O37" i="3" l="1"/>
  <c r="N37" i="3" s="1"/>
  <c r="P37" i="3" s="1"/>
  <c r="D44" i="5"/>
  <c r="C138" i="8"/>
  <c r="D27" i="5"/>
  <c r="AG36" i="3"/>
  <c r="AA36" i="3"/>
  <c r="Z36" i="3" s="1"/>
  <c r="AB36" i="3" s="1"/>
  <c r="AU59" i="3"/>
  <c r="O38" i="3" l="1"/>
  <c r="N38" i="3" s="1"/>
  <c r="P38" i="3" s="1"/>
  <c r="AI36" i="3"/>
  <c r="C158" i="8"/>
  <c r="D46" i="5"/>
  <c r="C143" i="8"/>
  <c r="D39" i="5"/>
  <c r="AA37" i="3"/>
  <c r="Z37" i="3" s="1"/>
  <c r="AB37" i="3" s="1"/>
  <c r="O39" i="3" l="1"/>
  <c r="N39" i="3" s="1"/>
  <c r="P39" i="3" s="1"/>
  <c r="AH37" i="3"/>
  <c r="D52" i="5"/>
  <c r="C160" i="8"/>
  <c r="AA38" i="3"/>
  <c r="Z38" i="3" s="1"/>
  <c r="AB38" i="3" s="1"/>
  <c r="O40" i="3" l="1"/>
  <c r="N40" i="3" s="1"/>
  <c r="P40" i="3" s="1"/>
  <c r="AG37" i="3"/>
  <c r="C166" i="8"/>
  <c r="D58" i="5"/>
  <c r="AA39" i="3"/>
  <c r="Z39" i="3" s="1"/>
  <c r="AB39" i="3" s="1"/>
  <c r="O41" i="3" l="1"/>
  <c r="N41" i="3" s="1"/>
  <c r="P41" i="3" s="1"/>
  <c r="AI37" i="3"/>
  <c r="C172" i="8"/>
  <c r="D59" i="5"/>
  <c r="E7" i="6" s="1"/>
  <c r="AA40" i="3"/>
  <c r="Z40" i="3" s="1"/>
  <c r="AB40" i="3" s="1"/>
  <c r="O42" i="3" l="1"/>
  <c r="N42" i="3" s="1"/>
  <c r="P42" i="3" s="1"/>
  <c r="AH38" i="3"/>
  <c r="C182" i="8"/>
  <c r="C173" i="8"/>
  <c r="AA41" i="3"/>
  <c r="Z41" i="3" s="1"/>
  <c r="AB41" i="3" s="1"/>
  <c r="O43" i="3" l="1"/>
  <c r="N43" i="3" s="1"/>
  <c r="P43" i="3" s="1"/>
  <c r="AG38" i="3"/>
  <c r="AA42" i="3"/>
  <c r="Z42" i="3" s="1"/>
  <c r="AB42" i="3" s="1"/>
  <c r="O44" i="3" l="1"/>
  <c r="N44" i="3" s="1"/>
  <c r="P44" i="3" s="1"/>
  <c r="AI38" i="3"/>
  <c r="AA43" i="3"/>
  <c r="Z43" i="3" s="1"/>
  <c r="AB43" i="3" s="1"/>
  <c r="O45" i="3" l="1"/>
  <c r="N45" i="3" s="1"/>
  <c r="P45" i="3" s="1"/>
  <c r="AH39" i="3"/>
  <c r="AG39" i="3" s="1"/>
  <c r="AI39" i="3" s="1"/>
  <c r="AA44" i="3"/>
  <c r="Z44" i="3" s="1"/>
  <c r="AB44" i="3" s="1"/>
  <c r="AH40" i="3" l="1"/>
  <c r="AG40" i="3" s="1"/>
  <c r="AI40" i="3" s="1"/>
  <c r="O46" i="3"/>
  <c r="N46" i="3" s="1"/>
  <c r="P46" i="3" s="1"/>
  <c r="AA45" i="3"/>
  <c r="Z45" i="3" s="1"/>
  <c r="AB45" i="3" s="1"/>
  <c r="O47" i="3" l="1"/>
  <c r="N47" i="3" s="1"/>
  <c r="P47" i="3" s="1"/>
  <c r="AH41" i="3"/>
  <c r="AG41" i="3" s="1"/>
  <c r="AI41" i="3" s="1"/>
  <c r="AA46" i="3"/>
  <c r="Z46" i="3" s="1"/>
  <c r="AB46" i="3" s="1"/>
  <c r="AH42" i="3" l="1"/>
  <c r="AG42" i="3" s="1"/>
  <c r="AI42" i="3" s="1"/>
  <c r="O48" i="3"/>
  <c r="N48" i="3" s="1"/>
  <c r="P48" i="3" s="1"/>
  <c r="AA47" i="3"/>
  <c r="Z47" i="3" s="1"/>
  <c r="AB47" i="3" s="1"/>
  <c r="O49" i="3" l="1"/>
  <c r="N49" i="3" s="1"/>
  <c r="P49" i="3" s="1"/>
  <c r="AH43" i="3"/>
  <c r="AG43" i="3" s="1"/>
  <c r="AI43" i="3" s="1"/>
  <c r="AA48" i="3"/>
  <c r="Z48" i="3" s="1"/>
  <c r="AB48" i="3" s="1"/>
  <c r="AH44" i="3" l="1"/>
  <c r="AG44" i="3" s="1"/>
  <c r="AI44" i="3" s="1"/>
  <c r="O50" i="3"/>
  <c r="N50" i="3" s="1"/>
  <c r="P50" i="3" s="1"/>
  <c r="AA49" i="3"/>
  <c r="Z49" i="3" s="1"/>
  <c r="AB49" i="3" s="1"/>
  <c r="AH45" i="3" l="1"/>
  <c r="O51" i="3"/>
  <c r="N51" i="3" s="1"/>
  <c r="P51" i="3" s="1"/>
  <c r="AA50" i="3"/>
  <c r="Z50" i="3" s="1"/>
  <c r="AB50" i="3" s="1"/>
  <c r="O52" i="3" l="1"/>
  <c r="N52" i="3" s="1"/>
  <c r="P52" i="3" s="1"/>
  <c r="AG45" i="3"/>
  <c r="I12" i="3"/>
  <c r="AA51" i="3"/>
  <c r="Z51" i="3" s="1"/>
  <c r="AB51" i="3" s="1"/>
  <c r="D110" i="8" l="1"/>
  <c r="E14" i="5"/>
  <c r="H12" i="3"/>
  <c r="AI45" i="3"/>
  <c r="AA52" i="3"/>
  <c r="Z52" i="3" s="1"/>
  <c r="AB52" i="3" s="1"/>
  <c r="AH46" i="3" l="1"/>
  <c r="C110" i="8"/>
  <c r="J12" i="3"/>
  <c r="D125" i="8"/>
  <c r="E15" i="5"/>
  <c r="AA53" i="3"/>
  <c r="Z53" i="3" s="1"/>
  <c r="AB53" i="3" s="1"/>
  <c r="E110" i="8" l="1"/>
  <c r="E31" i="5"/>
  <c r="D147" i="8" s="1"/>
  <c r="D127" i="8"/>
  <c r="E16" i="5"/>
  <c r="AG46" i="3"/>
  <c r="AA54" i="3"/>
  <c r="Z54" i="3" s="1"/>
  <c r="AB54" i="3" s="1"/>
  <c r="E17" i="5" l="1"/>
  <c r="E29" i="5"/>
  <c r="D128" i="8"/>
  <c r="AI46" i="3"/>
  <c r="AA55" i="3"/>
  <c r="Z55" i="3" s="1"/>
  <c r="AB55" i="3" s="1"/>
  <c r="E45" i="5" l="1"/>
  <c r="D159" i="8" s="1"/>
  <c r="D145" i="8"/>
  <c r="E30" i="5"/>
  <c r="AH47" i="3"/>
  <c r="D129" i="8"/>
  <c r="E35" i="5"/>
  <c r="AA56" i="3"/>
  <c r="Z56" i="3" s="1"/>
  <c r="AB56" i="3" s="1"/>
  <c r="E32" i="5" l="1"/>
  <c r="D146" i="8"/>
  <c r="D151" i="8"/>
  <c r="E36" i="5"/>
  <c r="D152" i="8" s="1"/>
  <c r="AG47" i="3"/>
  <c r="AA57" i="3"/>
  <c r="Z57" i="3" s="1"/>
  <c r="AB57" i="3" s="1"/>
  <c r="D148" i="8" l="1"/>
  <c r="E38" i="5"/>
  <c r="AI47" i="3"/>
  <c r="AA58" i="3"/>
  <c r="Z58" i="3" s="1"/>
  <c r="AB58" i="3" s="1"/>
  <c r="AH48" i="3" l="1"/>
  <c r="E22" i="5"/>
  <c r="D154" i="8"/>
  <c r="AA59" i="3"/>
  <c r="Z59" i="3" s="1"/>
  <c r="AB59" i="3" s="1"/>
  <c r="E44" i="5" l="1"/>
  <c r="D138" i="8"/>
  <c r="E27" i="5"/>
  <c r="AG48" i="3"/>
  <c r="AI48" i="3" l="1"/>
  <c r="E39" i="5"/>
  <c r="D143" i="8"/>
  <c r="E46" i="5"/>
  <c r="D158" i="8"/>
  <c r="E52" i="5" l="1"/>
  <c r="D160" i="8"/>
  <c r="AH49" i="3"/>
  <c r="AG49" i="3" l="1"/>
  <c r="D166" i="8"/>
  <c r="E58" i="5"/>
  <c r="E59" i="5" l="1"/>
  <c r="D172" i="8"/>
  <c r="AI49" i="3"/>
  <c r="AH50" i="3" l="1"/>
  <c r="F7" i="6"/>
  <c r="D173" i="8"/>
  <c r="D182" i="8" l="1"/>
  <c r="AG50" i="3"/>
  <c r="AI50" i="3" l="1"/>
  <c r="AH51" i="3" l="1"/>
  <c r="AG51" i="3" s="1"/>
  <c r="AI51" i="3" s="1"/>
  <c r="AH52" i="3" l="1"/>
  <c r="AG52" i="3" s="1"/>
  <c r="AI52" i="3" s="1"/>
  <c r="AH53" i="3" l="1"/>
  <c r="AG53" i="3" s="1"/>
  <c r="AI53" i="3" s="1"/>
  <c r="AH54" i="3" l="1"/>
  <c r="AG54" i="3" s="1"/>
  <c r="AI54" i="3" s="1"/>
  <c r="AH55" i="3" l="1"/>
  <c r="AG55" i="3" s="1"/>
  <c r="AI55" i="3" s="1"/>
  <c r="AH56" i="3" l="1"/>
  <c r="AG56" i="3" s="1"/>
  <c r="AI56" i="3" s="1"/>
  <c r="AH57" i="3" l="1"/>
  <c r="AG57" i="3" l="1"/>
  <c r="I13" i="3"/>
  <c r="D111" i="8" l="1"/>
  <c r="F14" i="5"/>
  <c r="H13" i="3"/>
  <c r="AI57" i="3"/>
  <c r="AH58" i="3" l="1"/>
  <c r="C111" i="8"/>
  <c r="J13" i="3"/>
  <c r="E125" i="8"/>
  <c r="F15" i="5"/>
  <c r="E111" i="8" l="1"/>
  <c r="F31" i="5"/>
  <c r="E147" i="8" s="1"/>
  <c r="F16" i="5"/>
  <c r="E127" i="8"/>
  <c r="AG58" i="3"/>
  <c r="AI58" i="3" l="1"/>
  <c r="F17" i="5"/>
  <c r="E128" i="8"/>
  <c r="F29" i="5"/>
  <c r="E145" i="8" l="1"/>
  <c r="F45" i="5"/>
  <c r="E159" i="8" s="1"/>
  <c r="F30" i="5"/>
  <c r="F35" i="5"/>
  <c r="E129" i="8"/>
  <c r="AH59" i="3"/>
  <c r="AG59" i="3" l="1"/>
  <c r="I14" i="3"/>
  <c r="E146" i="8"/>
  <c r="F32" i="5"/>
  <c r="E151" i="8"/>
  <c r="F36" i="5"/>
  <c r="E152" i="8" s="1"/>
  <c r="F38" i="5" l="1"/>
  <c r="E148" i="8"/>
  <c r="G14" i="5"/>
  <c r="D112" i="8"/>
  <c r="H14" i="3"/>
  <c r="AI59" i="3"/>
  <c r="G15" i="5" l="1"/>
  <c r="F125" i="8"/>
  <c r="C112" i="8"/>
  <c r="J14" i="3"/>
  <c r="E154" i="8"/>
  <c r="F22" i="5"/>
  <c r="E138" i="8" l="1"/>
  <c r="F44" i="5"/>
  <c r="F27" i="5"/>
  <c r="G31" i="5"/>
  <c r="F147" i="8" s="1"/>
  <c r="E112" i="8"/>
  <c r="F127" i="8"/>
  <c r="G16" i="5"/>
  <c r="G17" i="5" l="1"/>
  <c r="G29" i="5"/>
  <c r="F128" i="8"/>
  <c r="F39" i="5"/>
  <c r="E143" i="8"/>
  <c r="E158" i="8"/>
  <c r="F46" i="5"/>
  <c r="E160" i="8" l="1"/>
  <c r="F52" i="5"/>
  <c r="G30" i="5"/>
  <c r="F145" i="8"/>
  <c r="G45" i="5"/>
  <c r="F159" i="8" s="1"/>
  <c r="G35" i="5"/>
  <c r="F129" i="8"/>
  <c r="G32" i="5" l="1"/>
  <c r="F146" i="8"/>
  <c r="F151" i="8"/>
  <c r="G36" i="5"/>
  <c r="F152" i="8" s="1"/>
  <c r="E166" i="8"/>
  <c r="F58" i="5"/>
  <c r="E172" i="8" l="1"/>
  <c r="F59" i="5"/>
  <c r="F148" i="8"/>
  <c r="G38" i="5"/>
  <c r="G22" i="5" l="1"/>
  <c r="F154" i="8"/>
  <c r="G7" i="6"/>
  <c r="E173" i="8"/>
  <c r="E182" i="8" l="1"/>
  <c r="G44" i="5"/>
  <c r="F138" i="8"/>
  <c r="G27" i="5"/>
  <c r="F158" i="8" l="1"/>
  <c r="G46" i="5"/>
  <c r="G39" i="5"/>
  <c r="F143" i="8"/>
  <c r="F160" i="8" l="1"/>
  <c r="G52" i="5"/>
  <c r="G58" i="5" l="1"/>
  <c r="F166" i="8"/>
  <c r="F172" i="8" l="1"/>
  <c r="G59" i="5"/>
  <c r="H7" i="6" l="1"/>
  <c r="D9" i="6" s="1"/>
  <c r="F173" i="8"/>
  <c r="F182" i="8" l="1"/>
  <c r="D10" i="6"/>
  <c r="D187" i="8" s="1"/>
  <c r="D18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G3" authorId="0" shapeId="0" xr:uid="{00000000-0006-0000-0100-000002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3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4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5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6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En esta columna solo ingrese las nuevas inversiones que el empresario va a realizar, ó las inversiones iniciales SI LA EMPRESA ES TOTALEMNET NUEVA!!</t>
        </r>
      </text>
    </comment>
    <comment ref="C5" authorId="0" shapeId="0" xr:uid="{00000000-0006-0000-0200-000002000000}">
      <text>
        <r>
          <rPr>
            <b/>
            <sz val="9"/>
            <color indexed="81"/>
            <rFont val="Tahoma"/>
            <family val="2"/>
          </rPr>
          <t>DARIO MAURICIO REYES GIRALDO:</t>
        </r>
        <r>
          <rPr>
            <sz val="9"/>
            <color indexed="81"/>
            <rFont val="Tahoma"/>
            <family val="2"/>
          </rPr>
          <t xml:space="preserve">
Todos los valores deben se anuales.</t>
        </r>
      </text>
    </comment>
    <comment ref="E6" authorId="0" shapeId="0" xr:uid="{00000000-0006-0000-0200-000003000000}">
      <text>
        <r>
          <rPr>
            <b/>
            <sz val="9"/>
            <color indexed="81"/>
            <rFont val="Tahoma"/>
            <family val="2"/>
          </rPr>
          <t>DARIO MAURICIO REYES GIRALDO:</t>
        </r>
        <r>
          <rPr>
            <sz val="9"/>
            <color indexed="81"/>
            <rFont val="Tahoma"/>
            <family val="2"/>
          </rPr>
          <t xml:space="preserve">
SOLO PARA NEGOCIOS QUE YA ESTÉN FUNCIONANDO, Una buen forma de determinar este valor es preguntarle al empresario cuanto cree que vale su negocio, descontándole las deudas del mismo, si lo desease vender.</t>
        </r>
      </text>
    </comment>
    <comment ref="C19"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9" authorId="0" shapeId="0" xr:uid="{00000000-0006-0000-0200-000005000000}">
      <text>
        <r>
          <rPr>
            <b/>
            <sz val="9"/>
            <color indexed="81"/>
            <rFont val="Tahoma"/>
            <family val="2"/>
          </rPr>
          <t>DARIO MAURICIO REYES GIRALDO:</t>
        </r>
        <r>
          <rPr>
            <sz val="9"/>
            <color indexed="81"/>
            <rFont val="Tahoma"/>
            <family val="2"/>
          </rPr>
          <t xml:space="preserve">
Todos los valores deben se anuales.</t>
        </r>
      </text>
    </comment>
    <comment ref="C21" authorId="0" shapeId="0" xr:uid="{00000000-0006-0000-0200-000006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3" authorId="0" shapeId="0" xr:uid="{00000000-0006-0000-0200-000007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6" authorId="0" shapeId="0" xr:uid="{00000000-0006-0000-0200-000008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6"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A4951C78-F12F-410B-8634-A15AAD1D9DEE}">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C950FBBA-78D8-438F-BF73-37EB38FD4E4B}">
      <text>
        <r>
          <rPr>
            <b/>
            <sz val="9"/>
            <color indexed="81"/>
            <rFont val="Tahoma"/>
            <family val="2"/>
          </rPr>
          <t>DARIO MAURICIO REYES GIRALDO:</t>
        </r>
        <r>
          <rPr>
            <sz val="9"/>
            <color indexed="81"/>
            <rFont val="Tahoma"/>
            <family val="2"/>
          </rPr>
          <t xml:space="preserve">
Digite el nombre de los rubros adicionales.</t>
        </r>
      </text>
    </comment>
    <comment ref="E31" authorId="0" shapeId="0" xr:uid="{875DDE52-81BB-4A42-9AF2-D69CE3A4019A}">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C8" authorId="0" shapeId="0" xr:uid="{00000000-0006-0000-0300-000002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J21" authorId="0" shapeId="0" xr:uid="{00000000-0006-0000-0300-000003000000}">
      <text>
        <r>
          <rPr>
            <b/>
            <sz val="9"/>
            <color indexed="81"/>
            <rFont val="Tahoma"/>
            <family val="2"/>
          </rPr>
          <t>DARIO MAURICIO REYES GIRALDO:</t>
        </r>
        <r>
          <rPr>
            <sz val="9"/>
            <color indexed="81"/>
            <rFont val="Tahoma"/>
            <family val="2"/>
          </rPr>
          <t xml:space="preserve">
Escoja el tipo de emprendedor:
Tipo 1 Empresario nuevo, tiene derecho a una año de gracia.
Tipo 2:empresario ya constituido, paga su crédito desde el año 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List>
</comments>
</file>

<file path=xl/sharedStrings.xml><?xml version="1.0" encoding="utf-8"?>
<sst xmlns="http://schemas.openxmlformats.org/spreadsheetml/2006/main" count="210" uniqueCount="193">
  <si>
    <t>CANTIDADES</t>
  </si>
  <si>
    <t>INGRESOS TOTALES</t>
  </si>
  <si>
    <t>COSTOS TOTALES</t>
  </si>
  <si>
    <t>NOMBRE DEL PRODUCTO SERVICIO</t>
  </si>
  <si>
    <t>NOMBRE DEL PRODUCTO O SERVICIO</t>
  </si>
  <si>
    <t>INGRESOS/VENTAS DEL PRIMER AÑO</t>
  </si>
  <si>
    <t>COSTOS DE CADA PRODUCTO O SERVICIO</t>
  </si>
  <si>
    <t>PRECIO DE VENTA UNITARIO SIN IVA</t>
  </si>
  <si>
    <t>COSTO UNITARIO DEL PDTO O SERVICIO</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</si>
  <si>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</si>
  <si>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</si>
  <si>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</si>
  <si>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</si>
  <si>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</si>
  <si>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</si>
  <si>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</si>
  <si>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</si>
  <si>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</si>
  <si>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</si>
  <si>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</si>
  <si>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</si>
  <si>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</si>
  <si>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</si>
  <si>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</si>
  <si>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</si>
  <si>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</si>
  <si>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</si>
  <si>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</si>
  <si>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</si>
  <si>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</si>
  <si>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</si>
  <si>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</si>
  <si>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</si>
  <si>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</si>
  <si>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PRODUCCIÓN:</t>
  </si>
  <si>
    <t>PRESUPUESTO DEL MARKETING MIX</t>
  </si>
  <si>
    <t>GASTOS FIJOS</t>
  </si>
  <si>
    <t>GASTOS FIJOS:</t>
  </si>
  <si>
    <t>ARRENDO:</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</si>
  <si>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</si>
  <si>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</si>
  <si>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</si>
  <si>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</si>
  <si>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</si>
  <si>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</si>
  <si>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</si>
  <si>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</si>
  <si>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</si>
  <si>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</si>
  <si>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</si>
  <si>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</si>
  <si>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</si>
  <si>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</si>
  <si>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PATENTES</t>
  </si>
  <si>
    <t>GASTOS DE PUESTA EN MARCHA</t>
  </si>
  <si>
    <t>TOTAL INVERSIONES</t>
  </si>
  <si>
    <t>CALCULO DEL CAPITAL DE TRABAJO INICIAL</t>
  </si>
  <si>
    <t>COSTOS OPERATIVOS</t>
  </si>
  <si>
    <t>MESES</t>
  </si>
  <si>
    <t>VALOR</t>
  </si>
  <si>
    <t>TOTAL NÓMINAS</t>
  </si>
  <si>
    <t>NÓMINAS</t>
  </si>
  <si>
    <t>MARKETING MIX</t>
  </si>
  <si>
    <t>PRÉSTAMO A SOLICITAR</t>
  </si>
  <si>
    <t>TASA DE INT ANUAL CRÉDITO</t>
  </si>
  <si>
    <t>AÑOS</t>
  </si>
  <si>
    <t>CUOTA A PAGAR</t>
  </si>
  <si>
    <t>ABONO A CAPITAL</t>
  </si>
  <si>
    <t>INTERESES</t>
  </si>
  <si>
    <t>SALDO DE LA DEUDA</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</si>
  <si>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</si>
  <si>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</si>
  <si>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</si>
  <si>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</si>
  <si>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</si>
  <si>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</si>
  <si>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</si>
  <si>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</si>
  <si>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</si>
  <si>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</si>
  <si>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</si>
  <si>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</si>
  <si>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</si>
  <si>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</si>
  <si>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</si>
  <si>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</si>
  <si>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</si>
  <si>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</si>
  <si>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</si>
  <si>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</si>
  <si>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</si>
  <si>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</si>
  <si>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</si>
  <si>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</si>
  <si>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</si>
  <si>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</si>
  <si>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</si>
  <si>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</si>
  <si>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</si>
  <si>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</si>
  <si>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</si>
  <si>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</si>
  <si>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</si>
  <si>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</si>
  <si>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</si>
  <si>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</si>
  <si>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</si>
  <si>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</si>
  <si>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</si>
  <si>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</si>
  <si>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</si>
  <si>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</si>
  <si>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</si>
  <si>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</si>
  <si>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</si>
  <si>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</si>
  <si>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</si>
  <si>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</si>
  <si>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</si>
  <si>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</si>
  <si>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</si>
  <si>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</si>
  <si>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</si>
  <si>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</si>
  <si>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</si>
  <si>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</si>
  <si>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</si>
  <si>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</si>
  <si>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</si>
  <si>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</si>
  <si>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</si>
  <si>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</si>
  <si>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</si>
  <si>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</si>
  <si>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</si>
  <si>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</si>
  <si>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</si>
  <si>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</si>
  <si>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</si>
  <si>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</si>
  <si>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TRANSPORTE</t>
  </si>
  <si>
    <t>GASTOS FIJOS DEL PERIODO</t>
  </si>
  <si>
    <t>MES</t>
  </si>
  <si>
    <t xml:space="preserve">INVERSIÓN </t>
  </si>
  <si>
    <r>
      <t xml:space="preserve">DEFINA LA INVERISIÓN </t>
    </r>
    <r>
      <rPr>
        <sz val="18"/>
        <color theme="1"/>
        <rFont val="Aharoni"/>
      </rPr>
      <t>INICIAL O NUEVA</t>
    </r>
    <r>
      <rPr>
        <b/>
        <sz val="14"/>
        <color theme="1"/>
        <rFont val="Aharoni"/>
      </rPr>
      <t xml:space="preserve"> QUE REALIZARÁN PARA LA PUESTA EN MARCHA DEL NEGOCIO:</t>
    </r>
  </si>
  <si>
    <t>INGRESE EL VALOR DEL PATRIMONIO ACTUAL DE LA EMPRESA</t>
  </si>
  <si>
    <t>TOTAL INVERSIÓN INICIAL Ó NUEVA</t>
  </si>
  <si>
    <t>INVERSIÓN YA REALIZADA POR EL EMPRESARIO</t>
  </si>
  <si>
    <t>SI EL PRÉSTAMO A SOLICTAR SOLO ES PARA INVERSIONES FIJAS, ESTOS VALORES DEBEN SER CEROS</t>
  </si>
  <si>
    <t>FINANCIARÁ INV FIJAS?</t>
  </si>
  <si>
    <t>SI</t>
  </si>
  <si>
    <t>NO</t>
  </si>
  <si>
    <t>TOTAL INVERSIÓN EN LA EMPRESA</t>
  </si>
  <si>
    <t>APORTE YA REALIZADO POR EL EMPRESARIO</t>
  </si>
  <si>
    <t>NECESIDADES DE CAPITAL DE TRABAJO</t>
  </si>
  <si>
    <t>NECESIDADES DE INVERSIÓN FIJA</t>
  </si>
  <si>
    <t>APORTE NUEVO A REALIZAR POR EL EMPRESARIO</t>
  </si>
  <si>
    <t>CONTROL</t>
  </si>
  <si>
    <t>PLAZO DEL PRÉSTAMO QUE DEBE APLICAR:</t>
  </si>
  <si>
    <t>TIPO DE PRÉSTAMO QUE DEBE USAR:</t>
  </si>
  <si>
    <t>INVERSIONES Y GASTOS DEL PERIODO</t>
  </si>
  <si>
    <t>EN EL NEGOCIO:</t>
  </si>
  <si>
    <t>CALCULO DEL PRESTAMO A SOLICITAR</t>
  </si>
  <si>
    <t>TABLA DE AMORTIZACIÓN DEL CRÉDITO</t>
  </si>
  <si>
    <t>TASA DE INTERÉS</t>
  </si>
  <si>
    <t>VALOR INVERSIÓN YA REALIZADA</t>
  </si>
  <si>
    <t>ESTADOS FINANCIEROS</t>
  </si>
  <si>
    <t>BALANCE GENERAL</t>
  </si>
  <si>
    <t>FLUJO DE CAJA EL PROYECTO</t>
  </si>
  <si>
    <t>EAVLUACIÓN FINANCIERA Y PUNTO DE EQUILIBRIO:</t>
  </si>
  <si>
    <t>NOMBRE DEL PROYECTO O EMPRESA:</t>
  </si>
  <si>
    <t>Nombre del proyecto:</t>
  </si>
  <si>
    <t xml:space="preserve">TIPO DE EMPRENDEDOR </t>
  </si>
  <si>
    <t>TIPO 1</t>
  </si>
  <si>
    <t>TIPO 2</t>
  </si>
  <si>
    <t>tasa de interés</t>
  </si>
  <si>
    <t>36 meses</t>
  </si>
  <si>
    <t>50 meses</t>
  </si>
  <si>
    <t>meses</t>
  </si>
  <si>
    <t>PLAN DE NEGOCIO PARA LA PUESTA EN MARCHA DE UNA PLANTA  TORREFACTORA DE CAFÉ TOSTADO Y MOLIDO</t>
  </si>
  <si>
    <t>COSTOS DE EMPAQUE</t>
  </si>
  <si>
    <t>MATERIA PRIMA</t>
  </si>
  <si>
    <t>https://www.youtube.com/watch?v=ooTDOCWXeQk</t>
  </si>
  <si>
    <t>mipymes.gov.co/loader.php?lServicio=Documentos&amp;lFuncion=verPdf&amp;id=3997&amp;name=Manual_para_realizar_planes_de_negocios.pdf</t>
  </si>
  <si>
    <t>CAFÉ TOSTADO Y/O MOLIDO 500 GR CLASE A</t>
  </si>
  <si>
    <t>CAFÉ TOSTADO Y/O MOLIDO 500 GR CLASE B</t>
  </si>
  <si>
    <t>CAFÉ TOSTADI Y/O MOLIDO 1 KG CLASE A</t>
  </si>
  <si>
    <t>CAFÉ TOSTADI Y/O MOLIDO 1 KG CLASE B</t>
  </si>
  <si>
    <t>CAFÉ TOSTADI Y/O MOLIDO 2,5 KG CLASE A</t>
  </si>
  <si>
    <t>CAFÉ TOSTADI Y/O MOLIDO 2,5 KG CLASE B</t>
  </si>
  <si>
    <t>CISCO KILO</t>
  </si>
  <si>
    <t>SOFTWARE CONTABLE</t>
  </si>
  <si>
    <t>IMPLEMENTOS DE LIMPIEZA Y DESINFECCIÓN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</si>
</sst>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 #,##0.00_);[Red]\(&quot;$&quot;\ #,##0.00\)"/>
    <numFmt numFmtId="165" formatCode="_(&quot;$&quot;\ * #,##0.00_);_(&quot;$&quot;\ * \(#,##0.00\);_(&quot;$&quot;\ * &quot;-&quot;??_);_(@_)"/>
    <numFmt numFmtId="166" formatCode="_(* #,##0.00_);_(* \(#,##0.00\);_(* &quot;-&quot;??_);_(@_)"/>
    <numFmt numFmtId="167" formatCode="_-* #,##0.00\ _€_-;\-* #,##0.00\ _€_-;_-* &quot;-&quot;??\ _€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240A]\ * #,##0_ ;_-[$$-240A]\ * \-#,##0\ ;_-[$$-240A]\ * &quot;-&quot;??_ ;_-@_ "/>
    <numFmt numFmtId="177" formatCode="_ &quot;$&quot;\ * #,##0.00_ ;_ &quot;$&quot;\ * \-#,##0.00_ ;_ &quot;$&quot;\ * &quot;-&quot;??_ ;_ @_ "/>
    <numFmt numFmtId="178" formatCode="_-[$$-240A]\ * #,##0.00_ ;_-[$$-240A]\ * \-#,##0.00\ ;_-[$$-240A]\ * &quot;-&quot;??_ ;_-@_ "/>
    <numFmt numFmtId="179" formatCode="_-[$$-240A]\ * #,##0.0_ ;_-[$$-240A]\ * \-#,##0.0\ ;_-[$$-240A]\ * &quot;-&quot;??_ ;_-@_ "/>
    <numFmt numFmtId="180" formatCode="0.0"/>
  </numFmts>
  <fonts count="65"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2"/>
      <color theme="1"/>
      <name val="Calibri"/>
      <family val="2"/>
      <scheme val="minor"/>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14"/>
      <color theme="0"/>
      <name val="Arial"/>
      <family val="2"/>
    </font>
    <font>
      <b/>
      <sz val="20"/>
      <color theme="1"/>
      <name val="Aharoni"/>
    </font>
    <font>
      <b/>
      <sz val="10"/>
      <color indexed="8"/>
      <name val="Arial"/>
      <family val="2"/>
    </font>
    <font>
      <sz val="10"/>
      <color indexed="8"/>
      <name val="Arial"/>
      <family val="2"/>
    </font>
    <font>
      <u/>
      <sz val="11"/>
      <color theme="10"/>
      <name val="Calibri"/>
      <family val="2"/>
      <scheme val="minor"/>
    </font>
    <font>
      <u/>
      <sz val="11"/>
      <color theme="11"/>
      <name val="Calibri"/>
      <family val="2"/>
      <scheme val="minor"/>
    </font>
    <font>
      <b/>
      <sz val="11"/>
      <color rgb="FFFA7D00"/>
      <name val="Arial"/>
      <family val="2"/>
    </font>
    <font>
      <b/>
      <sz val="14"/>
      <color rgb="FFFF0000"/>
      <name val="Calibri"/>
      <family val="2"/>
      <scheme val="minor"/>
    </font>
    <font>
      <b/>
      <sz val="12"/>
      <color theme="1"/>
      <name val="Arial"/>
      <family val="2"/>
    </font>
    <font>
      <b/>
      <sz val="10"/>
      <color theme="1"/>
      <name val="Calibri"/>
      <family val="2"/>
      <scheme val="minor"/>
    </font>
    <font>
      <b/>
      <sz val="10"/>
      <color theme="1"/>
      <name val="Arial"/>
      <family val="2"/>
    </font>
    <font>
      <sz val="10"/>
      <color theme="0"/>
      <name val="Arial"/>
      <family val="2"/>
    </font>
    <font>
      <sz val="8"/>
      <color theme="1"/>
      <name val="Arial"/>
      <family val="2"/>
    </font>
    <font>
      <b/>
      <sz val="8"/>
      <color theme="1"/>
      <name val="Arial"/>
      <family val="2"/>
    </font>
    <font>
      <b/>
      <sz val="9"/>
      <color theme="1"/>
      <name val="Arial"/>
      <family val="2"/>
    </font>
    <font>
      <b/>
      <sz val="9"/>
      <color theme="0"/>
      <name val="Arial"/>
      <family val="2"/>
    </font>
    <font>
      <sz val="11"/>
      <color theme="0"/>
      <name val="Aharoni"/>
    </font>
    <font>
      <b/>
      <sz val="11"/>
      <color rgb="FF3F3F3F"/>
      <name val="Arial"/>
      <family val="2"/>
    </font>
    <font>
      <b/>
      <sz val="16"/>
      <color theme="1"/>
      <name val="Calibri"/>
      <family val="2"/>
      <scheme val="minor"/>
    </font>
    <font>
      <b/>
      <sz val="18"/>
      <color rgb="FFFA7D00"/>
      <name val="Arial"/>
      <family val="2"/>
    </font>
    <font>
      <sz val="11"/>
      <color indexed="9"/>
      <name val="Arial"/>
      <family val="2"/>
    </font>
    <font>
      <sz val="16"/>
      <color theme="1"/>
      <name val="Aharoni"/>
    </font>
    <font>
      <b/>
      <sz val="16"/>
      <color theme="1"/>
      <name val="Aharoni"/>
    </font>
    <font>
      <b/>
      <sz val="11"/>
      <color theme="0"/>
      <name val="Arial"/>
      <family val="2"/>
    </font>
    <font>
      <sz val="11"/>
      <color rgb="FFFF0000"/>
      <name val="Calibri"/>
      <family val="2"/>
      <scheme val="minor"/>
    </font>
    <font>
      <b/>
      <sz val="12"/>
      <name val="Calibri"/>
      <family val="2"/>
      <scheme val="minor"/>
    </font>
    <font>
      <b/>
      <sz val="9"/>
      <color theme="1"/>
      <name val="Aharoni"/>
    </font>
  </fonts>
  <fills count="13">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2F2F2"/>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rgb="FF00B050"/>
        <bgColor indexed="64"/>
      </patternFill>
    </fill>
    <fill>
      <patternFill patternType="solid">
        <fgColor indexed="56"/>
        <bgColor indexed="64"/>
      </patternFill>
    </fill>
  </fills>
  <borders count="17">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10">
    <xf numFmtId="0" fontId="0" fillId="0" borderId="0"/>
    <xf numFmtId="165" fontId="3" fillId="0" borderId="0" applyFont="0" applyFill="0" applyBorder="0" applyAlignment="0" applyProtection="0"/>
    <xf numFmtId="9" fontId="3" fillId="0" borderId="0" applyFont="0" applyFill="0" applyBorder="0" applyAlignment="0" applyProtection="0"/>
    <xf numFmtId="166" fontId="22" fillId="0" borderId="0" applyFont="0" applyFill="0" applyBorder="0" applyAlignment="0" applyProtection="0"/>
    <xf numFmtId="166" fontId="3"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7" borderId="15" applyNumberFormat="0" applyAlignment="0" applyProtection="0"/>
    <xf numFmtId="0" fontId="55" fillId="7" borderId="16" applyNumberFormat="0" applyAlignment="0" applyProtection="0"/>
    <xf numFmtId="0" fontId="42" fillId="0" borderId="0" applyNumberFormat="0" applyFill="0" applyBorder="0" applyAlignment="0" applyProtection="0"/>
  </cellStyleXfs>
  <cellXfs count="285">
    <xf numFmtId="0" fontId="0" fillId="0" borderId="0" xfId="0"/>
    <xf numFmtId="0" fontId="27" fillId="0" borderId="0" xfId="0" applyFont="1" applyFill="1" applyBorder="1" applyProtection="1">
      <protection hidden="1"/>
    </xf>
    <xf numFmtId="172" fontId="0" fillId="0" borderId="0" xfId="1" applyNumberFormat="1" applyFont="1" applyFill="1" applyProtection="1">
      <protection hidden="1"/>
    </xf>
    <xf numFmtId="172" fontId="0" fillId="0" borderId="8" xfId="1" applyNumberFormat="1" applyFont="1" applyFill="1" applyBorder="1" applyProtection="1">
      <protection hidden="1"/>
    </xf>
    <xf numFmtId="0" fontId="28" fillId="0" borderId="0" xfId="0" applyFont="1" applyFill="1" applyBorder="1" applyProtection="1">
      <protection hidden="1"/>
    </xf>
    <xf numFmtId="172" fontId="26" fillId="0" borderId="0" xfId="1" applyNumberFormat="1" applyFont="1" applyFill="1" applyProtection="1">
      <protection hidden="1"/>
    </xf>
    <xf numFmtId="172" fontId="26" fillId="0" borderId="1" xfId="1" applyNumberFormat="1" applyFont="1" applyFill="1" applyBorder="1" applyProtection="1">
      <protection hidden="1"/>
    </xf>
    <xf numFmtId="174" fontId="22" fillId="0" borderId="0" xfId="3" applyNumberFormat="1" applyFont="1" applyFill="1" applyProtection="1">
      <protection hidden="1"/>
    </xf>
    <xf numFmtId="0" fontId="0" fillId="0" borderId="0" xfId="0" applyFill="1" applyProtection="1">
      <protection hidden="1"/>
    </xf>
    <xf numFmtId="175" fontId="0" fillId="0" borderId="0" xfId="1" applyNumberFormat="1" applyFont="1" applyFill="1" applyProtection="1">
      <protection hidden="1"/>
    </xf>
    <xf numFmtId="175" fontId="0" fillId="0" borderId="8" xfId="1" applyNumberFormat="1" applyFont="1" applyFill="1" applyBorder="1" applyProtection="1">
      <protection hidden="1"/>
    </xf>
    <xf numFmtId="174" fontId="29" fillId="0" borderId="0" xfId="3" applyNumberFormat="1" applyFont="1" applyFill="1" applyBorder="1" applyProtection="1">
      <protection hidden="1"/>
    </xf>
    <xf numFmtId="0" fontId="30" fillId="0" borderId="0" xfId="0" applyFont="1" applyFill="1" applyBorder="1" applyProtection="1">
      <protection hidden="1"/>
    </xf>
    <xf numFmtId="165" fontId="32" fillId="4" borderId="0" xfId="1" applyFont="1" applyFill="1" applyProtection="1">
      <protection locked="0"/>
    </xf>
    <xf numFmtId="0" fontId="0" fillId="0" borderId="0" xfId="0" applyProtection="1">
      <protection hidden="1"/>
    </xf>
    <xf numFmtId="0" fontId="34" fillId="6" borderId="0" xfId="0" applyFont="1" applyFill="1" applyProtection="1">
      <protection hidden="1"/>
    </xf>
    <xf numFmtId="0" fontId="6" fillId="0" borderId="0" xfId="0" applyFont="1" applyProtection="1">
      <protection hidden="1"/>
    </xf>
    <xf numFmtId="0" fontId="7" fillId="0" borderId="0" xfId="0" applyFont="1" applyAlignment="1" applyProtection="1">
      <alignment wrapText="1"/>
      <protection hidden="1"/>
    </xf>
    <xf numFmtId="0" fontId="7" fillId="0" borderId="0" xfId="0" applyFont="1" applyAlignment="1" applyProtection="1">
      <alignment vertical="center" wrapText="1"/>
      <protection hidden="1"/>
    </xf>
    <xf numFmtId="0" fontId="14" fillId="0" borderId="0" xfId="0" applyFont="1" applyFill="1" applyAlignment="1" applyProtection="1">
      <alignment horizontal="right"/>
      <protection hidden="1"/>
    </xf>
    <xf numFmtId="0" fontId="9" fillId="0" borderId="0" xfId="0" applyFont="1" applyAlignment="1" applyProtection="1">
      <alignment horizontal="center"/>
      <protection hidden="1"/>
    </xf>
    <xf numFmtId="169" fontId="8"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4" fillId="0" borderId="5" xfId="0" applyFont="1" applyFill="1" applyBorder="1" applyProtection="1">
      <protection hidden="1"/>
    </xf>
    <xf numFmtId="0" fontId="15" fillId="0" borderId="6" xfId="0" applyFont="1" applyFill="1" applyBorder="1" applyAlignment="1" applyProtection="1">
      <alignment horizontal="center"/>
      <protection hidden="1"/>
    </xf>
    <xf numFmtId="0" fontId="5" fillId="0" borderId="12" xfId="0" applyFont="1" applyBorder="1" applyProtection="1">
      <protection hidden="1"/>
    </xf>
    <xf numFmtId="0" fontId="5" fillId="0" borderId="5" xfId="0" applyFont="1" applyBorder="1" applyProtection="1">
      <protection hidden="1"/>
    </xf>
    <xf numFmtId="0" fontId="0" fillId="0" borderId="6" xfId="0" applyBorder="1" applyProtection="1">
      <protection hidden="1"/>
    </xf>
    <xf numFmtId="0" fontId="0" fillId="0" borderId="7" xfId="0" applyBorder="1" applyProtection="1">
      <protection hidden="1"/>
    </xf>
    <xf numFmtId="169" fontId="9" fillId="5" borderId="0" xfId="0" applyNumberFormat="1" applyFont="1" applyFill="1" applyProtection="1">
      <protection hidden="1"/>
    </xf>
    <xf numFmtId="9" fontId="9" fillId="5" borderId="0" xfId="2" applyFont="1" applyFill="1" applyAlignment="1" applyProtection="1">
      <alignment horizontal="center"/>
      <protection hidden="1"/>
    </xf>
    <xf numFmtId="165" fontId="4" fillId="0" borderId="0" xfId="0" applyNumberFormat="1" applyFont="1" applyProtection="1">
      <protection hidden="1"/>
    </xf>
    <xf numFmtId="169" fontId="0" fillId="0" borderId="0" xfId="0" applyNumberFormat="1" applyProtection="1">
      <protection hidden="1"/>
    </xf>
    <xf numFmtId="0" fontId="7" fillId="0" borderId="0" xfId="0" applyFont="1" applyAlignment="1" applyProtection="1">
      <alignment vertical="center"/>
      <protection hidden="1"/>
    </xf>
    <xf numFmtId="0" fontId="8" fillId="0" borderId="0" xfId="0" applyFont="1" applyProtection="1">
      <protection hidden="1"/>
    </xf>
    <xf numFmtId="0" fontId="8" fillId="0" borderId="0" xfId="0" applyFont="1" applyAlignment="1" applyProtection="1">
      <alignment horizontal="center"/>
      <protection hidden="1"/>
    </xf>
    <xf numFmtId="171" fontId="0" fillId="0" borderId="0" xfId="0" applyNumberFormat="1" applyProtection="1">
      <protection hidden="1"/>
    </xf>
    <xf numFmtId="49" fontId="8" fillId="0" borderId="0" xfId="0" applyNumberFormat="1" applyFont="1" applyProtection="1">
      <protection hidden="1"/>
    </xf>
    <xf numFmtId="0" fontId="13" fillId="0" borderId="0" xfId="0" applyFont="1" applyProtection="1">
      <protection hidden="1"/>
    </xf>
    <xf numFmtId="0" fontId="11" fillId="0" borderId="0" xfId="0" applyFont="1" applyAlignment="1" applyProtection="1">
      <alignment horizontal="center"/>
      <protection hidden="1"/>
    </xf>
    <xf numFmtId="0" fontId="11" fillId="0" borderId="0" xfId="0" applyFont="1" applyProtection="1">
      <protection hidden="1"/>
    </xf>
    <xf numFmtId="0" fontId="19" fillId="0" borderId="0" xfId="0" applyFont="1" applyProtection="1">
      <protection hidden="1"/>
    </xf>
    <xf numFmtId="0" fontId="18" fillId="0" borderId="0" xfId="0" applyFont="1" applyProtection="1">
      <protection hidden="1"/>
    </xf>
    <xf numFmtId="9" fontId="32" fillId="4" borderId="0" xfId="2" applyFont="1" applyFill="1" applyProtection="1">
      <protection locked="0"/>
    </xf>
    <xf numFmtId="0" fontId="33" fillId="6" borderId="0" xfId="0" applyFont="1" applyFill="1" applyProtection="1">
      <protection locked="0"/>
    </xf>
    <xf numFmtId="170" fontId="33" fillId="6" borderId="6" xfId="2" applyNumberFormat="1" applyFont="1" applyFill="1" applyBorder="1" applyProtection="1">
      <protection locked="0"/>
    </xf>
    <xf numFmtId="168" fontId="9" fillId="5" borderId="1" xfId="1" applyNumberFormat="1" applyFont="1" applyFill="1" applyBorder="1" applyProtection="1">
      <protection hidden="1"/>
    </xf>
    <xf numFmtId="166" fontId="32" fillId="4" borderId="0" xfId="4" applyFont="1" applyFill="1" applyProtection="1">
      <protection locked="0"/>
    </xf>
    <xf numFmtId="0" fontId="15" fillId="0" borderId="0" xfId="0" applyFont="1" applyAlignment="1" applyProtection="1">
      <alignment horizontal="center" vertical="center"/>
      <protection hidden="1"/>
    </xf>
    <xf numFmtId="0" fontId="28" fillId="5" borderId="0" xfId="0" applyFont="1" applyFill="1" applyBorder="1" applyProtection="1">
      <protection hidden="1"/>
    </xf>
    <xf numFmtId="0" fontId="0" fillId="5" borderId="0" xfId="0" applyFill="1" applyProtection="1">
      <protection hidden="1"/>
    </xf>
    <xf numFmtId="172" fontId="26" fillId="5" borderId="1" xfId="1" applyNumberFormat="1" applyFont="1" applyFill="1" applyBorder="1" applyProtection="1">
      <protection hidden="1"/>
    </xf>
    <xf numFmtId="0" fontId="10" fillId="0" borderId="0" xfId="0" applyFont="1" applyAlignment="1" applyProtection="1">
      <alignment horizontal="center" vertical="center"/>
      <protection hidden="1"/>
    </xf>
    <xf numFmtId="168" fontId="0" fillId="0" borderId="0" xfId="1" applyNumberFormat="1" applyFont="1" applyProtection="1">
      <protection hidden="1"/>
    </xf>
    <xf numFmtId="0" fontId="4" fillId="0" borderId="1" xfId="0" applyFont="1" applyBorder="1" applyProtection="1">
      <protection hidden="1"/>
    </xf>
    <xf numFmtId="168"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4" fillId="0" borderId="3" xfId="0" applyFont="1" applyBorder="1" applyProtection="1">
      <protection hidden="1"/>
    </xf>
    <xf numFmtId="173" fontId="4" fillId="0" borderId="3" xfId="0" applyNumberFormat="1" applyFont="1" applyBorder="1" applyProtection="1">
      <protection hidden="1"/>
    </xf>
    <xf numFmtId="0" fontId="25" fillId="0" borderId="0" xfId="0" applyFont="1" applyAlignment="1" applyProtection="1">
      <alignment horizontal="center" vertical="center"/>
      <protection hidden="1"/>
    </xf>
    <xf numFmtId="165" fontId="4" fillId="0" borderId="1" xfId="0" applyNumberFormat="1" applyFont="1" applyBorder="1" applyProtection="1">
      <protection hidden="1"/>
    </xf>
    <xf numFmtId="165" fontId="0" fillId="5" borderId="0" xfId="0" applyNumberFormat="1" applyFill="1" applyProtection="1">
      <protection hidden="1"/>
    </xf>
    <xf numFmtId="0" fontId="20" fillId="0" borderId="0" xfId="0" applyFont="1" applyProtection="1">
      <protection hidden="1"/>
    </xf>
    <xf numFmtId="165" fontId="20" fillId="0" borderId="0" xfId="0" applyNumberFormat="1" applyFont="1" applyProtection="1">
      <protection hidden="1"/>
    </xf>
    <xf numFmtId="0" fontId="9" fillId="0" borderId="0" xfId="0" applyFont="1" applyProtection="1">
      <protection hidden="1"/>
    </xf>
    <xf numFmtId="165" fontId="23" fillId="0" borderId="0" xfId="0" applyNumberFormat="1" applyFont="1" applyProtection="1">
      <protection hidden="1"/>
    </xf>
    <xf numFmtId="0" fontId="5" fillId="0" borderId="0" xfId="0" applyFont="1" applyAlignment="1" applyProtection="1">
      <alignment horizontal="left" wrapText="1"/>
      <protection hidden="1"/>
    </xf>
    <xf numFmtId="0" fontId="5" fillId="0" borderId="0" xfId="0" applyFont="1" applyProtection="1">
      <protection hidden="1"/>
    </xf>
    <xf numFmtId="0" fontId="21" fillId="0" borderId="0" xfId="0" applyFont="1" applyAlignment="1" applyProtection="1">
      <alignment wrapText="1"/>
      <protection hidden="1"/>
    </xf>
    <xf numFmtId="0" fontId="18" fillId="0" borderId="0" xfId="0" applyFont="1" applyAlignment="1" applyProtection="1">
      <alignment horizontal="center"/>
      <protection hidden="1"/>
    </xf>
    <xf numFmtId="0" fontId="40" fillId="0" borderId="2" xfId="0" applyFont="1" applyFill="1" applyBorder="1" applyAlignment="1" applyProtection="1">
      <alignment horizontal="center"/>
      <protection hidden="1"/>
    </xf>
    <xf numFmtId="172" fontId="22" fillId="0" borderId="2" xfId="1" applyNumberFormat="1" applyFont="1" applyFill="1" applyBorder="1" applyProtection="1">
      <protection hidden="1"/>
    </xf>
    <xf numFmtId="172" fontId="41" fillId="0" borderId="2" xfId="1" applyNumberFormat="1" applyFont="1" applyFill="1" applyBorder="1" applyProtection="1">
      <protection hidden="1"/>
    </xf>
    <xf numFmtId="172" fontId="40" fillId="0" borderId="2" xfId="1" applyNumberFormat="1" applyFont="1" applyFill="1" applyBorder="1" applyProtection="1">
      <protection hidden="1"/>
    </xf>
    <xf numFmtId="0" fontId="35" fillId="5" borderId="0" xfId="0" applyFont="1" applyFill="1" applyProtection="1">
      <protection hidden="1"/>
    </xf>
    <xf numFmtId="165" fontId="23" fillId="5" borderId="0" xfId="0" applyNumberFormat="1" applyFont="1" applyFill="1" applyProtection="1">
      <protection hidden="1"/>
    </xf>
    <xf numFmtId="0" fontId="25" fillId="0" borderId="10"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0" fillId="0" borderId="12" xfId="0" applyBorder="1" applyProtection="1">
      <protection hidden="1"/>
    </xf>
    <xf numFmtId="172" fontId="31" fillId="0" borderId="4" xfId="0" applyNumberFormat="1" applyFont="1" applyBorder="1" applyProtection="1">
      <protection hidden="1"/>
    </xf>
    <xf numFmtId="172" fontId="31" fillId="0" borderId="13" xfId="0" applyNumberFormat="1" applyFont="1" applyBorder="1" applyProtection="1">
      <protection hidden="1"/>
    </xf>
    <xf numFmtId="164" fontId="24" fillId="5" borderId="0" xfId="0" applyNumberFormat="1" applyFont="1" applyFill="1" applyProtection="1">
      <protection hidden="1"/>
    </xf>
    <xf numFmtId="10" fontId="11" fillId="0" borderId="0" xfId="2" applyNumberFormat="1" applyFont="1" applyAlignment="1" applyProtection="1">
      <alignment horizontal="center" vertical="center"/>
      <protection hidden="1"/>
    </xf>
    <xf numFmtId="0" fontId="37" fillId="0" borderId="0" xfId="0" applyFont="1" applyAlignment="1" applyProtection="1">
      <alignment wrapText="1"/>
      <protection hidden="1"/>
    </xf>
    <xf numFmtId="0" fontId="8" fillId="0" borderId="0" xfId="0" applyFont="1" applyAlignment="1" applyProtection="1">
      <protection hidden="1"/>
    </xf>
    <xf numFmtId="165" fontId="8" fillId="0" borderId="0" xfId="0" applyNumberFormat="1" applyFont="1" applyAlignment="1" applyProtection="1">
      <protection hidden="1"/>
    </xf>
    <xf numFmtId="9" fontId="8" fillId="0" borderId="0" xfId="0" applyNumberFormat="1" applyFont="1" applyProtection="1">
      <protection hidden="1"/>
    </xf>
    <xf numFmtId="165" fontId="8" fillId="0" borderId="0" xfId="0" applyNumberFormat="1" applyFont="1" applyProtection="1">
      <protection hidden="1"/>
    </xf>
    <xf numFmtId="166" fontId="8" fillId="0" borderId="0" xfId="0" applyNumberFormat="1" applyFont="1" applyProtection="1">
      <protection hidden="1"/>
    </xf>
    <xf numFmtId="166" fontId="20" fillId="0" borderId="0" xfId="0" applyNumberFormat="1"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9" fillId="0" borderId="0" xfId="4" applyFont="1" applyProtection="1">
      <protection hidden="1"/>
    </xf>
    <xf numFmtId="0" fontId="4" fillId="0" borderId="0" xfId="0" applyFont="1" applyProtection="1">
      <protection hidden="1"/>
    </xf>
    <xf numFmtId="166" fontId="4" fillId="0" borderId="0" xfId="4" applyFont="1" applyProtection="1">
      <protection hidden="1"/>
    </xf>
    <xf numFmtId="0" fontId="21" fillId="0" borderId="0" xfId="0" applyFont="1" applyAlignment="1" applyProtection="1">
      <alignment wrapText="1"/>
      <protection locked="0"/>
    </xf>
    <xf numFmtId="0" fontId="23" fillId="0" borderId="9" xfId="0" applyFont="1" applyBorder="1" applyProtection="1">
      <protection hidden="1"/>
    </xf>
    <xf numFmtId="165" fontId="15" fillId="0" borderId="0" xfId="1" applyFont="1" applyProtection="1">
      <protection hidden="1"/>
    </xf>
    <xf numFmtId="0" fontId="14" fillId="0" borderId="0" xfId="0" applyFont="1" applyFill="1" applyAlignment="1" applyProtection="1">
      <alignment horizontal="left" wrapText="1"/>
      <protection hidden="1"/>
    </xf>
    <xf numFmtId="0" fontId="6" fillId="0" borderId="14" xfId="0" applyFont="1" applyBorder="1" applyAlignment="1" applyProtection="1">
      <alignment horizontal="center"/>
      <protection hidden="1"/>
    </xf>
    <xf numFmtId="0" fontId="18" fillId="0" borderId="2" xfId="0" applyFont="1" applyFill="1" applyBorder="1" applyAlignment="1" applyProtection="1">
      <alignment horizontal="center" vertical="top" wrapText="1"/>
      <protection hidden="1"/>
    </xf>
    <xf numFmtId="0" fontId="4" fillId="8" borderId="0" xfId="0" applyFont="1" applyFill="1" applyProtection="1">
      <protection hidden="1"/>
    </xf>
    <xf numFmtId="0" fontId="4" fillId="8" borderId="0" xfId="0" applyFont="1" applyFill="1" applyAlignment="1" applyProtection="1">
      <alignment horizontal="left" vertical="top" wrapText="1"/>
      <protection hidden="1"/>
    </xf>
    <xf numFmtId="167" fontId="0" fillId="0" borderId="0" xfId="0" applyNumberFormat="1" applyProtection="1">
      <protection hidden="1"/>
    </xf>
    <xf numFmtId="0" fontId="18" fillId="0" borderId="9" xfId="0" applyFont="1" applyBorder="1" applyProtection="1">
      <protection hidden="1"/>
    </xf>
    <xf numFmtId="0" fontId="0" fillId="0" borderId="10" xfId="0" applyBorder="1" applyProtection="1">
      <protection hidden="1"/>
    </xf>
    <xf numFmtId="165" fontId="23" fillId="0" borderId="11" xfId="0" applyNumberFormat="1" applyFont="1" applyBorder="1" applyProtection="1">
      <protection hidden="1"/>
    </xf>
    <xf numFmtId="0" fontId="18" fillId="0" borderId="12" xfId="0" applyFont="1" applyBorder="1" applyProtection="1">
      <protection hidden="1"/>
    </xf>
    <xf numFmtId="0" fontId="0" fillId="0" borderId="4" xfId="0" applyBorder="1" applyProtection="1">
      <protection hidden="1"/>
    </xf>
    <xf numFmtId="165" fontId="23" fillId="0" borderId="13" xfId="0" applyNumberFormat="1" applyFont="1" applyBorder="1" applyProtection="1">
      <protection hidden="1"/>
    </xf>
    <xf numFmtId="178" fontId="32" fillId="4" borderId="0" xfId="4" applyNumberFormat="1" applyFont="1" applyFill="1" applyAlignment="1" applyProtection="1">
      <alignment horizontal="center"/>
      <protection locked="0"/>
    </xf>
    <xf numFmtId="165" fontId="45" fillId="0" borderId="0" xfId="0" applyNumberFormat="1" applyFont="1" applyAlignment="1" applyProtection="1">
      <alignment wrapText="1"/>
      <protection hidden="1"/>
    </xf>
    <xf numFmtId="165" fontId="23" fillId="0" borderId="0" xfId="0" applyNumberFormat="1" applyFont="1" applyAlignment="1" applyProtection="1">
      <alignment horizontal="left" vertical="center" wrapText="1"/>
      <protection hidden="1"/>
    </xf>
    <xf numFmtId="0" fontId="18" fillId="0" borderId="5" xfId="0" applyFont="1" applyBorder="1" applyProtection="1">
      <protection hidden="1"/>
    </xf>
    <xf numFmtId="165" fontId="23" fillId="0" borderId="7" xfId="0" applyNumberFormat="1" applyFont="1" applyBorder="1" applyProtection="1">
      <protection hidden="1"/>
    </xf>
    <xf numFmtId="165" fontId="36" fillId="8" borderId="0" xfId="0" applyNumberFormat="1" applyFont="1" applyFill="1" applyAlignment="1" applyProtection="1">
      <alignment wrapText="1"/>
      <protection hidden="1"/>
    </xf>
    <xf numFmtId="0" fontId="46" fillId="0" borderId="0" xfId="0" applyFont="1" applyProtection="1">
      <protection hidden="1"/>
    </xf>
    <xf numFmtId="0" fontId="4" fillId="0" borderId="0" xfId="0" applyFont="1" applyAlignment="1" applyProtection="1">
      <protection hidden="1"/>
    </xf>
    <xf numFmtId="165" fontId="27" fillId="9" borderId="0" xfId="1" applyFont="1" applyFill="1" applyBorder="1" applyAlignment="1" applyProtection="1">
      <alignment horizontal="center"/>
      <protection hidden="1"/>
    </xf>
    <xf numFmtId="165" fontId="2" fillId="9" borderId="0" xfId="1" applyFont="1" applyFill="1" applyBorder="1" applyAlignment="1" applyProtection="1">
      <alignment horizontal="center"/>
      <protection hidden="1"/>
    </xf>
    <xf numFmtId="0" fontId="0" fillId="0" borderId="0" xfId="0" applyFont="1" applyBorder="1" applyProtection="1">
      <protection hidden="1"/>
    </xf>
    <xf numFmtId="0" fontId="0" fillId="0" borderId="0" xfId="0" applyFont="1" applyProtection="1">
      <protection hidden="1"/>
    </xf>
    <xf numFmtId="9" fontId="0" fillId="0" borderId="0" xfId="2" applyFont="1" applyBorder="1" applyProtection="1">
      <protection hidden="1"/>
    </xf>
    <xf numFmtId="10" fontId="0" fillId="0" borderId="0" xfId="2" applyNumberFormat="1" applyFont="1" applyBorder="1" applyProtection="1">
      <protection hidden="1"/>
    </xf>
    <xf numFmtId="0" fontId="0" fillId="0" borderId="0" xfId="0" applyFont="1" applyBorder="1" applyAlignment="1" applyProtection="1">
      <alignment wrapText="1"/>
      <protection hidden="1"/>
    </xf>
    <xf numFmtId="172" fontId="48" fillId="0" borderId="0" xfId="1" applyNumberFormat="1" applyFont="1" applyFill="1" applyBorder="1" applyProtection="1">
      <protection hidden="1"/>
    </xf>
    <xf numFmtId="172" fontId="0" fillId="0" borderId="0" xfId="0" applyNumberFormat="1" applyFont="1" applyBorder="1" applyProtection="1">
      <protection hidden="1"/>
    </xf>
    <xf numFmtId="0" fontId="4" fillId="2" borderId="0" xfId="0" applyFont="1" applyFill="1" applyAlignment="1" applyProtection="1">
      <alignment horizontal="center" vertical="center"/>
      <protection hidden="1"/>
    </xf>
    <xf numFmtId="165" fontId="47" fillId="2" borderId="0" xfId="0" applyNumberFormat="1" applyFont="1" applyFill="1" applyAlignment="1" applyProtection="1">
      <alignment horizontal="center" vertical="center" wrapText="1"/>
      <protection hidden="1"/>
    </xf>
    <xf numFmtId="0" fontId="49" fillId="4" borderId="0" xfId="0" applyFont="1" applyFill="1" applyProtection="1">
      <protection locked="0"/>
    </xf>
    <xf numFmtId="10" fontId="49" fillId="4" borderId="0" xfId="2" applyNumberFormat="1" applyFont="1" applyFill="1" applyProtection="1">
      <protection locked="0"/>
    </xf>
    <xf numFmtId="0" fontId="0" fillId="0" borderId="0" xfId="0" applyAlignment="1">
      <alignment wrapText="1"/>
    </xf>
    <xf numFmtId="0" fontId="2" fillId="0" borderId="0" xfId="0" applyFont="1"/>
    <xf numFmtId="0" fontId="50" fillId="0" borderId="0" xfId="0" applyFont="1" applyAlignment="1">
      <alignment wrapText="1"/>
    </xf>
    <xf numFmtId="0" fontId="19" fillId="0" borderId="0" xfId="0" applyFont="1"/>
    <xf numFmtId="0" fontId="51" fillId="0" borderId="0" xfId="0" applyFont="1" applyAlignment="1">
      <alignment wrapText="1"/>
    </xf>
    <xf numFmtId="0" fontId="50" fillId="0" borderId="0" xfId="0" applyFont="1"/>
    <xf numFmtId="0" fontId="29" fillId="0" borderId="0" xfId="0" applyFont="1"/>
    <xf numFmtId="176" fontId="29" fillId="0" borderId="0" xfId="0" applyNumberFormat="1" applyFont="1"/>
    <xf numFmtId="176" fontId="19" fillId="0" borderId="0" xfId="0" applyNumberFormat="1" applyFont="1"/>
    <xf numFmtId="178" fontId="50" fillId="0" borderId="0" xfId="0" applyNumberFormat="1" applyFont="1"/>
    <xf numFmtId="176" fontId="51" fillId="0" borderId="0" xfId="0" applyNumberFormat="1" applyFont="1"/>
    <xf numFmtId="0" fontId="29" fillId="0" borderId="0" xfId="0" applyFont="1" applyAlignment="1" applyProtection="1">
      <alignment horizontal="left"/>
      <protection hidden="1"/>
    </xf>
    <xf numFmtId="49" fontId="29" fillId="0" borderId="0" xfId="0" applyNumberFormat="1" applyFont="1" applyProtection="1">
      <protection hidden="1"/>
    </xf>
    <xf numFmtId="176" fontId="19" fillId="0" borderId="8" xfId="0" applyNumberFormat="1" applyFont="1" applyBorder="1"/>
    <xf numFmtId="0" fontId="4" fillId="0" borderId="0" xfId="0" applyFont="1"/>
    <xf numFmtId="0" fontId="52" fillId="0" borderId="0" xfId="0" applyFont="1"/>
    <xf numFmtId="0" fontId="52" fillId="0" borderId="0" xfId="0" applyFont="1" applyAlignment="1">
      <alignment horizontal="center"/>
    </xf>
    <xf numFmtId="0" fontId="52" fillId="2" borderId="0" xfId="0" applyFont="1" applyFill="1" applyAlignment="1">
      <alignment horizontal="center"/>
    </xf>
    <xf numFmtId="0" fontId="53" fillId="2" borderId="0" xfId="0" applyFont="1" applyFill="1" applyAlignment="1">
      <alignment horizontal="center"/>
    </xf>
    <xf numFmtId="0" fontId="9" fillId="0" borderId="0" xfId="0" applyFont="1"/>
    <xf numFmtId="0" fontId="48" fillId="0" borderId="0" xfId="0" applyFont="1"/>
    <xf numFmtId="0" fontId="51" fillId="0" borderId="0" xfId="0" applyFont="1"/>
    <xf numFmtId="0" fontId="19" fillId="0" borderId="0" xfId="0" applyFont="1" applyAlignment="1">
      <alignment wrapText="1"/>
    </xf>
    <xf numFmtId="178" fontId="19" fillId="0" borderId="0" xfId="0" applyNumberFormat="1" applyFont="1"/>
    <xf numFmtId="0" fontId="0" fillId="0" borderId="0" xfId="0" applyAlignment="1"/>
    <xf numFmtId="0" fontId="52" fillId="0" borderId="0" xfId="0" applyFont="1" applyAlignment="1">
      <alignment wrapText="1"/>
    </xf>
    <xf numFmtId="178" fontId="19" fillId="0" borderId="0" xfId="0" applyNumberFormat="1" applyFont="1" applyAlignment="1">
      <alignment wrapText="1"/>
    </xf>
    <xf numFmtId="178" fontId="52" fillId="0" borderId="0" xfId="0" applyNumberFormat="1" applyFont="1" applyAlignment="1">
      <alignment wrapText="1"/>
    </xf>
    <xf numFmtId="0" fontId="52" fillId="2" borderId="0" xfId="0" applyFont="1" applyFill="1"/>
    <xf numFmtId="0" fontId="53" fillId="2" borderId="0" xfId="0" applyFont="1" applyFill="1"/>
    <xf numFmtId="0" fontId="53" fillId="10" borderId="0" xfId="0" applyFont="1" applyFill="1" applyAlignment="1">
      <alignment horizontal="center" vertical="center" wrapText="1"/>
    </xf>
    <xf numFmtId="178" fontId="19" fillId="0" borderId="8" xfId="0" applyNumberFormat="1" applyFont="1" applyBorder="1" applyAlignment="1">
      <alignment wrapText="1"/>
    </xf>
    <xf numFmtId="178" fontId="52" fillId="0" borderId="0" xfId="0" applyNumberFormat="1" applyFont="1"/>
    <xf numFmtId="178" fontId="50" fillId="0" borderId="0" xfId="0" applyNumberFormat="1" applyFont="1" applyAlignment="1">
      <alignment wrapText="1"/>
    </xf>
    <xf numFmtId="178" fontId="50" fillId="0" borderId="8" xfId="0" applyNumberFormat="1" applyFont="1" applyBorder="1"/>
    <xf numFmtId="10" fontId="19" fillId="0" borderId="0" xfId="0" applyNumberFormat="1" applyFont="1" applyAlignment="1">
      <alignment wrapText="1"/>
    </xf>
    <xf numFmtId="0" fontId="6" fillId="0" borderId="14" xfId="0" applyFont="1" applyBorder="1" applyAlignment="1" applyProtection="1">
      <protection hidden="1"/>
    </xf>
    <xf numFmtId="0" fontId="52" fillId="2" borderId="0" xfId="0" applyFont="1" applyFill="1" applyAlignment="1">
      <alignment wrapText="1"/>
    </xf>
    <xf numFmtId="0" fontId="51" fillId="2" borderId="0" xfId="0" applyFont="1" applyFill="1" applyAlignment="1"/>
    <xf numFmtId="0" fontId="19" fillId="0" borderId="8" xfId="0" applyFont="1" applyBorder="1" applyAlignment="1">
      <alignment wrapText="1"/>
    </xf>
    <xf numFmtId="176" fontId="52" fillId="0" borderId="0" xfId="0" applyNumberFormat="1" applyFont="1"/>
    <xf numFmtId="176" fontId="29" fillId="0" borderId="8" xfId="0" applyNumberFormat="1" applyFont="1" applyBorder="1"/>
    <xf numFmtId="176" fontId="48" fillId="0" borderId="0" xfId="0" applyNumberFormat="1" applyFont="1"/>
    <xf numFmtId="176" fontId="29" fillId="0" borderId="1" xfId="0" applyNumberFormat="1" applyFont="1" applyBorder="1"/>
    <xf numFmtId="176" fontId="48" fillId="0" borderId="1" xfId="0" applyNumberFormat="1" applyFont="1" applyBorder="1"/>
    <xf numFmtId="0" fontId="48" fillId="0" borderId="0" xfId="0" applyFont="1" applyAlignment="1">
      <alignment wrapText="1"/>
    </xf>
    <xf numFmtId="0" fontId="14" fillId="5" borderId="0" xfId="0" applyFont="1" applyFill="1" applyAlignment="1" applyProtection="1">
      <protection hidden="1"/>
    </xf>
    <xf numFmtId="179" fontId="48" fillId="0" borderId="0" xfId="0" applyNumberFormat="1" applyFont="1"/>
    <xf numFmtId="10" fontId="48" fillId="0" borderId="0" xfId="0" applyNumberFormat="1" applyFont="1"/>
    <xf numFmtId="0" fontId="51" fillId="2" borderId="0" xfId="0" applyFont="1" applyFill="1" applyAlignment="1">
      <alignment horizontal="center" wrapText="1"/>
    </xf>
    <xf numFmtId="179" fontId="0" fillId="0" borderId="0" xfId="0" applyNumberFormat="1"/>
    <xf numFmtId="180" fontId="0" fillId="0" borderId="0" xfId="0" applyNumberFormat="1"/>
    <xf numFmtId="2" fontId="4" fillId="0" borderId="0" xfId="0" applyNumberFormat="1" applyFont="1"/>
    <xf numFmtId="178" fontId="51" fillId="0" borderId="0" xfId="0" applyNumberFormat="1" applyFont="1" applyAlignment="1">
      <alignment wrapText="1"/>
    </xf>
    <xf numFmtId="179" fontId="19" fillId="0" borderId="0" xfId="0" applyNumberFormat="1" applyFont="1" applyAlignment="1">
      <alignment wrapText="1"/>
    </xf>
    <xf numFmtId="0" fontId="20" fillId="0" borderId="0" xfId="0" applyFont="1"/>
    <xf numFmtId="2" fontId="20" fillId="0" borderId="0" xfId="0" applyNumberFormat="1" applyFont="1"/>
    <xf numFmtId="176" fontId="20" fillId="0" borderId="0" xfId="0" applyNumberFormat="1" applyFont="1"/>
    <xf numFmtId="0" fontId="35" fillId="0" borderId="0" xfId="0" applyFont="1" applyProtection="1">
      <protection hidden="1"/>
    </xf>
    <xf numFmtId="0" fontId="4" fillId="0" borderId="0" xfId="0" applyFont="1" applyAlignment="1"/>
    <xf numFmtId="176" fontId="4" fillId="0" borderId="0" xfId="0" applyNumberFormat="1" applyFont="1"/>
    <xf numFmtId="0" fontId="20" fillId="0" borderId="0" xfId="0" applyFont="1" applyFill="1" applyProtection="1">
      <protection hidden="1"/>
    </xf>
    <xf numFmtId="0" fontId="20" fillId="0" borderId="0" xfId="0" applyFont="1" applyFill="1" applyAlignment="1" applyProtection="1">
      <alignment horizontal="center"/>
      <protection hidden="1"/>
    </xf>
    <xf numFmtId="165" fontId="20" fillId="0" borderId="0" xfId="0" applyNumberFormat="1" applyFont="1" applyFill="1" applyProtection="1">
      <protection hidden="1"/>
    </xf>
    <xf numFmtId="166" fontId="20" fillId="0" borderId="0" xfId="0" applyNumberFormat="1" applyFont="1" applyFill="1" applyProtection="1">
      <protection hidden="1"/>
    </xf>
    <xf numFmtId="165" fontId="20" fillId="0" borderId="0" xfId="1" applyFont="1" applyFill="1" applyProtection="1">
      <protection hidden="1"/>
    </xf>
    <xf numFmtId="165" fontId="0" fillId="0" borderId="0" xfId="0" applyNumberFormat="1" applyFill="1" applyProtection="1">
      <protection hidden="1"/>
    </xf>
    <xf numFmtId="0" fontId="5" fillId="0" borderId="9" xfId="0" applyFont="1" applyBorder="1" applyAlignment="1" applyProtection="1">
      <alignment wrapText="1"/>
      <protection hidden="1"/>
    </xf>
    <xf numFmtId="170" fontId="10" fillId="9" borderId="10" xfId="2" applyNumberFormat="1" applyFont="1" applyFill="1" applyBorder="1" applyProtection="1">
      <protection hidden="1"/>
    </xf>
    <xf numFmtId="170" fontId="10" fillId="9" borderId="4" xfId="2" applyNumberFormat="1" applyFont="1" applyFill="1" applyBorder="1" applyProtection="1">
      <protection hidden="1"/>
    </xf>
    <xf numFmtId="0" fontId="1" fillId="0" borderId="0" xfId="0" applyFont="1" applyProtection="1">
      <protection hidden="1"/>
    </xf>
    <xf numFmtId="0" fontId="0" fillId="8" borderId="0" xfId="0" applyFont="1" applyFill="1" applyBorder="1" applyProtection="1">
      <protection hidden="1"/>
    </xf>
    <xf numFmtId="10" fontId="0" fillId="11" borderId="0" xfId="2" applyNumberFormat="1" applyFont="1" applyFill="1" applyBorder="1" applyProtection="1">
      <protection hidden="1"/>
    </xf>
    <xf numFmtId="10" fontId="0" fillId="0" borderId="0" xfId="0" applyNumberFormat="1" applyProtection="1">
      <protection hidden="1"/>
    </xf>
    <xf numFmtId="172" fontId="48" fillId="11" borderId="0" xfId="1" applyNumberFormat="1" applyFont="1" applyFill="1" applyBorder="1" applyProtection="1">
      <protection hidden="1"/>
    </xf>
    <xf numFmtId="172" fontId="0" fillId="0" borderId="0" xfId="0" applyNumberFormat="1" applyProtection="1">
      <protection hidden="1"/>
    </xf>
    <xf numFmtId="0" fontId="55" fillId="7" borderId="16" xfId="8" applyProtection="1">
      <protection hidden="1"/>
    </xf>
    <xf numFmtId="0" fontId="44" fillId="7" borderId="15" xfId="7" applyAlignment="1" applyProtection="1">
      <alignment horizontal="center"/>
      <protection locked="0"/>
    </xf>
    <xf numFmtId="0" fontId="57" fillId="7" borderId="15" xfId="7" applyFont="1" applyAlignment="1" applyProtection="1">
      <alignment horizontal="center"/>
      <protection locked="0"/>
    </xf>
    <xf numFmtId="165" fontId="58" fillId="12" borderId="0" xfId="1" applyFont="1" applyFill="1" applyProtection="1">
      <protection locked="0"/>
    </xf>
    <xf numFmtId="168" fontId="1" fillId="0" borderId="0" xfId="0" applyNumberFormat="1" applyFont="1" applyProtection="1">
      <protection hidden="1"/>
    </xf>
    <xf numFmtId="170" fontId="59" fillId="9" borderId="11" xfId="2" applyNumberFormat="1" applyFont="1" applyFill="1" applyBorder="1" applyProtection="1">
      <protection hidden="1"/>
    </xf>
    <xf numFmtId="0" fontId="60" fillId="0" borderId="7" xfId="0" applyFont="1" applyFill="1" applyBorder="1" applyAlignment="1" applyProtection="1">
      <alignment horizontal="center"/>
      <protection hidden="1"/>
    </xf>
    <xf numFmtId="170" fontId="59" fillId="9" borderId="13" xfId="2" applyNumberFormat="1" applyFont="1" applyFill="1" applyBorder="1" applyProtection="1">
      <protection hidden="1"/>
    </xf>
    <xf numFmtId="0" fontId="60" fillId="3" borderId="0" xfId="0" applyFont="1" applyFill="1" applyAlignment="1" applyProtection="1">
      <alignment wrapText="1"/>
      <protection hidden="1"/>
    </xf>
    <xf numFmtId="0" fontId="42" fillId="0" borderId="0" xfId="9" applyProtection="1">
      <protection hidden="1"/>
    </xf>
    <xf numFmtId="0" fontId="42" fillId="0" borderId="0" xfId="9"/>
    <xf numFmtId="168" fontId="1" fillId="0" borderId="0" xfId="1" applyNumberFormat="1" applyFont="1" applyProtection="1">
      <protection hidden="1"/>
    </xf>
    <xf numFmtId="169" fontId="32" fillId="4" borderId="0" xfId="1" applyNumberFormat="1" applyFont="1" applyFill="1" applyProtection="1">
      <protection locked="0"/>
    </xf>
    <xf numFmtId="169" fontId="58" fillId="12" borderId="0" xfId="1" applyNumberFormat="1" applyFont="1" applyFill="1" applyProtection="1">
      <protection locked="0"/>
    </xf>
    <xf numFmtId="169" fontId="61" fillId="12" borderId="0" xfId="1" applyNumberFormat="1" applyFont="1" applyFill="1" applyProtection="1">
      <protection locked="0"/>
    </xf>
    <xf numFmtId="169" fontId="23" fillId="0" borderId="0" xfId="0" applyNumberFormat="1" applyFont="1" applyProtection="1">
      <protection hidden="1"/>
    </xf>
    <xf numFmtId="174" fontId="32" fillId="4" borderId="0" xfId="4" applyNumberFormat="1" applyFont="1" applyFill="1" applyProtection="1">
      <protection locked="0"/>
    </xf>
    <xf numFmtId="177" fontId="30" fillId="0" borderId="2" xfId="1" applyNumberFormat="1" applyFont="1" applyFill="1" applyBorder="1" applyAlignment="1" applyProtection="1">
      <alignment wrapText="1"/>
      <protection hidden="1"/>
    </xf>
    <xf numFmtId="169" fontId="61" fillId="4" borderId="0" xfId="1" applyNumberFormat="1" applyFont="1" applyFill="1" applyProtection="1">
      <protection locked="0"/>
    </xf>
    <xf numFmtId="174" fontId="32" fillId="4" borderId="0" xfId="4" applyNumberFormat="1" applyFont="1" applyFill="1" applyAlignment="1" applyProtection="1">
      <alignment horizontal="center"/>
      <protection locked="0"/>
    </xf>
    <xf numFmtId="169" fontId="62" fillId="0" borderId="0" xfId="1" applyNumberFormat="1" applyFont="1" applyProtection="1">
      <protection hidden="1"/>
    </xf>
    <xf numFmtId="0" fontId="62" fillId="0" borderId="0" xfId="0" applyFont="1" applyProtection="1">
      <protection hidden="1"/>
    </xf>
    <xf numFmtId="169" fontId="63" fillId="0" borderId="0" xfId="0" applyNumberFormat="1" applyFont="1" applyProtection="1">
      <protection hidden="1"/>
    </xf>
    <xf numFmtId="165" fontId="61" fillId="4" borderId="0" xfId="1" applyFont="1" applyFill="1" applyProtection="1">
      <protection locked="0"/>
    </xf>
    <xf numFmtId="0" fontId="64" fillId="0" borderId="0" xfId="0" applyFont="1" applyAlignment="1" applyProtection="1">
      <alignment wrapText="1"/>
      <protection locked="0"/>
    </xf>
    <xf numFmtId="169" fontId="61" fillId="4" borderId="0" xfId="1" applyNumberFormat="1" applyFont="1" applyFill="1" applyAlignment="1" applyProtection="1">
      <alignment vertical="center"/>
      <protection locked="0"/>
    </xf>
    <xf numFmtId="165" fontId="4" fillId="0" borderId="0" xfId="1" applyFont="1" applyProtection="1">
      <protection hidden="1"/>
    </xf>
    <xf numFmtId="0" fontId="54" fillId="6" borderId="0" xfId="0" applyFont="1" applyFill="1" applyAlignment="1" applyProtection="1">
      <alignment horizontal="center" wrapText="1"/>
      <protection locked="0"/>
    </xf>
    <xf numFmtId="0" fontId="6" fillId="0" borderId="0" xfId="0" applyFont="1" applyAlignment="1" applyProtection="1">
      <alignment horizontal="center"/>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center" wrapText="1"/>
      <protection hidden="1"/>
    </xf>
    <xf numFmtId="0" fontId="37" fillId="0" borderId="4" xfId="0" applyFont="1" applyBorder="1" applyAlignment="1" applyProtection="1">
      <alignment horizontal="center" wrapText="1"/>
      <protection hidden="1"/>
    </xf>
    <xf numFmtId="0" fontId="14" fillId="0" borderId="0" xfId="0" applyFont="1" applyFill="1" applyAlignment="1" applyProtection="1">
      <alignment horizontal="left" wrapText="1"/>
      <protection hidden="1"/>
    </xf>
    <xf numFmtId="0" fontId="5" fillId="2" borderId="9" xfId="0" applyFont="1" applyFill="1" applyBorder="1" applyAlignment="1" applyProtection="1">
      <alignment horizontal="left" wrapText="1"/>
      <protection hidden="1"/>
    </xf>
    <xf numFmtId="0" fontId="5" fillId="2" borderId="10" xfId="0" applyFont="1" applyFill="1" applyBorder="1" applyAlignment="1" applyProtection="1">
      <alignment horizontal="left" wrapText="1"/>
      <protection hidden="1"/>
    </xf>
    <xf numFmtId="0" fontId="5" fillId="2" borderId="11" xfId="0" applyFont="1" applyFill="1" applyBorder="1" applyAlignment="1" applyProtection="1">
      <alignment horizontal="left" wrapText="1"/>
      <protection hidden="1"/>
    </xf>
    <xf numFmtId="0" fontId="5" fillId="2" borderId="12" xfId="0" applyFont="1" applyFill="1" applyBorder="1" applyAlignment="1" applyProtection="1">
      <alignment horizontal="left" wrapText="1"/>
      <protection hidden="1"/>
    </xf>
    <xf numFmtId="0" fontId="5" fillId="2" borderId="4" xfId="0" applyFont="1" applyFill="1" applyBorder="1" applyAlignment="1" applyProtection="1">
      <alignment horizontal="left" wrapText="1"/>
      <protection hidden="1"/>
    </xf>
    <xf numFmtId="0" fontId="5" fillId="2" borderId="13" xfId="0" applyFont="1" applyFill="1" applyBorder="1" applyAlignment="1" applyProtection="1">
      <alignment horizontal="left" wrapText="1"/>
      <protection hidden="1"/>
    </xf>
    <xf numFmtId="0" fontId="56" fillId="8" borderId="5" xfId="0" applyFont="1" applyFill="1" applyBorder="1" applyAlignment="1" applyProtection="1">
      <alignment horizontal="center"/>
      <protection hidden="1"/>
    </xf>
    <xf numFmtId="0" fontId="56" fillId="8" borderId="6" xfId="0" applyFont="1" applyFill="1" applyBorder="1" applyAlignment="1" applyProtection="1">
      <alignment horizontal="center"/>
      <protection hidden="1"/>
    </xf>
    <xf numFmtId="0" fontId="56" fillId="8" borderId="7" xfId="0" applyFont="1" applyFill="1" applyBorder="1" applyAlignment="1" applyProtection="1">
      <alignment horizontal="center"/>
      <protection hidden="1"/>
    </xf>
    <xf numFmtId="0" fontId="4" fillId="8" borderId="5" xfId="0" applyFont="1" applyFill="1" applyBorder="1" applyAlignment="1" applyProtection="1">
      <alignment horizontal="left"/>
      <protection hidden="1"/>
    </xf>
    <xf numFmtId="0" fontId="4" fillId="8" borderId="6" xfId="0" applyFont="1" applyFill="1" applyBorder="1" applyAlignment="1" applyProtection="1">
      <alignment horizontal="left"/>
      <protection hidden="1"/>
    </xf>
    <xf numFmtId="0" fontId="4" fillId="8" borderId="7" xfId="0" applyFont="1" applyFill="1" applyBorder="1" applyAlignment="1" applyProtection="1">
      <alignment horizontal="left"/>
      <protection hidden="1"/>
    </xf>
    <xf numFmtId="0" fontId="24" fillId="8" borderId="5" xfId="0" applyFont="1" applyFill="1" applyBorder="1" applyAlignment="1" applyProtection="1">
      <alignment horizontal="center"/>
      <protection hidden="1"/>
    </xf>
    <xf numFmtId="0" fontId="24" fillId="8" borderId="6" xfId="0" applyFont="1" applyFill="1" applyBorder="1" applyAlignment="1" applyProtection="1">
      <alignment horizontal="center"/>
      <protection hidden="1"/>
    </xf>
    <xf numFmtId="0" fontId="24" fillId="8" borderId="7" xfId="0" applyFont="1" applyFill="1" applyBorder="1" applyAlignment="1" applyProtection="1">
      <alignment horizontal="center"/>
      <protection hidden="1"/>
    </xf>
    <xf numFmtId="0" fontId="0" fillId="0" borderId="0" xfId="0" applyAlignment="1" applyProtection="1">
      <alignment horizontal="center"/>
      <protection hidden="1"/>
    </xf>
    <xf numFmtId="10" fontId="61" fillId="4" borderId="0" xfId="2" applyNumberFormat="1" applyFont="1" applyFill="1" applyAlignment="1" applyProtection="1">
      <alignment horizontal="center"/>
      <protection locked="0"/>
    </xf>
    <xf numFmtId="0" fontId="5" fillId="0" borderId="0" xfId="0" applyFont="1" applyAlignment="1" applyProtection="1">
      <alignment horizontal="center"/>
      <protection hidden="1"/>
    </xf>
    <xf numFmtId="0" fontId="4" fillId="0" borderId="0" xfId="0" applyFont="1" applyAlignment="1" applyProtection="1">
      <alignment horizontal="center"/>
      <protection hidden="1"/>
    </xf>
    <xf numFmtId="0" fontId="13" fillId="0" borderId="0" xfId="0" applyFont="1" applyAlignment="1" applyProtection="1">
      <alignment horizontal="center"/>
      <protection hidden="1"/>
    </xf>
    <xf numFmtId="0" fontId="15" fillId="0" borderId="0" xfId="0" applyFont="1" applyAlignment="1" applyProtection="1">
      <alignment horizontal="center" vertical="center"/>
      <protection hidden="1"/>
    </xf>
    <xf numFmtId="0" fontId="15" fillId="5" borderId="0" xfId="0" applyFont="1" applyFill="1" applyAlignment="1" applyProtection="1">
      <alignment horizontal="center" vertical="center"/>
      <protection hidden="1"/>
    </xf>
    <xf numFmtId="0" fontId="14" fillId="0" borderId="0" xfId="0" applyFont="1" applyAlignment="1" applyProtection="1">
      <alignment horizontal="center"/>
      <protection hidden="1"/>
    </xf>
    <xf numFmtId="0" fontId="5" fillId="0" borderId="0" xfId="0" applyFont="1" applyAlignment="1" applyProtection="1">
      <alignment horizontal="left"/>
      <protection hidden="1"/>
    </xf>
    <xf numFmtId="0" fontId="13" fillId="0" borderId="0" xfId="0" applyFont="1" applyAlignment="1" applyProtection="1">
      <alignment wrapText="1"/>
      <protection hidden="1"/>
    </xf>
    <xf numFmtId="10" fontId="38" fillId="4" borderId="0" xfId="2" applyNumberFormat="1" applyFont="1" applyFill="1" applyAlignment="1" applyProtection="1">
      <alignment horizontal="center" vertical="center"/>
      <protection locked="0"/>
    </xf>
    <xf numFmtId="0" fontId="14" fillId="5" borderId="0" xfId="0" applyFont="1" applyFill="1" applyAlignment="1" applyProtection="1">
      <alignment horizontal="center"/>
      <protection hidden="1"/>
    </xf>
    <xf numFmtId="0" fontId="53" fillId="10" borderId="0" xfId="0" applyFont="1" applyFill="1" applyAlignment="1">
      <alignment horizontal="center" wrapText="1"/>
    </xf>
    <xf numFmtId="0" fontId="47" fillId="0" borderId="0" xfId="0" applyFont="1" applyAlignment="1">
      <alignment horizontal="left"/>
    </xf>
    <xf numFmtId="0" fontId="4" fillId="0" borderId="0" xfId="0" applyFont="1" applyAlignment="1">
      <alignment horizontal="left"/>
    </xf>
    <xf numFmtId="0" fontId="29" fillId="0" borderId="0" xfId="0" applyFont="1" applyAlignment="1">
      <alignment horizontal="center"/>
    </xf>
    <xf numFmtId="0" fontId="52" fillId="2" borderId="0" xfId="0" applyFont="1" applyFill="1" applyAlignment="1">
      <alignment horizontal="center"/>
    </xf>
    <xf numFmtId="0" fontId="19" fillId="0" borderId="0" xfId="0" applyFont="1" applyAlignment="1">
      <alignment horizontal="left" wrapText="1"/>
    </xf>
    <xf numFmtId="0" fontId="19" fillId="0" borderId="0" xfId="0" applyFont="1" applyAlignment="1">
      <alignment horizontal="center" vertical="center" wrapText="1"/>
    </xf>
    <xf numFmtId="0" fontId="4" fillId="0" borderId="0" xfId="0" applyFont="1" applyAlignment="1">
      <alignment horizontal="center"/>
    </xf>
    <xf numFmtId="0" fontId="0" fillId="0" borderId="0" xfId="0" applyAlignment="1">
      <alignment horizontal="center" vertical="center" wrapText="1"/>
    </xf>
    <xf numFmtId="0" fontId="9" fillId="0" borderId="0" xfId="0" applyFont="1" applyAlignment="1">
      <alignment horizontal="center"/>
    </xf>
    <xf numFmtId="0" fontId="52" fillId="0" borderId="0" xfId="0" applyFont="1" applyAlignment="1">
      <alignment horizontal="center"/>
    </xf>
  </cellXfs>
  <cellStyles count="10">
    <cellStyle name="Cálculo" xfId="7" builtinId="22"/>
    <cellStyle name="Hipervínculo" xfId="5" builtinId="8" hidden="1"/>
    <cellStyle name="Hipervínculo" xfId="9" builtinId="8"/>
    <cellStyle name="Hipervínculo visitado" xfId="6" builtinId="9" hidden="1"/>
    <cellStyle name="Millares" xfId="4" builtinId="3"/>
    <cellStyle name="Millares_Modelo Financiero ACME Final 2" xfId="3" xr:uid="{00000000-0005-0000-0000-000005000000}"/>
    <cellStyle name="Moneda" xfId="1" builtinId="4"/>
    <cellStyle name="Normal" xfId="0" builtinId="0"/>
    <cellStyle name="Porcentaje" xfId="2" builtinId="5"/>
    <cellStyle name="Salida" xfId="8" builtinId="21"/>
  </cellStyles>
  <dxfs count="7">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99"/>
          <c:y val="4.2355815040486799E-2"/>
          <c:w val="0.70800194207522704"/>
          <c:h val="0.80141434497983799"/>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101274.62408325121</c:v>
                </c:pt>
                <c:pt idx="2">
                  <c:v>202549.24816650242</c:v>
                </c:pt>
              </c:numCache>
            </c:numRef>
          </c:cat>
          <c:val>
            <c:numRef>
              <c:f>'5'!$C$32:$C$34</c:f>
              <c:numCache>
                <c:formatCode>_("$"\ * #,##0.00_);_("$"\ * \(#,##0.00\);_("$"\ * "-"??_);_(@_)</c:formatCode>
                <c:ptCount val="3"/>
                <c:pt idx="0">
                  <c:v>1084872104</c:v>
                </c:pt>
                <c:pt idx="1">
                  <c:v>1084872104</c:v>
                </c:pt>
                <c:pt idx="2">
                  <c:v>1084872104</c:v>
                </c:pt>
              </c:numCache>
            </c:numRef>
          </c:val>
          <c:smooth val="0"/>
          <c:extLst>
            <c:ext xmlns:c16="http://schemas.microsoft.com/office/drawing/2014/chart" uri="{C3380CC4-5D6E-409C-BE32-E72D297353CC}">
              <c16:uniqueId val="{00000000-8748-4E59-B8CB-4E980A188FD2}"/>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101274.62408325121</c:v>
                </c:pt>
                <c:pt idx="2">
                  <c:v>202549.24816650242</c:v>
                </c:pt>
              </c:numCache>
            </c:numRef>
          </c:cat>
          <c:val>
            <c:numRef>
              <c:f>'5'!$D$32:$D$34</c:f>
              <c:numCache>
                <c:formatCode>_("$"\ * #,##0.00_);_("$"\ * \(#,##0.00\);_("$"\ * "-"??_);_(@_)</c:formatCode>
                <c:ptCount val="3"/>
                <c:pt idx="0" formatCode="General">
                  <c:v>0</c:v>
                </c:pt>
                <c:pt idx="1">
                  <c:v>2251740645.2907686</c:v>
                </c:pt>
                <c:pt idx="2">
                  <c:v>4503481290.5815372</c:v>
                </c:pt>
              </c:numCache>
            </c:numRef>
          </c:val>
          <c:smooth val="0"/>
          <c:extLst>
            <c:ext xmlns:c16="http://schemas.microsoft.com/office/drawing/2014/chart" uri="{C3380CC4-5D6E-409C-BE32-E72D297353CC}">
              <c16:uniqueId val="{00000001-8748-4E59-B8CB-4E980A188FD2}"/>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101274.62408325121</c:v>
                </c:pt>
                <c:pt idx="2">
                  <c:v>202549.24816650242</c:v>
                </c:pt>
              </c:numCache>
            </c:numRef>
          </c:cat>
          <c:val>
            <c:numRef>
              <c:f>'5'!$F$32:$F$34</c:f>
              <c:numCache>
                <c:formatCode>_("$"\ * #,##0.00_);_("$"\ * \(#,##0.00\);_("$"\ * "-"??_);_(@_)</c:formatCode>
                <c:ptCount val="3"/>
                <c:pt idx="0">
                  <c:v>1084872104</c:v>
                </c:pt>
                <c:pt idx="1">
                  <c:v>2251740645.2907686</c:v>
                </c:pt>
                <c:pt idx="2">
                  <c:v>3418609186.5815368</c:v>
                </c:pt>
              </c:numCache>
            </c:numRef>
          </c:val>
          <c:smooth val="0"/>
          <c:extLst>
            <c:ext xmlns:c16="http://schemas.microsoft.com/office/drawing/2014/chart" uri="{C3380CC4-5D6E-409C-BE32-E72D297353CC}">
              <c16:uniqueId val="{00000002-8748-4E59-B8CB-4E980A188FD2}"/>
            </c:ext>
          </c:extLst>
        </c:ser>
        <c:dLbls>
          <c:showLegendKey val="0"/>
          <c:showVal val="0"/>
          <c:showCatName val="0"/>
          <c:showSerName val="0"/>
          <c:showPercent val="0"/>
          <c:showBubbleSize val="0"/>
        </c:dLbls>
        <c:smooth val="0"/>
        <c:axId val="439601416"/>
        <c:axId val="439599456"/>
      </c:lineChart>
      <c:catAx>
        <c:axId val="439601416"/>
        <c:scaling>
          <c:orientation val="minMax"/>
        </c:scaling>
        <c:delete val="0"/>
        <c:axPos val="b"/>
        <c:numFmt formatCode="General" sourceLinked="1"/>
        <c:majorTickMark val="out"/>
        <c:minorTickMark val="none"/>
        <c:tickLblPos val="nextTo"/>
        <c:crossAx val="439599456"/>
        <c:crosses val="autoZero"/>
        <c:auto val="1"/>
        <c:lblAlgn val="ctr"/>
        <c:lblOffset val="100"/>
        <c:noMultiLvlLbl val="0"/>
      </c:catAx>
      <c:valAx>
        <c:axId val="439599456"/>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439601416"/>
        <c:crosses val="autoZero"/>
        <c:crossBetween val="midCat"/>
      </c:valAx>
    </c:plotArea>
    <c:legend>
      <c:legendPos val="r"/>
      <c:layout>
        <c:manualLayout>
          <c:xMode val="edge"/>
          <c:yMode val="edge"/>
          <c:x val="2.2698594538394699E-2"/>
          <c:y val="0.93824729917921001"/>
          <c:w val="0.95884696821386695"/>
          <c:h val="5.8173535020252402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PUNTO</a:t>
            </a:r>
            <a:r>
              <a:rPr lang="es-CO" b="1" baseline="0"/>
              <a:t> DE EQUILBRIO</a:t>
            </a:r>
            <a:endParaRPr lang="es-CO"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'6'!$B$204</c:f>
              <c:strCache>
                <c:ptCount val="1"/>
                <c:pt idx="0">
                  <c:v>COSTOS FIJO</c:v>
                </c:pt>
              </c:strCache>
            </c:strRef>
          </c:tx>
          <c:spPr>
            <a:ln w="28575" cap="rnd">
              <a:solidFill>
                <a:schemeClr val="accent1"/>
              </a:solidFill>
              <a:round/>
            </a:ln>
            <a:effectLst/>
          </c:spPr>
          <c:marker>
            <c:symbol val="none"/>
          </c:marker>
          <c:cat>
            <c:numRef>
              <c:f>'6'!$A$205:$A$207</c:f>
              <c:numCache>
                <c:formatCode>0.00</c:formatCode>
                <c:ptCount val="3"/>
                <c:pt idx="0">
                  <c:v>0</c:v>
                </c:pt>
                <c:pt idx="1">
                  <c:v>101274.62408325121</c:v>
                </c:pt>
                <c:pt idx="2">
                  <c:v>202549.24816650242</c:v>
                </c:pt>
              </c:numCache>
            </c:numRef>
          </c:cat>
          <c:val>
            <c:numRef>
              <c:f>'6'!$B$205:$B$207</c:f>
              <c:numCache>
                <c:formatCode>_-[$$-240A]\ * #,##0_ ;_-[$$-240A]\ * \-#,##0\ ;_-[$$-240A]\ * "-"??_ ;_-@_ </c:formatCode>
                <c:ptCount val="3"/>
                <c:pt idx="0">
                  <c:v>1084872104</c:v>
                </c:pt>
                <c:pt idx="1">
                  <c:v>1084872104</c:v>
                </c:pt>
                <c:pt idx="2">
                  <c:v>1084872104</c:v>
                </c:pt>
              </c:numCache>
            </c:numRef>
          </c:val>
          <c:smooth val="0"/>
          <c:extLst>
            <c:ext xmlns:c16="http://schemas.microsoft.com/office/drawing/2014/chart" uri="{C3380CC4-5D6E-409C-BE32-E72D297353CC}">
              <c16:uniqueId val="{00000000-C4E0-4A6C-8331-F8C445EA3C2E}"/>
            </c:ext>
          </c:extLst>
        </c:ser>
        <c:ser>
          <c:idx val="1"/>
          <c:order val="1"/>
          <c:tx>
            <c:strRef>
              <c:f>'6'!$C$204</c:f>
              <c:strCache>
                <c:ptCount val="1"/>
                <c:pt idx="0">
                  <c:v>INGRESOS</c:v>
                </c:pt>
              </c:strCache>
            </c:strRef>
          </c:tx>
          <c:spPr>
            <a:ln w="28575" cap="rnd">
              <a:solidFill>
                <a:srgbClr val="92D050"/>
              </a:solidFill>
              <a:round/>
            </a:ln>
            <a:effectLst/>
          </c:spPr>
          <c:marker>
            <c:symbol val="none"/>
          </c:marker>
          <c:cat>
            <c:numRef>
              <c:f>'6'!$A$205:$A$207</c:f>
              <c:numCache>
                <c:formatCode>0.00</c:formatCode>
                <c:ptCount val="3"/>
                <c:pt idx="0">
                  <c:v>0</c:v>
                </c:pt>
                <c:pt idx="1">
                  <c:v>101274.62408325121</c:v>
                </c:pt>
                <c:pt idx="2">
                  <c:v>202549.24816650242</c:v>
                </c:pt>
              </c:numCache>
            </c:numRef>
          </c:cat>
          <c:val>
            <c:numRef>
              <c:f>'6'!$C$205:$C$207</c:f>
              <c:numCache>
                <c:formatCode>_-[$$-240A]\ * #,##0_ ;_-[$$-240A]\ * \-#,##0\ ;_-[$$-240A]\ * "-"??_ ;_-@_ </c:formatCode>
                <c:ptCount val="3"/>
                <c:pt idx="0">
                  <c:v>0</c:v>
                </c:pt>
                <c:pt idx="1">
                  <c:v>2251740645.2907686</c:v>
                </c:pt>
                <c:pt idx="2">
                  <c:v>4503481290.5815372</c:v>
                </c:pt>
              </c:numCache>
            </c:numRef>
          </c:val>
          <c:smooth val="0"/>
          <c:extLst>
            <c:ext xmlns:c16="http://schemas.microsoft.com/office/drawing/2014/chart" uri="{C3380CC4-5D6E-409C-BE32-E72D297353CC}">
              <c16:uniqueId val="{00000001-C4E0-4A6C-8331-F8C445EA3C2E}"/>
            </c:ext>
          </c:extLst>
        </c:ser>
        <c:ser>
          <c:idx val="2"/>
          <c:order val="2"/>
          <c:tx>
            <c:strRef>
              <c:f>'6'!$E$204</c:f>
              <c:strCache>
                <c:ptCount val="1"/>
                <c:pt idx="0">
                  <c:v>COSTO TOTAL</c:v>
                </c:pt>
              </c:strCache>
            </c:strRef>
          </c:tx>
          <c:spPr>
            <a:ln w="28575" cap="rnd">
              <a:solidFill>
                <a:srgbClr val="FF0000"/>
              </a:solidFill>
              <a:round/>
            </a:ln>
            <a:effectLst/>
          </c:spPr>
          <c:marker>
            <c:symbol val="none"/>
          </c:marker>
          <c:cat>
            <c:numRef>
              <c:f>'6'!$A$205:$A$207</c:f>
              <c:numCache>
                <c:formatCode>0.00</c:formatCode>
                <c:ptCount val="3"/>
                <c:pt idx="0">
                  <c:v>0</c:v>
                </c:pt>
                <c:pt idx="1">
                  <c:v>101274.62408325121</c:v>
                </c:pt>
                <c:pt idx="2">
                  <c:v>202549.24816650242</c:v>
                </c:pt>
              </c:numCache>
            </c:numRef>
          </c:cat>
          <c:val>
            <c:numRef>
              <c:f>'6'!$E$205:$E$207</c:f>
              <c:numCache>
                <c:formatCode>_-[$$-240A]\ * #,##0_ ;_-[$$-240A]\ * \-#,##0\ ;_-[$$-240A]\ * "-"??_ ;_-@_ </c:formatCode>
                <c:ptCount val="3"/>
                <c:pt idx="0">
                  <c:v>1084872104</c:v>
                </c:pt>
                <c:pt idx="1">
                  <c:v>2251740645.2907686</c:v>
                </c:pt>
                <c:pt idx="2">
                  <c:v>3418609186.5815368</c:v>
                </c:pt>
              </c:numCache>
            </c:numRef>
          </c:val>
          <c:smooth val="0"/>
          <c:extLst>
            <c:ext xmlns:c16="http://schemas.microsoft.com/office/drawing/2014/chart" uri="{C3380CC4-5D6E-409C-BE32-E72D297353CC}">
              <c16:uniqueId val="{00000002-C4E0-4A6C-8331-F8C445EA3C2E}"/>
            </c:ext>
          </c:extLst>
        </c:ser>
        <c:dLbls>
          <c:showLegendKey val="0"/>
          <c:showVal val="0"/>
          <c:showCatName val="0"/>
          <c:showSerName val="0"/>
          <c:showPercent val="0"/>
          <c:showBubbleSize val="0"/>
        </c:dLbls>
        <c:smooth val="0"/>
        <c:axId val="439601808"/>
        <c:axId val="439599064"/>
      </c:lineChart>
      <c:catAx>
        <c:axId val="439601808"/>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9599064"/>
        <c:crosses val="autoZero"/>
        <c:auto val="1"/>
        <c:lblAlgn val="ctr"/>
        <c:lblOffset val="100"/>
        <c:noMultiLvlLbl val="0"/>
      </c:catAx>
      <c:valAx>
        <c:axId val="439599064"/>
        <c:scaling>
          <c:orientation val="minMax"/>
        </c:scaling>
        <c:delete val="0"/>
        <c:axPos val="l"/>
        <c:majorGridlines>
          <c:spPr>
            <a:ln w="9525" cap="flat" cmpd="sng" algn="ctr">
              <a:solidFill>
                <a:schemeClr val="tx1">
                  <a:lumMod val="15000"/>
                  <a:lumOff val="85000"/>
                </a:schemeClr>
              </a:solidFill>
              <a:round/>
            </a:ln>
            <a:effectLst/>
          </c:spPr>
        </c:majorGridlines>
        <c:numFmt formatCode="_-[$$-240A]\ * #,##0_ ;_-[$$-240A]\ * \-#,##0\ ;_-[$$-240A]\ *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3960180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3'!A1"/><Relationship Id="rId7" Type="http://schemas.openxmlformats.org/officeDocument/2006/relationships/hyperlink" Target="mailto:dmreyes@ean.edu.co" TargetMode="External"/><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10" Type="http://schemas.openxmlformats.org/officeDocument/2006/relationships/hyperlink" Target="#'6'!A1"/><Relationship Id="rId4" Type="http://schemas.openxmlformats.org/officeDocument/2006/relationships/hyperlink" Target="#'4'!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chart" Target="../charts/chart2.xml"/><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200024</xdr:colOff>
      <xdr:row>2</xdr:row>
      <xdr:rowOff>66675</xdr:rowOff>
    </xdr:from>
    <xdr:to>
      <xdr:col>8</xdr:col>
      <xdr:colOff>476249</xdr:colOff>
      <xdr:row>5</xdr:row>
      <xdr:rowOff>47625</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010024" y="44767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200025</xdr:colOff>
      <xdr:row>5</xdr:row>
      <xdr:rowOff>95250</xdr:rowOff>
    </xdr:from>
    <xdr:to>
      <xdr:col>8</xdr:col>
      <xdr:colOff>476250</xdr:colOff>
      <xdr:row>8</xdr:row>
      <xdr:rowOff>76200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4010025" y="10477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200025</xdr:colOff>
      <xdr:row>8</xdr:row>
      <xdr:rowOff>142875</xdr:rowOff>
    </xdr:from>
    <xdr:to>
      <xdr:col>8</xdr:col>
      <xdr:colOff>476250</xdr:colOff>
      <xdr:row>11</xdr:row>
      <xdr:rowOff>123825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4010025" y="166687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11</xdr:row>
      <xdr:rowOff>161925</xdr:rowOff>
    </xdr:from>
    <xdr:to>
      <xdr:col>8</xdr:col>
      <xdr:colOff>476250</xdr:colOff>
      <xdr:row>14</xdr:row>
      <xdr:rowOff>142875</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4010025" y="22574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190500</xdr:colOff>
      <xdr:row>15</xdr:row>
      <xdr:rowOff>9525</xdr:rowOff>
    </xdr:from>
    <xdr:to>
      <xdr:col>8</xdr:col>
      <xdr:colOff>466725</xdr:colOff>
      <xdr:row>17</xdr:row>
      <xdr:rowOff>180975</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4000500" y="28670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xdr:from>
      <xdr:col>1</xdr:col>
      <xdr:colOff>28575</xdr:colOff>
      <xdr:row>21</xdr:row>
      <xdr:rowOff>0</xdr:rowOff>
    </xdr:from>
    <xdr:to>
      <xdr:col>5</xdr:col>
      <xdr:colOff>19050</xdr:colOff>
      <xdr:row>23</xdr:row>
      <xdr:rowOff>174625</xdr:rowOff>
    </xdr:to>
    <xdr:sp macro="" textlink="">
      <xdr:nvSpPr>
        <xdr:cNvPr id="13" name="12 CuadroTexto">
          <a:hlinkClick xmlns:r="http://schemas.openxmlformats.org/officeDocument/2006/relationships" r:id="rId7"/>
          <a:extLst>
            <a:ext uri="{FF2B5EF4-FFF2-40B4-BE49-F238E27FC236}">
              <a16:creationId xmlns:a16="http://schemas.microsoft.com/office/drawing/2014/main" id="{00000000-0008-0000-0000-00000D000000}"/>
            </a:ext>
          </a:extLst>
        </xdr:cNvPr>
        <xdr:cNvSpPr txBox="1"/>
      </xdr:nvSpPr>
      <xdr:spPr>
        <a:xfrm>
          <a:off x="790575" y="4000500"/>
          <a:ext cx="3038475" cy="5556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FEAV</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361949</xdr:colOff>
      <xdr:row>21</xdr:row>
      <xdr:rowOff>57150</xdr:rowOff>
    </xdr:from>
    <xdr:to>
      <xdr:col>9</xdr:col>
      <xdr:colOff>733425</xdr:colOff>
      <xdr:row>23</xdr:row>
      <xdr:rowOff>152210</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457949" y="4057650"/>
          <a:ext cx="1133476" cy="476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85726</xdr:colOff>
      <xdr:row>21</xdr:row>
      <xdr:rowOff>22709</xdr:rowOff>
    </xdr:from>
    <xdr:to>
      <xdr:col>8</xdr:col>
      <xdr:colOff>314326</xdr:colOff>
      <xdr:row>23</xdr:row>
      <xdr:rowOff>123825</xdr:rowOff>
    </xdr:to>
    <xdr:pic>
      <xdr:nvPicPr>
        <xdr:cNvPr id="17" name="Picture 2">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17036" t="12302" r="44225" b="77579"/>
        <a:stretch>
          <a:fillRect/>
        </a:stretch>
      </xdr:blipFill>
      <xdr:spPr bwMode="auto">
        <a:xfrm>
          <a:off x="3133726" y="4023209"/>
          <a:ext cx="3276600" cy="48211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190501</xdr:colOff>
      <xdr:row>18</xdr:row>
      <xdr:rowOff>66675</xdr:rowOff>
    </xdr:from>
    <xdr:to>
      <xdr:col>8</xdr:col>
      <xdr:colOff>447675</xdr:colOff>
      <xdr:row>20</xdr:row>
      <xdr:rowOff>0</xdr:rowOff>
    </xdr:to>
    <xdr:sp macro="" textlink="">
      <xdr:nvSpPr>
        <xdr:cNvPr id="9" name="CuadroTexto 8">
          <a:hlinkClick xmlns:r="http://schemas.openxmlformats.org/officeDocument/2006/relationships" r:id="rId10"/>
          <a:extLst>
            <a:ext uri="{FF2B5EF4-FFF2-40B4-BE49-F238E27FC236}">
              <a16:creationId xmlns:a16="http://schemas.microsoft.com/office/drawing/2014/main" id="{00000000-0008-0000-0000-000009000000}"/>
            </a:ext>
          </a:extLst>
        </xdr:cNvPr>
        <xdr:cNvSpPr txBox="1"/>
      </xdr:nvSpPr>
      <xdr:spPr>
        <a:xfrm>
          <a:off x="4000501" y="3495675"/>
          <a:ext cx="2543174" cy="31432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lstStyle/>
        <a:p>
          <a:pPr algn="ctr"/>
          <a:r>
            <a:rPr lang="es-CO" sz="1200" b="1">
              <a:solidFill>
                <a:schemeClr val="lt1"/>
              </a:solidFill>
              <a:latin typeface="Arial" pitchFamily="34" charset="0"/>
              <a:ea typeface="+mn-ea"/>
              <a:cs typeface="Arial" pitchFamily="34" charset="0"/>
            </a:rPr>
            <a:t>INFORMES PARA IMPRESIÓN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142867</xdr:rowOff>
    </xdr:from>
    <xdr:to>
      <xdr:col>9</xdr:col>
      <xdr:colOff>180975</xdr:colOff>
      <xdr:row>34</xdr:row>
      <xdr:rowOff>76200</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7896225" y="3495667"/>
          <a:ext cx="1066800" cy="44386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152400</xdr:rowOff>
    </xdr:from>
    <xdr:to>
      <xdr:col>9</xdr:col>
      <xdr:colOff>171450</xdr:colOff>
      <xdr:row>31</xdr:row>
      <xdr:rowOff>104775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8715375" y="3505200"/>
          <a:ext cx="238125" cy="3876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25</xdr:col>
      <xdr:colOff>169333</xdr:colOff>
      <xdr:row>30</xdr:row>
      <xdr:rowOff>169334</xdr:rowOff>
    </xdr:from>
    <xdr:to>
      <xdr:col>30</xdr:col>
      <xdr:colOff>280457</xdr:colOff>
      <xdr:row>34</xdr:row>
      <xdr:rowOff>74083</xdr:rowOff>
    </xdr:to>
    <xdr:sp macro="" textlink="">
      <xdr:nvSpPr>
        <xdr:cNvPr id="8" name="7 CuadroTexto">
          <a:hlinkClick xmlns:r="http://schemas.openxmlformats.org/officeDocument/2006/relationships" r:id="rId2"/>
          <a:extLst>
            <a:ext uri="{FF2B5EF4-FFF2-40B4-BE49-F238E27FC236}">
              <a16:creationId xmlns:a16="http://schemas.microsoft.com/office/drawing/2014/main" id="{00000000-0008-0000-0100-000008000000}"/>
            </a:ext>
          </a:extLst>
        </xdr:cNvPr>
        <xdr:cNvSpPr txBox="1"/>
      </xdr:nvSpPr>
      <xdr:spPr>
        <a:xfrm>
          <a:off x="10922000" y="6985001"/>
          <a:ext cx="3339040" cy="825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Administarción</a:t>
          </a:r>
          <a:r>
            <a:rPr lang="es-CO" sz="800" b="1" baseline="0"/>
            <a:t> Finaciera.</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0</xdr:col>
      <xdr:colOff>10585</xdr:colOff>
      <xdr:row>0</xdr:row>
      <xdr:rowOff>95249</xdr:rowOff>
    </xdr:from>
    <xdr:to>
      <xdr:col>0</xdr:col>
      <xdr:colOff>1489466</xdr:colOff>
      <xdr:row>1</xdr:row>
      <xdr:rowOff>328083</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85" y="95249"/>
          <a:ext cx="1478881" cy="62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228599</xdr:colOff>
      <xdr:row>14</xdr:row>
      <xdr:rowOff>279400</xdr:rowOff>
    </xdr:from>
    <xdr:to>
      <xdr:col>29</xdr:col>
      <xdr:colOff>376766</xdr:colOff>
      <xdr:row>17</xdr:row>
      <xdr:rowOff>11642</xdr:rowOff>
    </xdr:to>
    <xdr:pic>
      <xdr:nvPicPr>
        <xdr:cNvPr id="10" name="Picture 2">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7036" t="12302" r="44225" b="77579"/>
        <a:stretch>
          <a:fillRect/>
        </a:stretch>
      </xdr:blipFill>
      <xdr:spPr bwMode="auto">
        <a:xfrm>
          <a:off x="10155766" y="3835400"/>
          <a:ext cx="3481917" cy="515409"/>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400050</xdr:colOff>
      <xdr:row>9</xdr:row>
      <xdr:rowOff>171450</xdr:rowOff>
    </xdr:from>
    <xdr:to>
      <xdr:col>8</xdr:col>
      <xdr:colOff>28575</xdr:colOff>
      <xdr:row>12</xdr:row>
      <xdr:rowOff>9525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6353175" y="155257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561974</xdr:colOff>
      <xdr:row>24</xdr:row>
      <xdr:rowOff>152401</xdr:rowOff>
    </xdr:from>
    <xdr:to>
      <xdr:col>13</xdr:col>
      <xdr:colOff>687916</xdr:colOff>
      <xdr:row>27</xdr:row>
      <xdr:rowOff>21167</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200-000003000000}"/>
            </a:ext>
          </a:extLst>
        </xdr:cNvPr>
        <xdr:cNvSpPr txBox="1"/>
      </xdr:nvSpPr>
      <xdr:spPr>
        <a:xfrm>
          <a:off x="9441391" y="4491568"/>
          <a:ext cx="3724275" cy="567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 </a:t>
          </a:r>
          <a:r>
            <a:rPr lang="es-CO" sz="800" b="1"/>
            <a:t>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205316</xdr:colOff>
      <xdr:row>8</xdr:row>
      <xdr:rowOff>172508</xdr:rowOff>
    </xdr:from>
    <xdr:to>
      <xdr:col>13</xdr:col>
      <xdr:colOff>85725</xdr:colOff>
      <xdr:row>11</xdr:row>
      <xdr:rowOff>116417</xdr:rowOff>
    </xdr:to>
    <xdr:pic>
      <xdr:nvPicPr>
        <xdr:cNvPr id="4" name="Picture 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084733" y="1431925"/>
          <a:ext cx="3478742" cy="515409"/>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211666</xdr:colOff>
      <xdr:row>9</xdr:row>
      <xdr:rowOff>52917</xdr:rowOff>
    </xdr:from>
    <xdr:to>
      <xdr:col>14</xdr:col>
      <xdr:colOff>440266</xdr:colOff>
      <xdr:row>11</xdr:row>
      <xdr:rowOff>71967</xdr:rowOff>
    </xdr:to>
    <xdr:pic>
      <xdr:nvPicPr>
        <xdr:cNvPr id="5" name="Imagen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89416" y="1502834"/>
          <a:ext cx="94826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921808</xdr:colOff>
      <xdr:row>0</xdr:row>
      <xdr:rowOff>86782</xdr:rowOff>
    </xdr:from>
    <xdr:to>
      <xdr:col>10</xdr:col>
      <xdr:colOff>336550</xdr:colOff>
      <xdr:row>1</xdr:row>
      <xdr:rowOff>280457</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9430808" y="86782"/>
          <a:ext cx="2505075" cy="3841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5</xdr:col>
      <xdr:colOff>882649</xdr:colOff>
      <xdr:row>21</xdr:row>
      <xdr:rowOff>236007</xdr:rowOff>
    </xdr:from>
    <xdr:to>
      <xdr:col>10</xdr:col>
      <xdr:colOff>0</xdr:colOff>
      <xdr:row>24</xdr:row>
      <xdr:rowOff>84667</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7465482" y="5178424"/>
          <a:ext cx="4133851" cy="695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 Financier.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2</xdr:col>
      <xdr:colOff>47625</xdr:colOff>
      <xdr:row>7</xdr:row>
      <xdr:rowOff>57150</xdr:rowOff>
    </xdr:from>
    <xdr:to>
      <xdr:col>2</xdr:col>
      <xdr:colOff>304800</xdr:colOff>
      <xdr:row>7</xdr:row>
      <xdr:rowOff>333375</xdr:rowOff>
    </xdr:to>
    <xdr:sp macro="" textlink="">
      <xdr:nvSpPr>
        <xdr:cNvPr id="5" name="Flecha doblada 4">
          <a:extLst>
            <a:ext uri="{FF2B5EF4-FFF2-40B4-BE49-F238E27FC236}">
              <a16:creationId xmlns:a16="http://schemas.microsoft.com/office/drawing/2014/main" id="{00000000-0008-0000-0300-000005000000}"/>
            </a:ext>
          </a:extLst>
        </xdr:cNvPr>
        <xdr:cNvSpPr/>
      </xdr:nvSpPr>
      <xdr:spPr>
        <a:xfrm rot="5400000">
          <a:off x="3571875" y="1790700"/>
          <a:ext cx="276225" cy="257175"/>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7</xdr:col>
      <xdr:colOff>666750</xdr:colOff>
      <xdr:row>15</xdr:row>
      <xdr:rowOff>19051</xdr:rowOff>
    </xdr:from>
    <xdr:to>
      <xdr:col>7</xdr:col>
      <xdr:colOff>952500</xdr:colOff>
      <xdr:row>15</xdr:row>
      <xdr:rowOff>190501</xdr:rowOff>
    </xdr:to>
    <xdr:sp macro="" textlink="">
      <xdr:nvSpPr>
        <xdr:cNvPr id="6" name="Flecha derecha 5">
          <a:extLst>
            <a:ext uri="{FF2B5EF4-FFF2-40B4-BE49-F238E27FC236}">
              <a16:creationId xmlns:a16="http://schemas.microsoft.com/office/drawing/2014/main" id="{00000000-0008-0000-0300-000006000000}"/>
            </a:ext>
          </a:extLst>
        </xdr:cNvPr>
        <xdr:cNvSpPr/>
      </xdr:nvSpPr>
      <xdr:spPr>
        <a:xfrm>
          <a:off x="9115425" y="3648076"/>
          <a:ext cx="285750" cy="171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162984</xdr:colOff>
      <xdr:row>0</xdr:row>
      <xdr:rowOff>77258</xdr:rowOff>
    </xdr:from>
    <xdr:to>
      <xdr:col>2</xdr:col>
      <xdr:colOff>102659</xdr:colOff>
      <xdr:row>2</xdr:row>
      <xdr:rowOff>30691</xdr:rowOff>
    </xdr:to>
    <xdr:pic>
      <xdr:nvPicPr>
        <xdr:cNvPr id="7" name="Picture 2">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162984" y="77258"/>
          <a:ext cx="3474508" cy="514350"/>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518583</xdr:colOff>
      <xdr:row>0</xdr:row>
      <xdr:rowOff>95249</xdr:rowOff>
    </xdr:from>
    <xdr:to>
      <xdr:col>48</xdr:col>
      <xdr:colOff>317057</xdr:colOff>
      <xdr:row>2</xdr:row>
      <xdr:rowOff>52915</xdr:rowOff>
    </xdr:to>
    <xdr:pic>
      <xdr:nvPicPr>
        <xdr:cNvPr id="9" name="Imagen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17916" y="95249"/>
          <a:ext cx="1237808" cy="518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232832</xdr:colOff>
      <xdr:row>55</xdr:row>
      <xdr:rowOff>105833</xdr:rowOff>
    </xdr:from>
    <xdr:to>
      <xdr:col>12</xdr:col>
      <xdr:colOff>465666</xdr:colOff>
      <xdr:row>58</xdr:row>
      <xdr:rowOff>210608</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400-000003000000}"/>
            </a:ext>
          </a:extLst>
        </xdr:cNvPr>
        <xdr:cNvSpPr txBox="1"/>
      </xdr:nvSpPr>
      <xdr:spPr>
        <a:xfrm>
          <a:off x="9884832" y="11419416"/>
          <a:ext cx="3831167" cy="70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 </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7</xdr:col>
      <xdr:colOff>42334</xdr:colOff>
      <xdr:row>1</xdr:row>
      <xdr:rowOff>73025</xdr:rowOff>
    </xdr:from>
    <xdr:to>
      <xdr:col>11</xdr:col>
      <xdr:colOff>657225</xdr:colOff>
      <xdr:row>3</xdr:row>
      <xdr:rowOff>187325</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694334" y="506942"/>
          <a:ext cx="3493558" cy="51646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603250</xdr:colOff>
      <xdr:row>1</xdr:row>
      <xdr:rowOff>127000</xdr:rowOff>
    </xdr:from>
    <xdr:to>
      <xdr:col>13</xdr:col>
      <xdr:colOff>112183</xdr:colOff>
      <xdr:row>3</xdr:row>
      <xdr:rowOff>127000</xdr:rowOff>
    </xdr:to>
    <xdr:pic>
      <xdr:nvPicPr>
        <xdr:cNvPr id="5" name="Imagen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133917" y="560917"/>
          <a:ext cx="948266" cy="40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52</xdr:row>
      <xdr:rowOff>0</xdr:rowOff>
    </xdr:from>
    <xdr:to>
      <xdr:col>11</xdr:col>
      <xdr:colOff>614891</xdr:colOff>
      <xdr:row>54</xdr:row>
      <xdr:rowOff>124883</xdr:rowOff>
    </xdr:to>
    <xdr:pic>
      <xdr:nvPicPr>
        <xdr:cNvPr id="6" name="Picture 2">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652000" y="10731500"/>
          <a:ext cx="3493558" cy="51646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560916</xdr:colOff>
      <xdr:row>52</xdr:row>
      <xdr:rowOff>53975</xdr:rowOff>
    </xdr:from>
    <xdr:to>
      <xdr:col>13</xdr:col>
      <xdr:colOff>69849</xdr:colOff>
      <xdr:row>54</xdr:row>
      <xdr:rowOff>64558</xdr:rowOff>
    </xdr:to>
    <xdr:pic>
      <xdr:nvPicPr>
        <xdr:cNvPr id="7" name="Imagen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91583" y="10785475"/>
          <a:ext cx="948266" cy="40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27</xdr:row>
      <xdr:rowOff>0</xdr:rowOff>
    </xdr:from>
    <xdr:to>
      <xdr:col>11</xdr:col>
      <xdr:colOff>614891</xdr:colOff>
      <xdr:row>29</xdr:row>
      <xdr:rowOff>124882</xdr:rowOff>
    </xdr:to>
    <xdr:pic>
      <xdr:nvPicPr>
        <xdr:cNvPr id="8" name="Picture 2">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652000" y="5725583"/>
          <a:ext cx="3493558" cy="51646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560916</xdr:colOff>
      <xdr:row>27</xdr:row>
      <xdr:rowOff>53975</xdr:rowOff>
    </xdr:from>
    <xdr:to>
      <xdr:col>13</xdr:col>
      <xdr:colOff>69849</xdr:colOff>
      <xdr:row>29</xdr:row>
      <xdr:rowOff>64557</xdr:rowOff>
    </xdr:to>
    <xdr:pic>
      <xdr:nvPicPr>
        <xdr:cNvPr id="9" name="Imagen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91583" y="5779558"/>
          <a:ext cx="948266" cy="40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95249</xdr:colOff>
      <xdr:row>12</xdr:row>
      <xdr:rowOff>107422</xdr:rowOff>
    </xdr:from>
    <xdr:to>
      <xdr:col>11</xdr:col>
      <xdr:colOff>692150</xdr:colOff>
      <xdr:row>25</xdr:row>
      <xdr:rowOff>7409</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477309</xdr:colOff>
      <xdr:row>0</xdr:row>
      <xdr:rowOff>94191</xdr:rowOff>
    </xdr:from>
    <xdr:to>
      <xdr:col>8</xdr:col>
      <xdr:colOff>591609</xdr:colOff>
      <xdr:row>1</xdr:row>
      <xdr:rowOff>266699</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954559" y="94191"/>
          <a:ext cx="2146300" cy="363008"/>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7</xdr:col>
      <xdr:colOff>920750</xdr:colOff>
      <xdr:row>28</xdr:row>
      <xdr:rowOff>31751</xdr:rowOff>
    </xdr:from>
    <xdr:to>
      <xdr:col>12</xdr:col>
      <xdr:colOff>592667</xdr:colOff>
      <xdr:row>31</xdr:row>
      <xdr:rowOff>168276</xdr:rowOff>
    </xdr:to>
    <xdr:sp macro="" textlink="">
      <xdr:nvSpPr>
        <xdr:cNvPr id="5" name="4 CuadroTexto">
          <a:hlinkClick xmlns:r="http://schemas.openxmlformats.org/officeDocument/2006/relationships" r:id="rId3"/>
          <a:extLst>
            <a:ext uri="{FF2B5EF4-FFF2-40B4-BE49-F238E27FC236}">
              <a16:creationId xmlns:a16="http://schemas.microsoft.com/office/drawing/2014/main" id="{00000000-0008-0000-0500-000005000000}"/>
            </a:ext>
          </a:extLst>
        </xdr:cNvPr>
        <xdr:cNvSpPr txBox="1"/>
      </xdr:nvSpPr>
      <xdr:spPr>
        <a:xfrm>
          <a:off x="10414000" y="6741584"/>
          <a:ext cx="3651250" cy="70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61913</xdr:colOff>
      <xdr:row>5</xdr:row>
      <xdr:rowOff>0</xdr:rowOff>
    </xdr:from>
    <xdr:to>
      <xdr:col>12</xdr:col>
      <xdr:colOff>592931</xdr:colOff>
      <xdr:row>7</xdr:row>
      <xdr:rowOff>2381</xdr:rowOff>
    </xdr:to>
    <xdr:pic>
      <xdr:nvPicPr>
        <xdr:cNvPr id="6" name="Picture 2">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7036" t="12302" r="44225" b="77579"/>
        <a:stretch>
          <a:fillRect/>
        </a:stretch>
      </xdr:blipFill>
      <xdr:spPr bwMode="auto">
        <a:xfrm>
          <a:off x="10741819" y="1273969"/>
          <a:ext cx="3507581" cy="514350"/>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47625</xdr:colOff>
      <xdr:row>5</xdr:row>
      <xdr:rowOff>71437</xdr:rowOff>
    </xdr:from>
    <xdr:to>
      <xdr:col>14</xdr:col>
      <xdr:colOff>276225</xdr:colOff>
      <xdr:row>6</xdr:row>
      <xdr:rowOff>173831</xdr:rowOff>
    </xdr:to>
    <xdr:pic>
      <xdr:nvPicPr>
        <xdr:cNvPr id="7" name="Imagen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430375" y="1345406"/>
          <a:ext cx="954881"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29</xdr:row>
      <xdr:rowOff>0</xdr:rowOff>
    </xdr:from>
    <xdr:to>
      <xdr:col>2</xdr:col>
      <xdr:colOff>1340643</xdr:colOff>
      <xdr:row>31</xdr:row>
      <xdr:rowOff>133350</xdr:rowOff>
    </xdr:to>
    <xdr:pic>
      <xdr:nvPicPr>
        <xdr:cNvPr id="8" name="Picture 2">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7036" t="12302" r="44225" b="77579"/>
        <a:stretch>
          <a:fillRect/>
        </a:stretch>
      </xdr:blipFill>
      <xdr:spPr bwMode="auto">
        <a:xfrm>
          <a:off x="726281" y="6893719"/>
          <a:ext cx="3507581" cy="514350"/>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1521618</xdr:colOff>
      <xdr:row>29</xdr:row>
      <xdr:rowOff>71437</xdr:rowOff>
    </xdr:from>
    <xdr:to>
      <xdr:col>3</xdr:col>
      <xdr:colOff>857249</xdr:colOff>
      <xdr:row>31</xdr:row>
      <xdr:rowOff>90487</xdr:rowOff>
    </xdr:to>
    <xdr:pic>
      <xdr:nvPicPr>
        <xdr:cNvPr id="9" name="Imagen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14837" y="6965156"/>
          <a:ext cx="954881"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904875</xdr:colOff>
      <xdr:row>203</xdr:row>
      <xdr:rowOff>57149</xdr:rowOff>
    </xdr:from>
    <xdr:to>
      <xdr:col>4</xdr:col>
      <xdr:colOff>647700</xdr:colOff>
      <xdr:row>217</xdr:row>
      <xdr:rowOff>66674</xdr:rowOff>
    </xdr:to>
    <xdr:graphicFrame macro="">
      <xdr:nvGraphicFramePr>
        <xdr:cNvPr id="3" name="Gráfico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0</xdr:row>
      <xdr:rowOff>66675</xdr:rowOff>
    </xdr:from>
    <xdr:to>
      <xdr:col>3</xdr:col>
      <xdr:colOff>66675</xdr:colOff>
      <xdr:row>3</xdr:row>
      <xdr:rowOff>38100</xdr:rowOff>
    </xdr:to>
    <xdr:pic>
      <xdr:nvPicPr>
        <xdr:cNvPr id="4" name="Picture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152400" y="66675"/>
          <a:ext cx="3505200" cy="54292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676275</xdr:colOff>
      <xdr:row>0</xdr:row>
      <xdr:rowOff>114300</xdr:rowOff>
    </xdr:from>
    <xdr:to>
      <xdr:col>5</xdr:col>
      <xdr:colOff>657225</xdr:colOff>
      <xdr:row>2</xdr:row>
      <xdr:rowOff>133350</xdr:rowOff>
    </xdr:to>
    <xdr:pic>
      <xdr:nvPicPr>
        <xdr:cNvPr id="5" name="Imagen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95875" y="114300"/>
          <a:ext cx="89535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48</xdr:row>
      <xdr:rowOff>57150</xdr:rowOff>
    </xdr:from>
    <xdr:to>
      <xdr:col>3</xdr:col>
      <xdr:colOff>47625</xdr:colOff>
      <xdr:row>51</xdr:row>
      <xdr:rowOff>9525</xdr:rowOff>
    </xdr:to>
    <xdr:pic>
      <xdr:nvPicPr>
        <xdr:cNvPr id="6" name="Picture 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57150" y="9715500"/>
          <a:ext cx="3581400"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885825</xdr:colOff>
      <xdr:row>48</xdr:row>
      <xdr:rowOff>114300</xdr:rowOff>
    </xdr:from>
    <xdr:to>
      <xdr:col>5</xdr:col>
      <xdr:colOff>866775</xdr:colOff>
      <xdr:row>50</xdr:row>
      <xdr:rowOff>133350</xdr:rowOff>
    </xdr:to>
    <xdr:pic>
      <xdr:nvPicPr>
        <xdr:cNvPr id="8" name="Imagen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19750" y="9772650"/>
          <a:ext cx="962025"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86</xdr:row>
      <xdr:rowOff>190499</xdr:rowOff>
    </xdr:from>
    <xdr:to>
      <xdr:col>2</xdr:col>
      <xdr:colOff>1162050</xdr:colOff>
      <xdr:row>89</xdr:row>
      <xdr:rowOff>142874</xdr:rowOff>
    </xdr:to>
    <xdr:pic>
      <xdr:nvPicPr>
        <xdr:cNvPr id="9" name="Picture 2">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0" y="19116674"/>
          <a:ext cx="3495675"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87</xdr:row>
      <xdr:rowOff>85725</xdr:rowOff>
    </xdr:from>
    <xdr:to>
      <xdr:col>5</xdr:col>
      <xdr:colOff>952500</xdr:colOff>
      <xdr:row>89</xdr:row>
      <xdr:rowOff>104775</xdr:rowOff>
    </xdr:to>
    <xdr:pic>
      <xdr:nvPicPr>
        <xdr:cNvPr id="10" name="Imagen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86425" y="19202400"/>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131</xdr:row>
      <xdr:rowOff>0</xdr:rowOff>
    </xdr:from>
    <xdr:to>
      <xdr:col>2</xdr:col>
      <xdr:colOff>1162050</xdr:colOff>
      <xdr:row>133</xdr:row>
      <xdr:rowOff>142875</xdr:rowOff>
    </xdr:to>
    <xdr:pic>
      <xdr:nvPicPr>
        <xdr:cNvPr id="11" name="Picture 2">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0" y="28708350"/>
          <a:ext cx="3495675"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131</xdr:row>
      <xdr:rowOff>85725</xdr:rowOff>
    </xdr:from>
    <xdr:to>
      <xdr:col>5</xdr:col>
      <xdr:colOff>952500</xdr:colOff>
      <xdr:row>133</xdr:row>
      <xdr:rowOff>104775</xdr:rowOff>
    </xdr:to>
    <xdr:pic>
      <xdr:nvPicPr>
        <xdr:cNvPr id="12" name="Imagen 11">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86425" y="28794075"/>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174</xdr:row>
      <xdr:rowOff>0</xdr:rowOff>
    </xdr:from>
    <xdr:to>
      <xdr:col>2</xdr:col>
      <xdr:colOff>1162050</xdr:colOff>
      <xdr:row>176</xdr:row>
      <xdr:rowOff>142875</xdr:rowOff>
    </xdr:to>
    <xdr:pic>
      <xdr:nvPicPr>
        <xdr:cNvPr id="14" name="Picture 2">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0" y="38252400"/>
          <a:ext cx="3495675"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174</xdr:row>
      <xdr:rowOff>0</xdr:rowOff>
    </xdr:from>
    <xdr:to>
      <xdr:col>5</xdr:col>
      <xdr:colOff>952500</xdr:colOff>
      <xdr:row>176</xdr:row>
      <xdr:rowOff>19050</xdr:rowOff>
    </xdr:to>
    <xdr:pic>
      <xdr:nvPicPr>
        <xdr:cNvPr id="15" name="Imagen 14">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86425" y="38252400"/>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542925</xdr:colOff>
      <xdr:row>2</xdr:row>
      <xdr:rowOff>114300</xdr:rowOff>
    </xdr:from>
    <xdr:to>
      <xdr:col>8</xdr:col>
      <xdr:colOff>371475</xdr:colOff>
      <xdr:row>7</xdr:row>
      <xdr:rowOff>200025</xdr:rowOff>
    </xdr:to>
    <xdr:sp macro="" textlink="">
      <xdr:nvSpPr>
        <xdr:cNvPr id="16" name="CuadroTexto 15">
          <a:hlinkClick xmlns:r="http://schemas.openxmlformats.org/officeDocument/2006/relationships" r:id="rId4"/>
          <a:extLst>
            <a:ext uri="{FF2B5EF4-FFF2-40B4-BE49-F238E27FC236}">
              <a16:creationId xmlns:a16="http://schemas.microsoft.com/office/drawing/2014/main" id="{00000000-0008-0000-0600-000010000000}"/>
            </a:ext>
          </a:extLst>
        </xdr:cNvPr>
        <xdr:cNvSpPr txBox="1"/>
      </xdr:nvSpPr>
      <xdr:spPr>
        <a:xfrm>
          <a:off x="7229475" y="495300"/>
          <a:ext cx="1447800" cy="65722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200" b="1"/>
            <a:t>VOLVER</a:t>
          </a:r>
          <a:r>
            <a:rPr lang="es-CO" sz="1200" b="1" baseline="0"/>
            <a:t> AL MENÚ PRINCIPAL.</a:t>
          </a:r>
          <a:endParaRPr lang="es-CO" sz="12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mipymes.gov.co/loader.php?lServicio=Documentos&amp;lFuncion=verPdf&amp;id=3997&amp;name=Manual_para_realizar_planes_de_negocios.pdf" TargetMode="External"/><Relationship Id="rId1" Type="http://schemas.openxmlformats.org/officeDocument/2006/relationships/hyperlink" Target="https://www.youtube.com/watch?v=ooTDOCWXeQk"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
  <sheetViews>
    <sheetView showGridLines="0" showRowColHeaders="0" tabSelected="1" view="pageBreakPreview" zoomScaleNormal="100" zoomScaleSheetLayoutView="100" workbookViewId="0">
      <selection activeCell="O6" sqref="O6"/>
    </sheetView>
  </sheetViews>
  <sheetFormatPr baseColWidth="10" defaultRowHeight="15" x14ac:dyDescent="0.25"/>
  <sheetData/>
  <sheetProtection algorithmName="SHA-512" hashValue="Yv9SOHrNHjGjPUMkT4ZaPOrzLjnt3TH6J+FXc+a47w3XZz5yXQ2pZnsebpqOr9BjBbKejGjRw8dMQdzPIPnFjA==" saltValue="FeOF4rKtGFKY78R9AmOolQ==" spinCount="100000" sheet="1" objects="1" scenarios="1"/>
  <customSheetViews>
    <customSheetView guid="{D031F759-B892-43F4-943A-9CD4A624A3F4}" showPageBreaks="1" showGridLines="0" showRowCol="0" view="pageBreakPreview">
      <selection sqref="A1:J24"/>
    </customSheetView>
  </customSheetViews>
  <pageMargins left="0.7" right="0.7" top="0.75" bottom="0.75" header="0.3" footer="0.3"/>
  <pageSetup scale="87" orientation="portrait"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D35"/>
  <sheetViews>
    <sheetView showGridLines="0" showRowColHeaders="0" zoomScale="90" zoomScaleNormal="90" zoomScalePageLayoutView="90" workbookViewId="0">
      <pane xSplit="6" ySplit="2" topLeftCell="G3" activePane="bottomRight" state="frozenSplit"/>
      <selection pane="topRight" activeCell="G1" sqref="G1"/>
      <selection pane="bottomLeft" activeCell="A3" sqref="A3"/>
      <selection pane="bottomRight" activeCell="D3" sqref="D3:D9"/>
    </sheetView>
  </sheetViews>
  <sheetFormatPr baseColWidth="10" defaultColWidth="10.85546875" defaultRowHeight="15" x14ac:dyDescent="0.25"/>
  <cols>
    <col min="1" max="1" width="22.42578125" style="14" customWidth="1"/>
    <col min="2" max="2" width="24.42578125" style="14" customWidth="1"/>
    <col min="3" max="4" width="19.140625" style="14" bestFit="1" customWidth="1"/>
    <col min="5" max="5" width="19.28515625" style="14" bestFit="1" customWidth="1"/>
    <col min="6" max="6" width="21.42578125" style="14" bestFit="1" customWidth="1"/>
    <col min="7" max="10" width="8.42578125" style="14" bestFit="1" customWidth="1"/>
    <col min="11" max="11" width="4.28515625" style="14" customWidth="1"/>
    <col min="12" max="15" width="11.42578125" style="14" hidden="1" customWidth="1"/>
    <col min="16" max="19" width="12" style="14" hidden="1" customWidth="1"/>
    <col min="20" max="24" width="15.42578125" style="14" hidden="1" customWidth="1"/>
    <col min="25" max="25" width="12.42578125" style="14" bestFit="1" customWidth="1"/>
    <col min="26" max="26" width="9.85546875" style="14" bestFit="1" customWidth="1"/>
    <col min="27" max="27" width="9.42578125" style="14" bestFit="1" customWidth="1"/>
    <col min="28" max="28" width="11.42578125" style="14" bestFit="1" customWidth="1"/>
    <col min="29" max="29" width="8.42578125" style="14" bestFit="1" customWidth="1"/>
    <col min="30" max="16384" width="10.85546875" style="14"/>
  </cols>
  <sheetData>
    <row r="1" spans="1:30" ht="30.75" customHeight="1" x14ac:dyDescent="0.35">
      <c r="A1" s="243" t="s">
        <v>5</v>
      </c>
      <c r="B1" s="243"/>
      <c r="C1" s="243"/>
      <c r="D1" s="243"/>
      <c r="E1" s="243"/>
      <c r="G1" s="244" t="s">
        <v>13</v>
      </c>
      <c r="H1" s="244"/>
      <c r="I1" s="244"/>
      <c r="J1" s="244"/>
      <c r="P1" s="14" t="s">
        <v>17</v>
      </c>
      <c r="Y1" s="15" t="s">
        <v>10</v>
      </c>
      <c r="Z1" s="47">
        <v>2019</v>
      </c>
      <c r="AA1" s="16"/>
    </row>
    <row r="2" spans="1:30" ht="32.25" customHeight="1" thickBot="1" x14ac:dyDescent="0.35">
      <c r="B2" s="17" t="s">
        <v>4</v>
      </c>
      <c r="C2" s="18" t="s">
        <v>0</v>
      </c>
      <c r="D2" s="17" t="s">
        <v>7</v>
      </c>
      <c r="E2" s="18" t="s">
        <v>1</v>
      </c>
      <c r="F2" s="19" t="s">
        <v>28</v>
      </c>
      <c r="G2" s="222">
        <f>'1'!Z1+1</f>
        <v>2020</v>
      </c>
      <c r="H2" s="222">
        <f>G2+1</f>
        <v>2021</v>
      </c>
      <c r="I2" s="222">
        <f t="shared" ref="I2:J2" si="0">H2+1</f>
        <v>2022</v>
      </c>
      <c r="J2" s="222">
        <f t="shared" si="0"/>
        <v>2023</v>
      </c>
      <c r="L2" s="14">
        <f>G2</f>
        <v>2020</v>
      </c>
      <c r="M2" s="14">
        <f>H2</f>
        <v>2021</v>
      </c>
      <c r="N2" s="14">
        <f>M2+1</f>
        <v>2022</v>
      </c>
      <c r="O2" s="14">
        <f>N2+1</f>
        <v>2023</v>
      </c>
      <c r="P2" s="14" t="s">
        <v>14</v>
      </c>
      <c r="Q2" s="14" t="s">
        <v>12</v>
      </c>
      <c r="R2" s="14" t="s">
        <v>24</v>
      </c>
      <c r="S2" s="14" t="s">
        <v>25</v>
      </c>
      <c r="T2" s="14" t="s">
        <v>18</v>
      </c>
      <c r="U2" s="14" t="s">
        <v>19</v>
      </c>
      <c r="V2" s="14" t="s">
        <v>26</v>
      </c>
      <c r="W2" s="14" t="s">
        <v>27</v>
      </c>
      <c r="Y2" s="245" t="s">
        <v>170</v>
      </c>
      <c r="Z2" s="245"/>
      <c r="AA2" s="241" t="s">
        <v>179</v>
      </c>
      <c r="AB2" s="241"/>
      <c r="AC2" s="241"/>
      <c r="AD2" s="241"/>
    </row>
    <row r="3" spans="1:30" ht="24" thickBot="1" x14ac:dyDescent="0.4">
      <c r="A3" s="20">
        <v>1</v>
      </c>
      <c r="B3" s="136" t="s">
        <v>184</v>
      </c>
      <c r="C3" s="230">
        <f>1920*8</f>
        <v>15360</v>
      </c>
      <c r="D3" s="226">
        <v>14000</v>
      </c>
      <c r="E3" s="21">
        <f>C3*D3</f>
        <v>215040000</v>
      </c>
      <c r="F3" s="22">
        <f>IF($E$13=0,0,E3/$E$13)</f>
        <v>0.12370166178088055</v>
      </c>
      <c r="G3" s="46">
        <v>7.0000000000000007E-2</v>
      </c>
      <c r="H3" s="46">
        <v>0.15</v>
      </c>
      <c r="I3" s="46">
        <v>0.25</v>
      </c>
      <c r="J3" s="46">
        <v>0.32</v>
      </c>
      <c r="K3" s="23"/>
      <c r="L3" s="14">
        <f t="shared" ref="L3:L12" si="1">C3*(1+G3)</f>
        <v>16435.2</v>
      </c>
      <c r="M3" s="14">
        <f>L3*(1+H3)</f>
        <v>18900.48</v>
      </c>
      <c r="N3" s="14">
        <f t="shared" ref="N3:O3" si="2">M3*(1+I3)</f>
        <v>23625.599999999999</v>
      </c>
      <c r="O3" s="14">
        <f t="shared" si="2"/>
        <v>31185.792000000001</v>
      </c>
      <c r="P3" s="24">
        <f>D3*(1+'1'!$Z$4)</f>
        <v>14413.000000000002</v>
      </c>
      <c r="Q3" s="24">
        <f>P3*(1+'1'!$AA$4)</f>
        <v>14819.446600000001</v>
      </c>
      <c r="R3" s="24">
        <f>Q3*(1+'1'!$AB$4)</f>
        <v>15219.5716582</v>
      </c>
      <c r="S3" s="24">
        <f>R3*(1+'1'!$AC$4)</f>
        <v>15630.500092971399</v>
      </c>
      <c r="T3" s="25">
        <f>L3*P3</f>
        <v>236880537.60000005</v>
      </c>
      <c r="U3" s="25">
        <f>M3*Q3</f>
        <v>280094654.074368</v>
      </c>
      <c r="V3" s="25">
        <f>N3*R3</f>
        <v>359571512.16796988</v>
      </c>
      <c r="W3" s="25">
        <f>O3*S3</f>
        <v>487449524.75538671</v>
      </c>
      <c r="X3" s="25"/>
      <c r="Y3" s="26" t="s">
        <v>11</v>
      </c>
      <c r="Z3" s="27">
        <f>G2</f>
        <v>2020</v>
      </c>
      <c r="AA3" s="27">
        <f>Z3+1</f>
        <v>2021</v>
      </c>
      <c r="AB3" s="27">
        <f t="shared" ref="AB3:AC3" si="3">AA3+1</f>
        <v>2022</v>
      </c>
      <c r="AC3" s="220">
        <f t="shared" si="3"/>
        <v>2023</v>
      </c>
    </row>
    <row r="4" spans="1:30" ht="23.25" x14ac:dyDescent="0.35">
      <c r="A4" s="20">
        <f>A3+1</f>
        <v>2</v>
      </c>
      <c r="B4" s="136" t="s">
        <v>185</v>
      </c>
      <c r="C4" s="230">
        <f>4080*8</f>
        <v>32640</v>
      </c>
      <c r="D4" s="226">
        <v>11450</v>
      </c>
      <c r="E4" s="21">
        <f t="shared" ref="E4:E12" si="4">C4*D4</f>
        <v>373728000</v>
      </c>
      <c r="F4" s="22">
        <f t="shared" ref="F4:F12" si="5">IF($E$13=0,0,E4/$E$13)</f>
        <v>0.21498686130043212</v>
      </c>
      <c r="G4" s="46">
        <v>7.0000000000000007E-2</v>
      </c>
      <c r="H4" s="46">
        <v>0.15</v>
      </c>
      <c r="I4" s="46">
        <v>0.25</v>
      </c>
      <c r="J4" s="46">
        <v>0.32</v>
      </c>
      <c r="K4" s="23"/>
      <c r="L4" s="14">
        <f t="shared" si="1"/>
        <v>34924.800000000003</v>
      </c>
      <c r="M4" s="14">
        <f t="shared" ref="M4:M12" si="6">L4*(1+H4)</f>
        <v>40163.519999999997</v>
      </c>
      <c r="N4" s="14">
        <f t="shared" ref="N4:N12" si="7">M4*(1+I4)</f>
        <v>50204.399999999994</v>
      </c>
      <c r="O4" s="14">
        <f t="shared" ref="O4:O12" si="8">N4*(1+J4)</f>
        <v>66269.80799999999</v>
      </c>
      <c r="P4" s="24">
        <f>D4*(1+'1'!$Z$4)</f>
        <v>11787.775000000001</v>
      </c>
      <c r="Q4" s="24">
        <f>P4*(1+'1'!$AA$4)</f>
        <v>12120.190255000001</v>
      </c>
      <c r="R4" s="24">
        <f>Q4*(1+'1'!$AB$4)</f>
        <v>12447.435391885001</v>
      </c>
      <c r="S4" s="24">
        <f>R4*(1+'1'!$AC$4)</f>
        <v>12783.516147465894</v>
      </c>
      <c r="T4" s="25">
        <f t="shared" ref="T4:T12" si="9">L4*P4</f>
        <v>411685684.32000011</v>
      </c>
      <c r="U4" s="25">
        <f t="shared" ref="U4:U12" si="10">M4*Q4</f>
        <v>486789503.71049762</v>
      </c>
      <c r="V4" s="25">
        <f t="shared" ref="V4:V12" si="11">N4*R4</f>
        <v>624916025.38835132</v>
      </c>
      <c r="W4" s="25">
        <f t="shared" ref="W4:W12" si="12">O4*S4</f>
        <v>847161160.65746439</v>
      </c>
      <c r="X4" s="25"/>
      <c r="Y4" s="205" t="s">
        <v>15</v>
      </c>
      <c r="Z4" s="206">
        <v>2.9499999999999998E-2</v>
      </c>
      <c r="AA4" s="206">
        <v>2.8199999999999999E-2</v>
      </c>
      <c r="AB4" s="206">
        <v>2.7E-2</v>
      </c>
      <c r="AC4" s="219">
        <v>2.7E-2</v>
      </c>
    </row>
    <row r="5" spans="1:30" ht="24" thickBot="1" x14ac:dyDescent="0.4">
      <c r="A5" s="20">
        <f t="shared" ref="A5:A12" si="13">A4+1</f>
        <v>3</v>
      </c>
      <c r="B5" s="136" t="s">
        <v>186</v>
      </c>
      <c r="C5" s="230">
        <f>1056*8</f>
        <v>8448</v>
      </c>
      <c r="D5" s="226">
        <v>22100</v>
      </c>
      <c r="E5" s="21">
        <f t="shared" si="4"/>
        <v>186700800</v>
      </c>
      <c r="F5" s="22">
        <f t="shared" si="5"/>
        <v>0.10739954992475736</v>
      </c>
      <c r="G5" s="46">
        <v>7.0000000000000007E-2</v>
      </c>
      <c r="H5" s="46">
        <v>0.15</v>
      </c>
      <c r="I5" s="46">
        <v>0.25</v>
      </c>
      <c r="J5" s="46">
        <v>0.32</v>
      </c>
      <c r="K5" s="23"/>
      <c r="L5" s="14">
        <f t="shared" si="1"/>
        <v>9039.36</v>
      </c>
      <c r="M5" s="14">
        <f t="shared" si="6"/>
        <v>10395.263999999999</v>
      </c>
      <c r="N5" s="14">
        <f t="shared" si="7"/>
        <v>12994.079999999998</v>
      </c>
      <c r="O5" s="14">
        <f t="shared" si="8"/>
        <v>17152.185599999997</v>
      </c>
      <c r="P5" s="24">
        <f>D5*(1+'1'!$Z$4)</f>
        <v>22751.95</v>
      </c>
      <c r="Q5" s="24">
        <f>P5*(1+'1'!$AA$4)</f>
        <v>23393.554990000001</v>
      </c>
      <c r="R5" s="24">
        <f>Q5*(1+'1'!$AB$4)</f>
        <v>24025.180974729999</v>
      </c>
      <c r="S5" s="24">
        <f>R5*(1+'1'!$AC$4)</f>
        <v>24673.860861047706</v>
      </c>
      <c r="T5" s="25">
        <f t="shared" si="9"/>
        <v>205663066.75200003</v>
      </c>
      <c r="U5" s="25">
        <f t="shared" si="10"/>
        <v>243182180.01956734</v>
      </c>
      <c r="V5" s="25">
        <f t="shared" si="11"/>
        <v>312185123.60011953</v>
      </c>
      <c r="W5" s="25">
        <f t="shared" si="12"/>
        <v>423210640.95726597</v>
      </c>
      <c r="X5" s="25"/>
      <c r="Y5" s="28" t="s">
        <v>16</v>
      </c>
      <c r="Z5" s="207">
        <v>3.4000000000000002E-2</v>
      </c>
      <c r="AA5" s="207">
        <v>3.4000000000000002E-2</v>
      </c>
      <c r="AB5" s="207">
        <v>3.4000000000000002E-2</v>
      </c>
      <c r="AC5" s="221">
        <v>3.4000000000000002E-2</v>
      </c>
    </row>
    <row r="6" spans="1:30" ht="15.75" thickBot="1" x14ac:dyDescent="0.3">
      <c r="A6" s="20">
        <f t="shared" si="13"/>
        <v>4</v>
      </c>
      <c r="B6" s="136" t="s">
        <v>187</v>
      </c>
      <c r="C6" s="230">
        <f>2244*8</f>
        <v>17952</v>
      </c>
      <c r="D6" s="226">
        <v>17100</v>
      </c>
      <c r="E6" s="21">
        <f t="shared" si="4"/>
        <v>306979200</v>
      </c>
      <c r="F6" s="22">
        <f t="shared" si="5"/>
        <v>0.1765896445878222</v>
      </c>
      <c r="G6" s="46">
        <v>7.0000000000000007E-2</v>
      </c>
      <c r="H6" s="46">
        <v>0.15</v>
      </c>
      <c r="I6" s="46">
        <v>0.25</v>
      </c>
      <c r="J6" s="46">
        <v>0.32</v>
      </c>
      <c r="K6" s="23"/>
      <c r="L6" s="14">
        <f t="shared" si="1"/>
        <v>19208.64</v>
      </c>
      <c r="M6" s="14">
        <f t="shared" si="6"/>
        <v>22089.935999999998</v>
      </c>
      <c r="N6" s="14">
        <f t="shared" si="7"/>
        <v>27612.42</v>
      </c>
      <c r="O6" s="14">
        <f t="shared" si="8"/>
        <v>36448.394399999997</v>
      </c>
      <c r="P6" s="24">
        <f>D6*(1+'1'!$Z$4)</f>
        <v>17604.45</v>
      </c>
      <c r="Q6" s="24">
        <f>P6*(1+'1'!$AA$4)</f>
        <v>18100.895490000003</v>
      </c>
      <c r="R6" s="24">
        <f>Q6*(1+'1'!$AB$4)</f>
        <v>18589.61966823</v>
      </c>
      <c r="S6" s="24">
        <f>R6*(1+'1'!$AC$4)</f>
        <v>19091.539399272209</v>
      </c>
      <c r="T6" s="25">
        <f t="shared" si="9"/>
        <v>338157542.44800001</v>
      </c>
      <c r="U6" s="25">
        <f t="shared" si="10"/>
        <v>399847622.91678864</v>
      </c>
      <c r="V6" s="25">
        <f t="shared" si="11"/>
        <v>513304385.91942739</v>
      </c>
      <c r="W6" s="25">
        <f t="shared" si="12"/>
        <v>695855957.72781253</v>
      </c>
      <c r="X6" s="25"/>
    </row>
    <row r="7" spans="1:30" ht="24" thickBot="1" x14ac:dyDescent="0.4">
      <c r="A7" s="20">
        <f t="shared" si="13"/>
        <v>5</v>
      </c>
      <c r="B7" s="136" t="s">
        <v>188</v>
      </c>
      <c r="C7" s="230">
        <f>538*8</f>
        <v>4304</v>
      </c>
      <c r="D7" s="226">
        <v>37500</v>
      </c>
      <c r="E7" s="21">
        <f t="shared" si="4"/>
        <v>161400000</v>
      </c>
      <c r="F7" s="22">
        <f t="shared" si="5"/>
        <v>9.2845276280850639E-2</v>
      </c>
      <c r="G7" s="46">
        <v>7.0000000000000007E-2</v>
      </c>
      <c r="H7" s="46">
        <v>0.15</v>
      </c>
      <c r="I7" s="46">
        <v>0.25</v>
      </c>
      <c r="J7" s="46">
        <v>0.32</v>
      </c>
      <c r="K7" s="23"/>
      <c r="L7" s="14">
        <f t="shared" si="1"/>
        <v>4605.2800000000007</v>
      </c>
      <c r="M7" s="14">
        <f t="shared" si="6"/>
        <v>5296.0720000000001</v>
      </c>
      <c r="N7" s="14">
        <f t="shared" si="7"/>
        <v>6620.09</v>
      </c>
      <c r="O7" s="14">
        <f t="shared" si="8"/>
        <v>8738.5187999999998</v>
      </c>
      <c r="P7" s="24">
        <f>D7*(1+'1'!$Z$4)</f>
        <v>38606.25</v>
      </c>
      <c r="Q7" s="24">
        <f>P7*(1+'1'!$AA$4)</f>
        <v>39694.946250000001</v>
      </c>
      <c r="R7" s="24">
        <f>Q7*(1+'1'!$AB$4)</f>
        <v>40766.709798749995</v>
      </c>
      <c r="S7" s="24">
        <f>R7*(1+'1'!$AC$4)</f>
        <v>41867.410963316244</v>
      </c>
      <c r="T7" s="25">
        <f t="shared" si="9"/>
        <v>177792591.00000003</v>
      </c>
      <c r="U7" s="25">
        <f t="shared" si="10"/>
        <v>210227293.37613001</v>
      </c>
      <c r="V7" s="25">
        <f t="shared" si="11"/>
        <v>269879287.87160689</v>
      </c>
      <c r="W7" s="25">
        <f t="shared" si="12"/>
        <v>365859157.81026512</v>
      </c>
      <c r="X7" s="25"/>
      <c r="Y7" s="29" t="s">
        <v>97</v>
      </c>
      <c r="Z7" s="30"/>
      <c r="AA7" s="30"/>
      <c r="AB7" s="48">
        <v>0.33</v>
      </c>
      <c r="AC7" s="31"/>
    </row>
    <row r="8" spans="1:30" x14ac:dyDescent="0.25">
      <c r="A8" s="20">
        <f t="shared" si="13"/>
        <v>6</v>
      </c>
      <c r="B8" s="136" t="s">
        <v>189</v>
      </c>
      <c r="C8" s="230">
        <f>1142*8</f>
        <v>9136</v>
      </c>
      <c r="D8" s="226">
        <v>41000</v>
      </c>
      <c r="E8" s="21">
        <f t="shared" si="4"/>
        <v>374576000</v>
      </c>
      <c r="F8" s="22">
        <f t="shared" si="5"/>
        <v>0.2154746729131097</v>
      </c>
      <c r="G8" s="46">
        <v>7.0000000000000007E-2</v>
      </c>
      <c r="H8" s="46">
        <v>0.15</v>
      </c>
      <c r="I8" s="46">
        <v>0.25</v>
      </c>
      <c r="J8" s="46">
        <v>0.32</v>
      </c>
      <c r="K8" s="23"/>
      <c r="L8" s="14">
        <f t="shared" si="1"/>
        <v>9775.52</v>
      </c>
      <c r="M8" s="14">
        <f t="shared" si="6"/>
        <v>11241.848</v>
      </c>
      <c r="N8" s="14">
        <f t="shared" si="7"/>
        <v>14052.31</v>
      </c>
      <c r="O8" s="14">
        <f t="shared" si="8"/>
        <v>18549.049200000001</v>
      </c>
      <c r="P8" s="24">
        <f>D8*(1+'1'!$Z$4)</f>
        <v>42209.5</v>
      </c>
      <c r="Q8" s="24">
        <f>P8*(1+'1'!$AA$4)</f>
        <v>43399.8079</v>
      </c>
      <c r="R8" s="24">
        <f>Q8*(1+'1'!$AB$4)</f>
        <v>44571.602713299995</v>
      </c>
      <c r="S8" s="24">
        <f>R8*(1+'1'!$AC$4)</f>
        <v>45775.035986559094</v>
      </c>
      <c r="T8" s="25">
        <f t="shared" si="9"/>
        <v>412619811.44</v>
      </c>
      <c r="U8" s="25">
        <f t="shared" si="10"/>
        <v>487894043.6409992</v>
      </c>
      <c r="V8" s="25">
        <f t="shared" si="11"/>
        <v>626333978.52413261</v>
      </c>
      <c r="W8" s="25">
        <f t="shared" si="12"/>
        <v>849083394.64645529</v>
      </c>
      <c r="X8" s="25"/>
    </row>
    <row r="9" spans="1:30" x14ac:dyDescent="0.25">
      <c r="A9" s="20">
        <f t="shared" si="13"/>
        <v>7</v>
      </c>
      <c r="B9" s="137" t="s">
        <v>190</v>
      </c>
      <c r="C9" s="230">
        <v>24990</v>
      </c>
      <c r="D9" s="226">
        <v>4800</v>
      </c>
      <c r="E9" s="21">
        <f t="shared" si="4"/>
        <v>119952000</v>
      </c>
      <c r="F9" s="22">
        <f t="shared" si="5"/>
        <v>6.9002333212147424E-2</v>
      </c>
      <c r="G9" s="46">
        <v>0</v>
      </c>
      <c r="H9" s="46">
        <v>0</v>
      </c>
      <c r="I9" s="46">
        <v>0</v>
      </c>
      <c r="J9" s="46">
        <v>0</v>
      </c>
      <c r="K9" s="23"/>
      <c r="L9" s="14">
        <f t="shared" si="1"/>
        <v>24990</v>
      </c>
      <c r="M9" s="14">
        <f t="shared" si="6"/>
        <v>24990</v>
      </c>
      <c r="N9" s="14">
        <f t="shared" si="7"/>
        <v>24990</v>
      </c>
      <c r="O9" s="14">
        <f t="shared" si="8"/>
        <v>24990</v>
      </c>
      <c r="P9" s="24">
        <f>D9*(1+'1'!$Z$4)</f>
        <v>4941.6000000000004</v>
      </c>
      <c r="Q9" s="24">
        <f>P9*(1+'1'!$AA$4)</f>
        <v>5080.9531200000001</v>
      </c>
      <c r="R9" s="24">
        <f>Q9*(1+'1'!$AB$4)</f>
        <v>5218.13885424</v>
      </c>
      <c r="S9" s="24">
        <f>R9*(1+'1'!$AC$4)</f>
        <v>5359.0286033044795</v>
      </c>
      <c r="T9" s="25">
        <f t="shared" si="9"/>
        <v>123490584.00000001</v>
      </c>
      <c r="U9" s="25">
        <f t="shared" si="10"/>
        <v>126973018.46880001</v>
      </c>
      <c r="V9" s="25">
        <f t="shared" si="11"/>
        <v>130401289.96745761</v>
      </c>
      <c r="W9" s="25">
        <f t="shared" si="12"/>
        <v>133922124.79657894</v>
      </c>
      <c r="X9" s="25"/>
    </row>
    <row r="10" spans="1:30" x14ac:dyDescent="0.25">
      <c r="A10" s="20">
        <f t="shared" si="13"/>
        <v>8</v>
      </c>
      <c r="B10" s="136"/>
      <c r="C10" s="50">
        <v>0</v>
      </c>
      <c r="D10" s="13">
        <v>0</v>
      </c>
      <c r="E10" s="21">
        <f t="shared" si="4"/>
        <v>0</v>
      </c>
      <c r="F10" s="22">
        <f t="shared" si="5"/>
        <v>0</v>
      </c>
      <c r="G10" s="46">
        <v>0</v>
      </c>
      <c r="H10" s="46">
        <v>0</v>
      </c>
      <c r="I10" s="46">
        <v>0</v>
      </c>
      <c r="J10" s="46">
        <v>0</v>
      </c>
      <c r="K10" s="23"/>
      <c r="L10" s="14">
        <f t="shared" si="1"/>
        <v>0</v>
      </c>
      <c r="M10" s="14">
        <f t="shared" si="6"/>
        <v>0</v>
      </c>
      <c r="N10" s="14">
        <f t="shared" si="7"/>
        <v>0</v>
      </c>
      <c r="O10" s="14">
        <f t="shared" si="8"/>
        <v>0</v>
      </c>
      <c r="P10" s="24">
        <f>D10*(1+'1'!$Z$4)</f>
        <v>0</v>
      </c>
      <c r="Q10" s="24">
        <f>P10*(1+'1'!$AA$4)</f>
        <v>0</v>
      </c>
      <c r="R10" s="24">
        <f>Q10*(1+'1'!$AB$4)</f>
        <v>0</v>
      </c>
      <c r="S10" s="24">
        <f>R10*(1+'1'!$AC$4)</f>
        <v>0</v>
      </c>
      <c r="T10" s="25">
        <f t="shared" si="9"/>
        <v>0</v>
      </c>
      <c r="U10" s="25">
        <f t="shared" si="10"/>
        <v>0</v>
      </c>
      <c r="V10" s="25">
        <f t="shared" si="11"/>
        <v>0</v>
      </c>
      <c r="W10" s="25">
        <f t="shared" si="12"/>
        <v>0</v>
      </c>
      <c r="X10" s="25"/>
    </row>
    <row r="11" spans="1:30" x14ac:dyDescent="0.25">
      <c r="A11" s="20">
        <f t="shared" si="13"/>
        <v>9</v>
      </c>
      <c r="B11" s="136"/>
      <c r="C11" s="50">
        <v>0</v>
      </c>
      <c r="D11" s="13">
        <v>0</v>
      </c>
      <c r="E11" s="21">
        <f t="shared" si="4"/>
        <v>0</v>
      </c>
      <c r="F11" s="22">
        <f t="shared" si="5"/>
        <v>0</v>
      </c>
      <c r="G11" s="46">
        <v>0</v>
      </c>
      <c r="H11" s="46">
        <v>0</v>
      </c>
      <c r="I11" s="46">
        <v>0</v>
      </c>
      <c r="J11" s="46">
        <v>0</v>
      </c>
      <c r="K11" s="23"/>
      <c r="L11" s="14">
        <f t="shared" si="1"/>
        <v>0</v>
      </c>
      <c r="M11" s="14">
        <f t="shared" si="6"/>
        <v>0</v>
      </c>
      <c r="N11" s="14">
        <f t="shared" si="7"/>
        <v>0</v>
      </c>
      <c r="O11" s="14">
        <f t="shared" si="8"/>
        <v>0</v>
      </c>
      <c r="P11" s="24">
        <f>D11*(1+'1'!$Z$4)</f>
        <v>0</v>
      </c>
      <c r="Q11" s="24">
        <f>P11*(1+'1'!$AA$4)</f>
        <v>0</v>
      </c>
      <c r="R11" s="24">
        <f>Q11*(1+'1'!$AB$4)</f>
        <v>0</v>
      </c>
      <c r="S11" s="24">
        <f>R11*(1+'1'!$AC$4)</f>
        <v>0</v>
      </c>
      <c r="T11" s="25">
        <f t="shared" si="9"/>
        <v>0</v>
      </c>
      <c r="U11" s="25">
        <f t="shared" si="10"/>
        <v>0</v>
      </c>
      <c r="V11" s="25">
        <f t="shared" si="11"/>
        <v>0</v>
      </c>
      <c r="W11" s="25">
        <f t="shared" si="12"/>
        <v>0</v>
      </c>
      <c r="X11" s="25"/>
    </row>
    <row r="12" spans="1:30" x14ac:dyDescent="0.25">
      <c r="A12" s="20">
        <f t="shared" si="13"/>
        <v>10</v>
      </c>
      <c r="B12" s="136"/>
      <c r="C12" s="50">
        <v>0</v>
      </c>
      <c r="D12" s="13">
        <v>0</v>
      </c>
      <c r="E12" s="21">
        <f t="shared" si="4"/>
        <v>0</v>
      </c>
      <c r="F12" s="22">
        <f t="shared" si="5"/>
        <v>0</v>
      </c>
      <c r="G12" s="46">
        <v>0</v>
      </c>
      <c r="H12" s="46">
        <v>0</v>
      </c>
      <c r="I12" s="46">
        <v>0</v>
      </c>
      <c r="J12" s="46">
        <v>0</v>
      </c>
      <c r="K12" s="23"/>
      <c r="L12" s="14">
        <f t="shared" si="1"/>
        <v>0</v>
      </c>
      <c r="M12" s="14">
        <f t="shared" si="6"/>
        <v>0</v>
      </c>
      <c r="N12" s="14">
        <f t="shared" si="7"/>
        <v>0</v>
      </c>
      <c r="O12" s="14">
        <f t="shared" si="8"/>
        <v>0</v>
      </c>
      <c r="P12" s="24">
        <f>D12*(1+'1'!$Z$4)</f>
        <v>0</v>
      </c>
      <c r="Q12" s="24">
        <f>P12*(1+'1'!$AA$4)</f>
        <v>0</v>
      </c>
      <c r="R12" s="24">
        <f>Q12*(1+'1'!$AB$4)</f>
        <v>0</v>
      </c>
      <c r="S12" s="24">
        <f>R12*(1+'1'!$AC$4)</f>
        <v>0</v>
      </c>
      <c r="T12" s="25">
        <f t="shared" si="9"/>
        <v>0</v>
      </c>
      <c r="U12" s="25">
        <f t="shared" si="10"/>
        <v>0</v>
      </c>
      <c r="V12" s="25">
        <f t="shared" si="11"/>
        <v>0</v>
      </c>
      <c r="W12" s="25">
        <f t="shared" si="12"/>
        <v>0</v>
      </c>
      <c r="X12" s="25"/>
    </row>
    <row r="13" spans="1:30" x14ac:dyDescent="0.25">
      <c r="D13" s="14" t="s">
        <v>9</v>
      </c>
      <c r="E13" s="32">
        <f>SUM(E3:E12)</f>
        <v>1738376000</v>
      </c>
      <c r="F13" s="33">
        <f>SUM(F3:F12)</f>
        <v>1</v>
      </c>
      <c r="T13" s="34">
        <f>SUM(T3:T12)</f>
        <v>1906289817.5600002</v>
      </c>
      <c r="U13" s="34">
        <f>SUM(U3:U12)</f>
        <v>2235008316.2071509</v>
      </c>
      <c r="V13" s="34">
        <f>SUM(V3:V12)</f>
        <v>2836591603.4390655</v>
      </c>
      <c r="W13" s="34">
        <f>SUM(W3:W12)</f>
        <v>3802541961.3512292</v>
      </c>
      <c r="X13" s="25"/>
    </row>
    <row r="15" spans="1:30" ht="23.25" customHeight="1" x14ac:dyDescent="0.25">
      <c r="A15" s="243" t="s">
        <v>6</v>
      </c>
      <c r="B15" s="243"/>
      <c r="C15" s="243"/>
      <c r="D15" s="243"/>
      <c r="E15" s="243"/>
      <c r="G15" s="35"/>
    </row>
    <row r="16" spans="1:30" ht="23.25" x14ac:dyDescent="0.25">
      <c r="B16" s="17" t="s">
        <v>3</v>
      </c>
      <c r="C16" s="36" t="s">
        <v>0</v>
      </c>
      <c r="D16" s="17" t="s">
        <v>8</v>
      </c>
      <c r="E16" s="18" t="s">
        <v>2</v>
      </c>
      <c r="L16" s="14">
        <f>L2</f>
        <v>2020</v>
      </c>
      <c r="M16" s="14">
        <f t="shared" ref="M16:W16" si="14">M2</f>
        <v>2021</v>
      </c>
      <c r="N16" s="14">
        <f t="shared" si="14"/>
        <v>2022</v>
      </c>
      <c r="O16" s="14">
        <f t="shared" si="14"/>
        <v>2023</v>
      </c>
      <c r="P16" s="14" t="str">
        <f t="shared" si="14"/>
        <v>AÑO 2</v>
      </c>
      <c r="Q16" s="14" t="str">
        <f t="shared" si="14"/>
        <v>AÑO 3</v>
      </c>
      <c r="R16" s="14" t="str">
        <f t="shared" si="14"/>
        <v>AÑO 4</v>
      </c>
      <c r="S16" s="14" t="str">
        <f t="shared" si="14"/>
        <v>AÑO 5</v>
      </c>
      <c r="T16" s="14" t="str">
        <f t="shared" si="14"/>
        <v>año 2</v>
      </c>
      <c r="U16" s="14" t="str">
        <f t="shared" si="14"/>
        <v>año 3</v>
      </c>
      <c r="V16" s="14" t="str">
        <f t="shared" si="14"/>
        <v>año 4</v>
      </c>
      <c r="W16" s="14" t="str">
        <f t="shared" si="14"/>
        <v>año 5</v>
      </c>
    </row>
    <row r="17" spans="1:24" x14ac:dyDescent="0.25">
      <c r="A17" s="20">
        <f>A3</f>
        <v>1</v>
      </c>
      <c r="B17" s="149" t="str">
        <f>B3</f>
        <v>CAFÉ TOSTADO Y/O MOLIDO 500 GR CLASE A</v>
      </c>
      <c r="C17" s="38">
        <f>C3</f>
        <v>15360</v>
      </c>
      <c r="D17" s="226">
        <v>5435</v>
      </c>
      <c r="E17" s="21">
        <f>C17*D17</f>
        <v>83481600</v>
      </c>
      <c r="F17" s="22">
        <f>IF($E$27=0,0,E17/$E$27)</f>
        <v>0.10270184074143304</v>
      </c>
      <c r="L17" s="14">
        <f t="shared" ref="L17:L26" si="15">C17*(1+G3)</f>
        <v>16435.2</v>
      </c>
      <c r="M17" s="14">
        <f>L17*(1+H3)</f>
        <v>18900.48</v>
      </c>
      <c r="N17" s="14">
        <f t="shared" ref="N17:O17" si="16">M17*(1+I3)</f>
        <v>23625.599999999999</v>
      </c>
      <c r="O17" s="14">
        <f t="shared" si="16"/>
        <v>31185.792000000001</v>
      </c>
      <c r="P17" s="39">
        <f>D17*(1+'1'!$Z$5)</f>
        <v>5619.79</v>
      </c>
      <c r="Q17" s="24">
        <f>P17*(1+'1'!$AA$5)</f>
        <v>5810.8628600000002</v>
      </c>
      <c r="R17" s="24">
        <f>Q17*(1+'1'!$AB$5)</f>
        <v>6008.4321972400003</v>
      </c>
      <c r="S17" s="24">
        <f>R17*(1+'1'!$AC$5)</f>
        <v>6212.7188919461605</v>
      </c>
      <c r="T17" s="39">
        <f t="shared" ref="T17:U19" si="17">L17*P17</f>
        <v>92362372.60800001</v>
      </c>
      <c r="U17" s="25">
        <f t="shared" si="17"/>
        <v>109828097.2681728</v>
      </c>
      <c r="V17" s="25">
        <f t="shared" ref="V17:W17" si="18">N17*R17</f>
        <v>141952815.71911335</v>
      </c>
      <c r="W17" s="25">
        <f t="shared" si="18"/>
        <v>193748559.11870345</v>
      </c>
      <c r="X17" s="25"/>
    </row>
    <row r="18" spans="1:24" x14ac:dyDescent="0.25">
      <c r="A18" s="20">
        <f t="shared" ref="A18:B25" si="19">A4</f>
        <v>2</v>
      </c>
      <c r="B18" s="150" t="str">
        <f t="shared" si="19"/>
        <v>CAFÉ TOSTADO Y/O MOLIDO 500 GR CLASE B</v>
      </c>
      <c r="C18" s="38">
        <f t="shared" ref="C18:C26" si="20">C4</f>
        <v>32640</v>
      </c>
      <c r="D18" s="226">
        <v>4760</v>
      </c>
      <c r="E18" s="21">
        <f t="shared" ref="E18:E26" si="21">C18*D18</f>
        <v>155366400</v>
      </c>
      <c r="F18" s="22">
        <f t="shared" ref="F18:F26" si="22">IF($E$27=0,0,E18/$E$27)</f>
        <v>0.19113691243782802</v>
      </c>
      <c r="L18" s="14">
        <f t="shared" si="15"/>
        <v>34924.800000000003</v>
      </c>
      <c r="M18" s="14">
        <f t="shared" ref="M18:M26" si="23">L18*(1+H4)</f>
        <v>40163.519999999997</v>
      </c>
      <c r="N18" s="14">
        <f t="shared" ref="N18:N26" si="24">M18*(1+I4)</f>
        <v>50204.399999999994</v>
      </c>
      <c r="O18" s="14">
        <f t="shared" ref="O18:O26" si="25">N18*(1+J4)</f>
        <v>66269.80799999999</v>
      </c>
      <c r="P18" s="39">
        <f>D18*(1+'1'!$Z$5)</f>
        <v>4921.84</v>
      </c>
      <c r="Q18" s="24">
        <f>P18*(1+'1'!$AA$5)</f>
        <v>5089.1825600000002</v>
      </c>
      <c r="R18" s="24">
        <f>Q18*(1+'1'!$AB$5)</f>
        <v>5262.21476704</v>
      </c>
      <c r="S18" s="24">
        <f>R18*(1+'1'!$AC$5)</f>
        <v>5441.1300691193601</v>
      </c>
      <c r="T18" s="39">
        <f t="shared" si="17"/>
        <v>171894277.63200003</v>
      </c>
      <c r="U18" s="25">
        <f t="shared" si="17"/>
        <v>204399485.53221118</v>
      </c>
      <c r="V18" s="25">
        <f t="shared" ref="V18:V26" si="26">N18*R18</f>
        <v>264186335.05038294</v>
      </c>
      <c r="W18" s="25">
        <f t="shared" ref="W18:W26" si="27">O18*S18</f>
        <v>360582644.98356664</v>
      </c>
      <c r="X18" s="25"/>
    </row>
    <row r="19" spans="1:24" x14ac:dyDescent="0.25">
      <c r="A19" s="20">
        <f t="shared" si="19"/>
        <v>3</v>
      </c>
      <c r="B19" s="150" t="str">
        <f>B5</f>
        <v>CAFÉ TOSTADI Y/O MOLIDO 1 KG CLASE A</v>
      </c>
      <c r="C19" s="38">
        <f t="shared" si="20"/>
        <v>8448</v>
      </c>
      <c r="D19" s="226">
        <v>10610</v>
      </c>
      <c r="E19" s="21">
        <f t="shared" si="21"/>
        <v>89633280</v>
      </c>
      <c r="F19" s="22">
        <f t="shared" si="22"/>
        <v>0.11026984206929762</v>
      </c>
      <c r="L19" s="14">
        <f t="shared" si="15"/>
        <v>9039.36</v>
      </c>
      <c r="M19" s="14">
        <f t="shared" si="23"/>
        <v>10395.263999999999</v>
      </c>
      <c r="N19" s="14">
        <f t="shared" si="24"/>
        <v>12994.079999999998</v>
      </c>
      <c r="O19" s="14">
        <f t="shared" si="25"/>
        <v>17152.185599999997</v>
      </c>
      <c r="P19" s="39">
        <f>D19*(1+'1'!$Z$5)</f>
        <v>10970.74</v>
      </c>
      <c r="Q19" s="24">
        <f>P19*(1+'1'!$AA$5)</f>
        <v>11343.74516</v>
      </c>
      <c r="R19" s="24">
        <f>Q19*(1+'1'!$AB$5)</f>
        <v>11729.43249544</v>
      </c>
      <c r="S19" s="24">
        <f>R19*(1+'1'!$AC$5)</f>
        <v>12128.23320028496</v>
      </c>
      <c r="T19" s="39">
        <f t="shared" si="17"/>
        <v>99168468.326400012</v>
      </c>
      <c r="U19" s="25">
        <f t="shared" si="17"/>
        <v>117921225.68692224</v>
      </c>
      <c r="V19" s="25">
        <f t="shared" si="26"/>
        <v>152413184.20034698</v>
      </c>
      <c r="W19" s="25">
        <f t="shared" si="27"/>
        <v>208025706.85136956</v>
      </c>
      <c r="X19" s="25"/>
    </row>
    <row r="20" spans="1:24" x14ac:dyDescent="0.25">
      <c r="A20" s="20">
        <f t="shared" si="19"/>
        <v>4</v>
      </c>
      <c r="B20" s="150" t="str">
        <f t="shared" si="19"/>
        <v>CAFÉ TOSTADI Y/O MOLIDO 1 KG CLASE B</v>
      </c>
      <c r="C20" s="38">
        <f t="shared" si="20"/>
        <v>17952</v>
      </c>
      <c r="D20" s="226">
        <v>9260</v>
      </c>
      <c r="E20" s="21">
        <f t="shared" si="21"/>
        <v>166235520</v>
      </c>
      <c r="F20" s="22">
        <f t="shared" si="22"/>
        <v>0.2045084653457685</v>
      </c>
      <c r="L20" s="14">
        <f t="shared" si="15"/>
        <v>19208.64</v>
      </c>
      <c r="M20" s="14">
        <f t="shared" si="23"/>
        <v>22089.935999999998</v>
      </c>
      <c r="N20" s="14">
        <f t="shared" si="24"/>
        <v>27612.42</v>
      </c>
      <c r="O20" s="14">
        <f t="shared" si="25"/>
        <v>36448.394399999997</v>
      </c>
      <c r="P20" s="39">
        <f>D20*(1+'1'!$Z$5)</f>
        <v>9574.84</v>
      </c>
      <c r="Q20" s="24">
        <f>P20*(1+'1'!$AA$5)</f>
        <v>9900.3845600000004</v>
      </c>
      <c r="R20" s="24">
        <f>Q20*(1+'1'!$AB$5)</f>
        <v>10236.997635040001</v>
      </c>
      <c r="S20" s="24">
        <f>R20*(1+'1'!$AC$5)</f>
        <v>10585.055554631361</v>
      </c>
      <c r="T20" s="39">
        <f t="shared" ref="T20:T26" si="28">L20*P20</f>
        <v>183919654.61759999</v>
      </c>
      <c r="U20" s="25">
        <f t="shared" ref="U20:U26" si="29">M20*Q20</f>
        <v>218698861.30578816</v>
      </c>
      <c r="V20" s="25">
        <f t="shared" si="26"/>
        <v>282668278.23773122</v>
      </c>
      <c r="W20" s="25">
        <f t="shared" si="27"/>
        <v>385808279.60111457</v>
      </c>
      <c r="X20" s="25"/>
    </row>
    <row r="21" spans="1:24" x14ac:dyDescent="0.25">
      <c r="A21" s="20">
        <f t="shared" si="19"/>
        <v>5</v>
      </c>
      <c r="B21" s="40" t="str">
        <f t="shared" si="19"/>
        <v>CAFÉ TOSTADI Y/O MOLIDO 2,5 KG CLASE A</v>
      </c>
      <c r="C21" s="38">
        <f t="shared" si="20"/>
        <v>4304</v>
      </c>
      <c r="D21" s="226">
        <v>25125</v>
      </c>
      <c r="E21" s="21">
        <f t="shared" si="21"/>
        <v>108138000</v>
      </c>
      <c r="F21" s="22">
        <f t="shared" si="22"/>
        <v>0.13303496404114304</v>
      </c>
      <c r="L21" s="14">
        <f t="shared" si="15"/>
        <v>4605.2800000000007</v>
      </c>
      <c r="M21" s="14">
        <f t="shared" si="23"/>
        <v>5296.0720000000001</v>
      </c>
      <c r="N21" s="14">
        <f t="shared" si="24"/>
        <v>6620.09</v>
      </c>
      <c r="O21" s="14">
        <f t="shared" si="25"/>
        <v>8738.5187999999998</v>
      </c>
      <c r="P21" s="39">
        <f>D21*(1+'1'!$Z$5)</f>
        <v>25979.25</v>
      </c>
      <c r="Q21" s="24">
        <f>P21*(1+'1'!$AA$5)</f>
        <v>26862.5445</v>
      </c>
      <c r="R21" s="24">
        <f>Q21*(1+'1'!$AB$5)</f>
        <v>27775.871013</v>
      </c>
      <c r="S21" s="24">
        <f>R21*(1+'1'!$AC$5)</f>
        <v>28720.250627442001</v>
      </c>
      <c r="T21" s="39">
        <f t="shared" si="28"/>
        <v>119641720.44000001</v>
      </c>
      <c r="U21" s="25">
        <f t="shared" si="29"/>
        <v>142265969.775204</v>
      </c>
      <c r="V21" s="25">
        <f t="shared" si="26"/>
        <v>183878765.93445116</v>
      </c>
      <c r="W21" s="25">
        <f t="shared" si="27"/>
        <v>250972450.04861373</v>
      </c>
      <c r="X21" s="25"/>
    </row>
    <row r="22" spans="1:24" x14ac:dyDescent="0.25">
      <c r="A22" s="20">
        <f t="shared" si="19"/>
        <v>6</v>
      </c>
      <c r="B22" s="40" t="str">
        <f t="shared" si="19"/>
        <v>CAFÉ TOSTADI Y/O MOLIDO 2,5 KG CLASE B</v>
      </c>
      <c r="C22" s="38">
        <f t="shared" si="20"/>
        <v>9136</v>
      </c>
      <c r="D22" s="226">
        <v>21755</v>
      </c>
      <c r="E22" s="21">
        <f t="shared" si="21"/>
        <v>198753680</v>
      </c>
      <c r="F22" s="22">
        <f t="shared" si="22"/>
        <v>0.24451338726298663</v>
      </c>
      <c r="L22" s="14">
        <f t="shared" si="15"/>
        <v>9775.52</v>
      </c>
      <c r="M22" s="14">
        <f t="shared" si="23"/>
        <v>11241.848</v>
      </c>
      <c r="N22" s="14">
        <f t="shared" si="24"/>
        <v>14052.31</v>
      </c>
      <c r="O22" s="14">
        <f t="shared" si="25"/>
        <v>18549.049200000001</v>
      </c>
      <c r="P22" s="39">
        <f>D22*(1+'1'!$Z$5)</f>
        <v>22494.670000000002</v>
      </c>
      <c r="Q22" s="24">
        <f>P22*(1+'1'!$AA$5)</f>
        <v>23259.488780000003</v>
      </c>
      <c r="R22" s="24">
        <f>Q22*(1+'1'!$AB$5)</f>
        <v>24050.311398520003</v>
      </c>
      <c r="S22" s="24">
        <f>R22*(1+'1'!$AC$5)</f>
        <v>24868.021986069685</v>
      </c>
      <c r="T22" s="39">
        <f t="shared" si="28"/>
        <v>219897096.47840002</v>
      </c>
      <c r="U22" s="25">
        <f t="shared" si="29"/>
        <v>261479637.42246547</v>
      </c>
      <c r="V22" s="25">
        <f t="shared" si="26"/>
        <v>337962431.36853659</v>
      </c>
      <c r="W22" s="25">
        <f t="shared" si="27"/>
        <v>461278163.32628834</v>
      </c>
      <c r="X22" s="25"/>
    </row>
    <row r="23" spans="1:24" x14ac:dyDescent="0.25">
      <c r="A23" s="20">
        <f t="shared" si="19"/>
        <v>7</v>
      </c>
      <c r="B23" s="40" t="str">
        <f t="shared" si="19"/>
        <v>CISCO KILO</v>
      </c>
      <c r="C23" s="38">
        <f t="shared" si="20"/>
        <v>24990</v>
      </c>
      <c r="D23" s="226">
        <v>450</v>
      </c>
      <c r="E23" s="21">
        <f t="shared" si="21"/>
        <v>11245500</v>
      </c>
      <c r="F23" s="22">
        <f t="shared" si="22"/>
        <v>1.3834588101543158E-2</v>
      </c>
      <c r="L23" s="14">
        <f t="shared" si="15"/>
        <v>24990</v>
      </c>
      <c r="M23" s="14">
        <f t="shared" si="23"/>
        <v>24990</v>
      </c>
      <c r="N23" s="14">
        <f t="shared" si="24"/>
        <v>24990</v>
      </c>
      <c r="O23" s="14">
        <f t="shared" si="25"/>
        <v>24990</v>
      </c>
      <c r="P23" s="39">
        <f>D23*(1+'1'!$Z$5)</f>
        <v>465.3</v>
      </c>
      <c r="Q23" s="24">
        <f>P23*(1+'1'!$AA$5)</f>
        <v>481.12020000000001</v>
      </c>
      <c r="R23" s="24">
        <f>Q23*(1+'1'!$AB$5)</f>
        <v>497.47828680000003</v>
      </c>
      <c r="S23" s="24">
        <f>R23*(1+'1'!$AC$5)</f>
        <v>514.39254855120009</v>
      </c>
      <c r="T23" s="39">
        <f t="shared" si="28"/>
        <v>11627847</v>
      </c>
      <c r="U23" s="25">
        <f t="shared" si="29"/>
        <v>12023193.798</v>
      </c>
      <c r="V23" s="25">
        <f t="shared" si="26"/>
        <v>12431982.387132</v>
      </c>
      <c r="W23" s="25">
        <f t="shared" si="27"/>
        <v>12854669.78829449</v>
      </c>
      <c r="X23" s="25"/>
    </row>
    <row r="24" spans="1:24" x14ac:dyDescent="0.25">
      <c r="A24" s="20">
        <f t="shared" si="19"/>
        <v>8</v>
      </c>
      <c r="B24" s="40">
        <f t="shared" si="19"/>
        <v>0</v>
      </c>
      <c r="C24" s="38">
        <f t="shared" si="20"/>
        <v>0</v>
      </c>
      <c r="D24" s="13">
        <v>0</v>
      </c>
      <c r="E24" s="21">
        <f t="shared" si="21"/>
        <v>0</v>
      </c>
      <c r="F24" s="22">
        <f t="shared" si="22"/>
        <v>0</v>
      </c>
      <c r="L24" s="14">
        <f t="shared" si="15"/>
        <v>0</v>
      </c>
      <c r="M24" s="14">
        <f t="shared" si="23"/>
        <v>0</v>
      </c>
      <c r="N24" s="14">
        <f t="shared" si="24"/>
        <v>0</v>
      </c>
      <c r="O24" s="14">
        <f t="shared" si="25"/>
        <v>0</v>
      </c>
      <c r="P24" s="39">
        <f>D24*(1+'1'!$Z$5)</f>
        <v>0</v>
      </c>
      <c r="Q24" s="24">
        <f>P24*(1+'1'!$AA$5)</f>
        <v>0</v>
      </c>
      <c r="R24" s="24">
        <f>Q24*(1+'1'!$AB$5)</f>
        <v>0</v>
      </c>
      <c r="S24" s="24">
        <f>R24*(1+'1'!$AC$5)</f>
        <v>0</v>
      </c>
      <c r="T24" s="39">
        <f t="shared" si="28"/>
        <v>0</v>
      </c>
      <c r="U24" s="25">
        <f t="shared" si="29"/>
        <v>0</v>
      </c>
      <c r="V24" s="25">
        <f t="shared" si="26"/>
        <v>0</v>
      </c>
      <c r="W24" s="25">
        <f t="shared" si="27"/>
        <v>0</v>
      </c>
      <c r="X24" s="25"/>
    </row>
    <row r="25" spans="1:24" x14ac:dyDescent="0.25">
      <c r="A25" s="20">
        <f t="shared" si="19"/>
        <v>9</v>
      </c>
      <c r="B25" s="40">
        <f t="shared" si="19"/>
        <v>0</v>
      </c>
      <c r="C25" s="38">
        <f t="shared" si="20"/>
        <v>0</v>
      </c>
      <c r="D25" s="13">
        <v>0</v>
      </c>
      <c r="E25" s="21">
        <f t="shared" si="21"/>
        <v>0</v>
      </c>
      <c r="F25" s="22">
        <f t="shared" si="22"/>
        <v>0</v>
      </c>
      <c r="L25" s="14">
        <f t="shared" si="15"/>
        <v>0</v>
      </c>
      <c r="M25" s="14">
        <f t="shared" si="23"/>
        <v>0</v>
      </c>
      <c r="N25" s="14">
        <f t="shared" si="24"/>
        <v>0</v>
      </c>
      <c r="O25" s="14">
        <f t="shared" si="25"/>
        <v>0</v>
      </c>
      <c r="P25" s="39">
        <f>D25*(1+'1'!$Z$5)</f>
        <v>0</v>
      </c>
      <c r="Q25" s="24">
        <f>P25*(1+'1'!$AA$5)</f>
        <v>0</v>
      </c>
      <c r="R25" s="24">
        <f>Q25*(1+'1'!$AB$5)</f>
        <v>0</v>
      </c>
      <c r="S25" s="24">
        <f>R25*(1+'1'!$AC$5)</f>
        <v>0</v>
      </c>
      <c r="T25" s="39">
        <f t="shared" si="28"/>
        <v>0</v>
      </c>
      <c r="U25" s="25">
        <f t="shared" si="29"/>
        <v>0</v>
      </c>
      <c r="V25" s="25">
        <f t="shared" si="26"/>
        <v>0</v>
      </c>
      <c r="W25" s="25">
        <f t="shared" si="27"/>
        <v>0</v>
      </c>
      <c r="X25" s="25"/>
    </row>
    <row r="26" spans="1:24" x14ac:dyDescent="0.25">
      <c r="A26" s="20">
        <f>A12</f>
        <v>10</v>
      </c>
      <c r="B26" s="40">
        <f t="shared" ref="B26" si="30">B12</f>
        <v>0</v>
      </c>
      <c r="C26" s="38">
        <f t="shared" si="20"/>
        <v>0</v>
      </c>
      <c r="D26" s="13">
        <v>0</v>
      </c>
      <c r="E26" s="21">
        <f t="shared" si="21"/>
        <v>0</v>
      </c>
      <c r="F26" s="22">
        <f t="shared" si="22"/>
        <v>0</v>
      </c>
      <c r="L26" s="14">
        <f t="shared" si="15"/>
        <v>0</v>
      </c>
      <c r="M26" s="14">
        <f t="shared" si="23"/>
        <v>0</v>
      </c>
      <c r="N26" s="14">
        <f t="shared" si="24"/>
        <v>0</v>
      </c>
      <c r="O26" s="14">
        <f t="shared" si="25"/>
        <v>0</v>
      </c>
      <c r="P26" s="39">
        <f>D26*(1+'1'!$Z$5)</f>
        <v>0</v>
      </c>
      <c r="Q26" s="24">
        <f>P26*(1+'1'!$AA$5)</f>
        <v>0</v>
      </c>
      <c r="R26" s="24">
        <f>Q26*(1+'1'!$AB$5)</f>
        <v>0</v>
      </c>
      <c r="S26" s="24">
        <f>R26*(1+'1'!$AC$5)</f>
        <v>0</v>
      </c>
      <c r="T26" s="39">
        <f t="shared" si="28"/>
        <v>0</v>
      </c>
      <c r="U26" s="25">
        <f t="shared" si="29"/>
        <v>0</v>
      </c>
      <c r="V26" s="25">
        <f t="shared" si="26"/>
        <v>0</v>
      </c>
      <c r="W26" s="25">
        <f t="shared" si="27"/>
        <v>0</v>
      </c>
      <c r="X26" s="25"/>
    </row>
    <row r="27" spans="1:24" x14ac:dyDescent="0.25">
      <c r="D27" s="14" t="str">
        <f>D13</f>
        <v>TOTAL</v>
      </c>
      <c r="E27" s="32">
        <f>SUM(E17:E26)</f>
        <v>812853980</v>
      </c>
      <c r="F27" s="33">
        <f>SUM(F17:F26)</f>
        <v>1</v>
      </c>
      <c r="T27" s="34">
        <f>SUM(T17:T26)</f>
        <v>898511437.10240006</v>
      </c>
      <c r="U27" s="34">
        <f>SUM(U17:U26)</f>
        <v>1066616470.7887638</v>
      </c>
      <c r="V27" s="34">
        <f t="shared" ref="V27:W27" si="31">SUM(V17:V26)</f>
        <v>1375493792.8976943</v>
      </c>
      <c r="W27" s="34">
        <f t="shared" si="31"/>
        <v>1873270473.7179511</v>
      </c>
      <c r="X27" s="25"/>
    </row>
    <row r="30" spans="1:24" x14ac:dyDescent="0.25">
      <c r="A30" s="242" t="s">
        <v>20</v>
      </c>
      <c r="B30" s="242"/>
      <c r="C30" s="242"/>
      <c r="D30" s="242"/>
      <c r="E30" s="242"/>
      <c r="F30" s="242"/>
    </row>
    <row r="31" spans="1:24" ht="26.25" x14ac:dyDescent="0.4">
      <c r="A31" s="41" t="s">
        <v>11</v>
      </c>
      <c r="B31" s="42">
        <f>'1'!Z1</f>
        <v>2019</v>
      </c>
      <c r="C31" s="42">
        <f>B31+1</f>
        <v>2020</v>
      </c>
      <c r="D31" s="42">
        <f>C31+1</f>
        <v>2021</v>
      </c>
      <c r="E31" s="42">
        <f>D31+1</f>
        <v>2022</v>
      </c>
      <c r="F31" s="42">
        <f>E31+1</f>
        <v>2023</v>
      </c>
      <c r="H31" s="43"/>
      <c r="I31" s="43"/>
      <c r="J31" s="43"/>
      <c r="K31" s="43"/>
      <c r="L31" s="43"/>
      <c r="M31" s="43"/>
      <c r="N31" s="43"/>
      <c r="O31" s="43"/>
      <c r="P31" s="43"/>
      <c r="Q31" s="43"/>
      <c r="R31" s="43"/>
      <c r="S31" s="43"/>
      <c r="T31" s="43"/>
      <c r="U31" s="43"/>
      <c r="V31" s="43"/>
    </row>
    <row r="32" spans="1:24" x14ac:dyDescent="0.25">
      <c r="A32" s="44" t="s">
        <v>21</v>
      </c>
      <c r="B32" s="225">
        <f>'1'!E13</f>
        <v>1738376000</v>
      </c>
      <c r="C32" s="218">
        <f>'1'!T13</f>
        <v>1906289817.5600002</v>
      </c>
      <c r="D32" s="218">
        <f>'1'!U13</f>
        <v>2235008316.2071509</v>
      </c>
      <c r="E32" s="218">
        <f>'1'!V13</f>
        <v>2836591603.4390655</v>
      </c>
      <c r="F32" s="218">
        <f>'1'!W13</f>
        <v>3802541961.3512292</v>
      </c>
    </row>
    <row r="33" spans="1:6" x14ac:dyDescent="0.25">
      <c r="A33" s="44" t="s">
        <v>22</v>
      </c>
      <c r="B33" s="225">
        <f>'1'!E27</f>
        <v>812853980</v>
      </c>
      <c r="C33" s="225">
        <f>'1'!T27</f>
        <v>898511437.10240006</v>
      </c>
      <c r="D33" s="225">
        <f>'1'!U27</f>
        <v>1066616470.7887638</v>
      </c>
      <c r="E33" s="225">
        <f>'1'!V27</f>
        <v>1375493792.8976943</v>
      </c>
      <c r="F33" s="225">
        <f>'1'!W27</f>
        <v>1873270473.7179511</v>
      </c>
    </row>
    <row r="34" spans="1:6" ht="15.75" thickBot="1" x14ac:dyDescent="0.3">
      <c r="A34" s="45" t="s">
        <v>23</v>
      </c>
      <c r="B34" s="49">
        <f>B32-B33</f>
        <v>925522020</v>
      </c>
      <c r="C34" s="49">
        <f t="shared" ref="C34:D34" si="32">C32-C33</f>
        <v>1007778380.4576001</v>
      </c>
      <c r="D34" s="49">
        <f t="shared" si="32"/>
        <v>1168391845.4183872</v>
      </c>
      <c r="E34" s="49">
        <f t="shared" ref="E34" si="33">E32-E33</f>
        <v>1461097810.5413711</v>
      </c>
      <c r="F34" s="49">
        <f t="shared" ref="F34" si="34">F32-F33</f>
        <v>1929271487.6332781</v>
      </c>
    </row>
    <row r="35" spans="1:6" ht="15.75" thickTop="1" x14ac:dyDescent="0.25"/>
  </sheetData>
  <sheetProtection algorithmName="SHA-512" hashValue="8g82fNp+/dgb8aWUbnoWNygTCnEq8jxF4R2zJz+YfMYRO6qH+qGorX1Y62J8UlMxWygRykBgf0ZE3ghDMMTriw==" saltValue="D2MPF0b0AQCeTB9b/y/l0A==" spinCount="100000" sheet="1" objects="1" scenarios="1" formatCells="0" formatColumns="0" formatRows="0"/>
  <customSheetViews>
    <customSheetView guid="{D031F759-B892-43F4-943A-9CD4A624A3F4}" showPageBreaks="1" showGridLines="0">
      <pane xSplit="6" ySplit="2" topLeftCell="G17" activePane="bottomRight" state="frozenSplit"/>
      <selection pane="bottomRight" activeCell="A30" sqref="A30:F35"/>
    </customSheetView>
  </customSheetViews>
  <mergeCells count="6">
    <mergeCell ref="AA2:AD2"/>
    <mergeCell ref="A30:F30"/>
    <mergeCell ref="A1:E1"/>
    <mergeCell ref="A15:E15"/>
    <mergeCell ref="G1:J1"/>
    <mergeCell ref="Y2:Z2"/>
  </mergeCells>
  <conditionalFormatting sqref="B34:F34">
    <cfRule type="cellIs" dxfId="6" priority="1" operator="lessThan">
      <formula>0</formula>
    </cfRule>
  </conditionalFormatting>
  <pageMargins left="0.7" right="0.7" top="0.75" bottom="0.75" header="0.3" footer="0.3"/>
  <pageSetup paperSize="9" orientation="portrait" horizontalDpi="4294967292" verticalDpi="4294967292"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K32"/>
  <sheetViews>
    <sheetView showGridLines="0" showRowColHeaders="0" zoomScale="90" zoomScaleNormal="90" workbookViewId="0">
      <pane ySplit="15" topLeftCell="A23" activePane="bottomLeft" state="frozenSplit"/>
      <selection pane="bottomLeft" activeCell="F25" sqref="F25"/>
    </sheetView>
  </sheetViews>
  <sheetFormatPr baseColWidth="10" defaultColWidth="10.85546875" defaultRowHeight="15" x14ac:dyDescent="0.25"/>
  <cols>
    <col min="1" max="1" width="5.42578125" style="14" customWidth="1"/>
    <col min="2" max="2" width="29.42578125" style="14" bestFit="1" customWidth="1"/>
    <col min="3" max="3" width="20.28515625" style="14" customWidth="1"/>
    <col min="4" max="4" width="10.85546875" style="14"/>
    <col min="5" max="5" width="23.28515625" style="14" customWidth="1"/>
    <col min="6" max="6" width="18.5703125" style="14" bestFit="1" customWidth="1"/>
    <col min="7" max="7" width="15.42578125" style="14" bestFit="1" customWidth="1"/>
    <col min="8" max="16384" width="10.85546875" style="14"/>
  </cols>
  <sheetData>
    <row r="1" spans="2:10" ht="15" customHeight="1" x14ac:dyDescent="0.25">
      <c r="B1" s="246" t="s">
        <v>144</v>
      </c>
      <c r="C1" s="246"/>
      <c r="D1" s="246"/>
      <c r="E1" s="246"/>
      <c r="F1" s="246"/>
      <c r="G1" s="246"/>
      <c r="H1" s="246"/>
    </row>
    <row r="2" spans="2:10" ht="3.75" customHeight="1" x14ac:dyDescent="0.25">
      <c r="B2" s="246"/>
      <c r="C2" s="246"/>
      <c r="D2" s="246"/>
      <c r="E2" s="246"/>
      <c r="F2" s="246"/>
      <c r="G2" s="246"/>
      <c r="H2" s="246"/>
    </row>
    <row r="3" spans="2:10" ht="3.75" customHeight="1" x14ac:dyDescent="0.3">
      <c r="B3" s="105"/>
      <c r="C3" s="105"/>
      <c r="D3" s="105"/>
      <c r="E3" s="105"/>
      <c r="F3" s="105"/>
      <c r="G3" s="105"/>
      <c r="H3" s="105"/>
    </row>
    <row r="4" spans="2:10" x14ac:dyDescent="0.25">
      <c r="C4" s="20" t="s">
        <v>143</v>
      </c>
      <c r="F4" s="66" t="s">
        <v>98</v>
      </c>
      <c r="G4" s="66"/>
    </row>
    <row r="5" spans="2:10" x14ac:dyDescent="0.25">
      <c r="B5" s="45" t="s">
        <v>47</v>
      </c>
      <c r="C5" s="217">
        <v>0</v>
      </c>
      <c r="E5" s="45" t="s">
        <v>145</v>
      </c>
      <c r="F5" s="66"/>
      <c r="G5" s="66"/>
      <c r="J5" s="100" t="s">
        <v>171</v>
      </c>
    </row>
    <row r="6" spans="2:10" ht="15.75" x14ac:dyDescent="0.25">
      <c r="B6" s="45" t="s">
        <v>50</v>
      </c>
      <c r="C6" s="228">
        <f>69941702+8000000</f>
        <v>77941702</v>
      </c>
      <c r="E6" s="13">
        <v>0</v>
      </c>
      <c r="F6" s="66">
        <v>10</v>
      </c>
      <c r="G6" s="67">
        <f>C6/F6</f>
        <v>7794170.2000000002</v>
      </c>
      <c r="J6" s="196" t="str">
        <f>'1'!AA2</f>
        <v>PLAN DE NEGOCIO PARA LA PUESTA EN MARCHA DE UNA PLANTA  TORREFACTORA DE CAFÉ TOSTADO Y MOLIDO</v>
      </c>
    </row>
    <row r="7" spans="2:10" x14ac:dyDescent="0.25">
      <c r="B7" s="45" t="s">
        <v>48</v>
      </c>
      <c r="C7" s="228">
        <v>2982980</v>
      </c>
      <c r="F7" s="66">
        <v>5</v>
      </c>
      <c r="G7" s="67">
        <f t="shared" ref="G7:G12" si="0">C7/F7</f>
        <v>596596</v>
      </c>
    </row>
    <row r="8" spans="2:10" x14ac:dyDescent="0.25">
      <c r="B8" s="45" t="s">
        <v>49</v>
      </c>
      <c r="C8" s="228">
        <v>4008000</v>
      </c>
      <c r="F8" s="66">
        <v>5</v>
      </c>
      <c r="G8" s="67">
        <f t="shared" si="0"/>
        <v>801600</v>
      </c>
    </row>
    <row r="9" spans="2:10" x14ac:dyDescent="0.25">
      <c r="B9" s="45" t="s">
        <v>51</v>
      </c>
      <c r="C9" s="227"/>
      <c r="F9" s="66">
        <v>5</v>
      </c>
      <c r="G9" s="67">
        <f t="shared" si="0"/>
        <v>0</v>
      </c>
    </row>
    <row r="10" spans="2:10" x14ac:dyDescent="0.25">
      <c r="B10" s="45" t="s">
        <v>52</v>
      </c>
      <c r="C10" s="227">
        <v>0</v>
      </c>
      <c r="F10" s="66">
        <v>5</v>
      </c>
      <c r="G10" s="67">
        <f t="shared" si="0"/>
        <v>0</v>
      </c>
    </row>
    <row r="11" spans="2:10" x14ac:dyDescent="0.25">
      <c r="B11" s="45" t="s">
        <v>53</v>
      </c>
      <c r="C11" s="227">
        <v>0</v>
      </c>
      <c r="F11" s="66">
        <v>5</v>
      </c>
      <c r="G11" s="67">
        <f t="shared" si="0"/>
        <v>0</v>
      </c>
    </row>
    <row r="12" spans="2:10" x14ac:dyDescent="0.25">
      <c r="B12" s="45" t="s">
        <v>54</v>
      </c>
      <c r="C12" s="228">
        <f>3557959+950000</f>
        <v>4507959</v>
      </c>
      <c r="F12" s="66">
        <v>5</v>
      </c>
      <c r="G12" s="67">
        <f t="shared" si="0"/>
        <v>901591.8</v>
      </c>
    </row>
    <row r="13" spans="2:10" ht="16.5" thickBot="1" x14ac:dyDescent="0.3">
      <c r="B13" s="68" t="s">
        <v>55</v>
      </c>
      <c r="C13" s="229">
        <f>SUM(C5:C12)</f>
        <v>89440641</v>
      </c>
      <c r="F13" s="66"/>
      <c r="G13" s="67">
        <f>SUM(G6:G12)</f>
        <v>10093958</v>
      </c>
    </row>
    <row r="14" spans="2:10" x14ac:dyDescent="0.25">
      <c r="B14" s="247" t="s">
        <v>46</v>
      </c>
      <c r="C14" s="248"/>
      <c r="D14" s="248"/>
      <c r="E14" s="248"/>
      <c r="F14" s="248"/>
      <c r="G14" s="248"/>
      <c r="H14" s="249"/>
    </row>
    <row r="15" spans="2:10" ht="15.75" thickBot="1" x14ac:dyDescent="0.3">
      <c r="B15" s="250"/>
      <c r="C15" s="251"/>
      <c r="D15" s="251"/>
      <c r="E15" s="251"/>
      <c r="F15" s="251"/>
      <c r="G15" s="251"/>
      <c r="H15" s="252"/>
    </row>
    <row r="16" spans="2:10" x14ac:dyDescent="0.25">
      <c r="B16" s="70"/>
      <c r="C16" s="70"/>
      <c r="D16" s="70"/>
      <c r="E16" s="70"/>
      <c r="F16" s="70"/>
      <c r="G16" s="70"/>
      <c r="H16" s="70"/>
    </row>
    <row r="17" spans="2:11" x14ac:dyDescent="0.25">
      <c r="B17" s="68" t="s">
        <v>29</v>
      </c>
      <c r="E17" s="68" t="s">
        <v>37</v>
      </c>
      <c r="F17" s="37"/>
    </row>
    <row r="18" spans="2:11" x14ac:dyDescent="0.25">
      <c r="C18" s="68" t="s">
        <v>31</v>
      </c>
      <c r="F18" s="68" t="str">
        <f>C18</f>
        <v>VALOR AÑO 1</v>
      </c>
    </row>
    <row r="19" spans="2:11" x14ac:dyDescent="0.25">
      <c r="B19" s="71" t="s">
        <v>30</v>
      </c>
      <c r="C19" s="228">
        <f>7790693*12</f>
        <v>93488316</v>
      </c>
      <c r="E19" s="72" t="s">
        <v>38</v>
      </c>
      <c r="F19" s="232">
        <f>1650000*12</f>
        <v>19800000</v>
      </c>
    </row>
    <row r="20" spans="2:11" x14ac:dyDescent="0.25">
      <c r="C20" s="234"/>
      <c r="E20" s="72" t="s">
        <v>39</v>
      </c>
      <c r="F20" s="232">
        <f>1300000*12</f>
        <v>15600000</v>
      </c>
      <c r="K20"/>
    </row>
    <row r="21" spans="2:11" x14ac:dyDescent="0.25">
      <c r="B21" s="71" t="s">
        <v>33</v>
      </c>
      <c r="C21" s="232">
        <f>1837272*12</f>
        <v>22047264</v>
      </c>
      <c r="E21" s="72" t="s">
        <v>40</v>
      </c>
      <c r="F21" s="237">
        <f>((70000*2)*12)</f>
        <v>1680000</v>
      </c>
    </row>
    <row r="22" spans="2:11" x14ac:dyDescent="0.25">
      <c r="C22" s="234"/>
      <c r="E22" s="72" t="s">
        <v>41</v>
      </c>
      <c r="F22" s="237">
        <f>120000*12</f>
        <v>1440000</v>
      </c>
    </row>
    <row r="23" spans="2:11" x14ac:dyDescent="0.25">
      <c r="B23" s="71" t="s">
        <v>34</v>
      </c>
      <c r="C23" s="228">
        <f>4290179*12</f>
        <v>51482148</v>
      </c>
      <c r="E23" s="72" t="s">
        <v>42</v>
      </c>
      <c r="F23" s="232">
        <f>150000*12</f>
        <v>1800000</v>
      </c>
    </row>
    <row r="24" spans="2:11" ht="15.75" x14ac:dyDescent="0.25">
      <c r="B24" s="14" t="s">
        <v>60</v>
      </c>
      <c r="C24" s="236">
        <f>C19+C21+C23</f>
        <v>167017728</v>
      </c>
      <c r="E24" s="72" t="s">
        <v>43</v>
      </c>
      <c r="F24" s="232">
        <f>2923118*12</f>
        <v>35077416</v>
      </c>
    </row>
    <row r="25" spans="2:11" x14ac:dyDescent="0.25">
      <c r="C25" s="235"/>
      <c r="E25" s="72" t="s">
        <v>44</v>
      </c>
      <c r="F25" s="232">
        <f>50000*12</f>
        <v>600000</v>
      </c>
    </row>
    <row r="26" spans="2:11" ht="24.75" x14ac:dyDescent="0.25">
      <c r="B26" s="72" t="s">
        <v>35</v>
      </c>
      <c r="C26" s="228">
        <f>((2000000*3))</f>
        <v>6000000</v>
      </c>
      <c r="E26" s="102" t="s">
        <v>140</v>
      </c>
      <c r="F26" s="232">
        <f>((865000*12)+(380000*12))</f>
        <v>14940000</v>
      </c>
    </row>
    <row r="27" spans="2:11" x14ac:dyDescent="0.25">
      <c r="E27" s="102" t="s">
        <v>180</v>
      </c>
      <c r="F27" s="232">
        <f>((48000*830)+(26400*1400)+(13440*2100)+(6000*420)+(420*360))</f>
        <v>107695200</v>
      </c>
    </row>
    <row r="28" spans="2:11" x14ac:dyDescent="0.25">
      <c r="E28" s="102" t="s">
        <v>181</v>
      </c>
      <c r="F28" s="232">
        <f>(714560*83)*12</f>
        <v>711701760</v>
      </c>
    </row>
    <row r="29" spans="2:11" x14ac:dyDescent="0.25">
      <c r="E29" s="102" t="s">
        <v>191</v>
      </c>
      <c r="F29" s="239">
        <v>800000</v>
      </c>
    </row>
    <row r="30" spans="2:11" ht="24.75" x14ac:dyDescent="0.25">
      <c r="E30" s="238" t="s">
        <v>192</v>
      </c>
      <c r="F30" s="239">
        <f>60000*12</f>
        <v>720000</v>
      </c>
    </row>
    <row r="31" spans="2:11" x14ac:dyDescent="0.25">
      <c r="E31" s="238"/>
      <c r="F31" s="239"/>
    </row>
    <row r="32" spans="2:11" ht="15.75" x14ac:dyDescent="0.25">
      <c r="E32" s="72" t="s">
        <v>45</v>
      </c>
      <c r="F32" s="229">
        <f>SUM(F19:F31)</f>
        <v>911854376</v>
      </c>
    </row>
  </sheetData>
  <sheetProtection password="909C" sheet="1" objects="1" scenarios="1" formatCells="0" formatColumns="0" formatRows="0"/>
  <customSheetViews>
    <customSheetView guid="{D031F759-B892-43F4-943A-9CD4A624A3F4}" showPageBreaks="1" showGridLines="0">
      <pane ySplit="14" topLeftCell="A15" activePane="bottomLeft" state="frozenSplit"/>
      <selection pane="bottomLeft"/>
    </customSheetView>
  </customSheetViews>
  <mergeCells count="2">
    <mergeCell ref="B1:H2"/>
    <mergeCell ref="B14:H15"/>
  </mergeCells>
  <pageMargins left="0.7" right="0.7" top="0.75" bottom="0.75" header="0.3" footer="0.3"/>
  <pageSetup paperSize="9" orientation="portrait" r:id="rId1"/>
  <drawing r:id="rId2"/>
  <legacyDrawing r:id="rId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1:AV69"/>
  <sheetViews>
    <sheetView showGridLines="0" zoomScale="90" zoomScaleNormal="90" workbookViewId="0">
      <selection activeCell="B21" sqref="B21"/>
    </sheetView>
  </sheetViews>
  <sheetFormatPr baseColWidth="10" defaultColWidth="10.85546875" defaultRowHeight="15" x14ac:dyDescent="0.25"/>
  <cols>
    <col min="1" max="1" width="4" style="14" customWidth="1"/>
    <col min="2" max="2" width="49" style="14" customWidth="1"/>
    <col min="3" max="3" width="18.42578125" style="14" bestFit="1" customWidth="1"/>
    <col min="4" max="4" width="27.28515625" style="14" customWidth="1"/>
    <col min="5" max="5" width="5" style="14" customWidth="1"/>
    <col min="6" max="6" width="14.7109375" style="14" bestFit="1" customWidth="1"/>
    <col min="7" max="7" width="22.140625" style="14" customWidth="1"/>
    <col min="8" max="8" width="24.5703125" style="14" customWidth="1"/>
    <col min="9" max="9" width="25.28515625" style="14" customWidth="1"/>
    <col min="10" max="10" width="31.140625" style="14" customWidth="1"/>
    <col min="11" max="11" width="10.85546875" style="14"/>
    <col min="12" max="12" width="10.85546875" style="127" hidden="1" customWidth="1"/>
    <col min="13" max="13" width="13" style="127" hidden="1" customWidth="1"/>
    <col min="14" max="14" width="14" style="127" hidden="1" customWidth="1"/>
    <col min="15" max="15" width="10.85546875" style="127" hidden="1" customWidth="1"/>
    <col min="16" max="16" width="12.85546875" style="127" hidden="1" customWidth="1"/>
    <col min="17" max="21" width="10.85546875" style="127" hidden="1" customWidth="1"/>
    <col min="22" max="22" width="12.85546875" style="127" hidden="1" customWidth="1"/>
    <col min="23" max="27" width="10.85546875" style="127" hidden="1" customWidth="1"/>
    <col min="28" max="28" width="12.85546875" style="127" hidden="1" customWidth="1"/>
    <col min="29" max="29" width="10.85546875" style="127" hidden="1" customWidth="1"/>
    <col min="30" max="30" width="10.85546875" style="209" hidden="1" customWidth="1"/>
    <col min="31" max="31" width="4.7109375" style="128" hidden="1" customWidth="1"/>
    <col min="32" max="32" width="11.42578125" style="128" hidden="1" customWidth="1"/>
    <col min="33" max="33" width="11.42578125" style="14" hidden="1" customWidth="1"/>
    <col min="34" max="34" width="0" style="14" hidden="1" customWidth="1"/>
    <col min="35" max="35" width="12.42578125" style="14" hidden="1" customWidth="1"/>
    <col min="36" max="40" width="0" style="14" hidden="1" customWidth="1"/>
    <col min="41" max="41" width="12.140625" style="14" hidden="1" customWidth="1"/>
    <col min="42" max="46" width="0" style="14" hidden="1" customWidth="1"/>
    <col min="47" max="47" width="12.42578125" style="14" hidden="1" customWidth="1"/>
    <col min="48" max="16384" width="10.85546875" style="14"/>
  </cols>
  <sheetData>
    <row r="1" spans="2:47" x14ac:dyDescent="0.25">
      <c r="K1" s="66"/>
    </row>
    <row r="2" spans="2:47" ht="29.25" customHeight="1" x14ac:dyDescent="0.25">
      <c r="B2" s="243" t="s">
        <v>122</v>
      </c>
      <c r="C2" s="243"/>
      <c r="D2" s="243"/>
      <c r="E2" s="243"/>
      <c r="F2" s="243"/>
      <c r="G2" s="243"/>
      <c r="H2" s="243"/>
      <c r="I2" s="243"/>
      <c r="J2" s="243"/>
      <c r="K2" s="66"/>
      <c r="L2" s="210">
        <f>L3</f>
        <v>8.3475508798434017E-3</v>
      </c>
      <c r="R2" s="129"/>
      <c r="X2" s="129"/>
      <c r="AD2" s="209" t="s">
        <v>150</v>
      </c>
      <c r="AH2" s="14" t="s">
        <v>175</v>
      </c>
      <c r="AJ2" s="211">
        <f>L2</f>
        <v>8.3475508798434017E-3</v>
      </c>
    </row>
    <row r="3" spans="2:47" x14ac:dyDescent="0.25">
      <c r="D3" s="108" t="s">
        <v>149</v>
      </c>
      <c r="F3" s="262" t="s">
        <v>64</v>
      </c>
      <c r="G3" s="262"/>
      <c r="K3" s="66" t="s">
        <v>151</v>
      </c>
      <c r="L3" s="130">
        <f>((1+$F$4)^(1/12))-1</f>
        <v>8.3475508798434017E-3</v>
      </c>
      <c r="AD3" s="209" t="s">
        <v>151</v>
      </c>
      <c r="AT3" s="14">
        <v>38</v>
      </c>
    </row>
    <row r="4" spans="2:47" ht="15.75" x14ac:dyDescent="0.25">
      <c r="B4" s="16" t="s">
        <v>146</v>
      </c>
      <c r="C4" s="69">
        <f>'2'!C13</f>
        <v>89440641</v>
      </c>
      <c r="D4" s="215" t="s">
        <v>150</v>
      </c>
      <c r="F4" s="263">
        <v>0.10489999999999999</v>
      </c>
      <c r="G4" s="263"/>
      <c r="I4" s="196" t="str">
        <f>'2'!J6</f>
        <v>PLAN DE NEGOCIO PARA LA PUESTA EN MARCHA DE UNA PLANTA  TORREFACTORA DE CAFÉ TOSTADO Y MOLIDO</v>
      </c>
      <c r="K4" s="66"/>
      <c r="N4" s="127">
        <f>IF($J$20=43,43,0)</f>
        <v>43</v>
      </c>
      <c r="T4" s="127">
        <f>IF($J$20=36,36,0)</f>
        <v>0</v>
      </c>
      <c r="Z4" s="127">
        <f>IF($J$20=50,50,0)</f>
        <v>0</v>
      </c>
      <c r="AE4" s="127"/>
      <c r="AF4" s="127"/>
      <c r="AG4" s="127">
        <f>N4</f>
        <v>43</v>
      </c>
      <c r="AH4" s="127">
        <v>38</v>
      </c>
      <c r="AI4" s="127" t="s">
        <v>178</v>
      </c>
      <c r="AJ4" s="127"/>
      <c r="AK4" s="127"/>
      <c r="AL4" s="127"/>
      <c r="AM4" s="127">
        <f>T4</f>
        <v>0</v>
      </c>
      <c r="AN4" s="127" t="s">
        <v>176</v>
      </c>
      <c r="AO4" s="127"/>
      <c r="AP4" s="127"/>
      <c r="AQ4" s="127"/>
      <c r="AR4" s="127"/>
      <c r="AS4" s="127">
        <f>Z4</f>
        <v>0</v>
      </c>
      <c r="AT4" s="127" t="s">
        <v>177</v>
      </c>
      <c r="AU4" s="127"/>
    </row>
    <row r="5" spans="2:47" ht="15.75" x14ac:dyDescent="0.25">
      <c r="B5" s="16" t="s">
        <v>147</v>
      </c>
      <c r="C5" s="69">
        <f>'2'!E6</f>
        <v>0</v>
      </c>
      <c r="AE5" s="127"/>
      <c r="AF5" s="127"/>
      <c r="AG5" s="127"/>
      <c r="AH5" s="127"/>
      <c r="AI5" s="127"/>
      <c r="AJ5" s="127"/>
      <c r="AK5" s="127"/>
      <c r="AL5" s="127"/>
      <c r="AM5" s="127"/>
      <c r="AN5" s="127"/>
      <c r="AO5" s="127"/>
      <c r="AP5" s="127"/>
      <c r="AQ5" s="127"/>
      <c r="AR5" s="127"/>
      <c r="AS5" s="127"/>
      <c r="AT5" s="127"/>
      <c r="AU5" s="127"/>
    </row>
    <row r="6" spans="2:47" ht="30" x14ac:dyDescent="0.25">
      <c r="B6" s="16" t="s">
        <v>56</v>
      </c>
      <c r="F6" s="174" t="s">
        <v>123</v>
      </c>
      <c r="G6" s="174"/>
      <c r="H6" s="174"/>
      <c r="I6" s="174"/>
      <c r="J6" s="174"/>
      <c r="L6" s="127" t="s">
        <v>142</v>
      </c>
      <c r="M6" s="131" t="str">
        <f>G8</f>
        <v>CUOTA A PAGAR</v>
      </c>
      <c r="N6" s="131" t="str">
        <f>H8</f>
        <v>ABONO A CAPITAL</v>
      </c>
      <c r="O6" s="131" t="str">
        <f>I8</f>
        <v>INTERESES</v>
      </c>
      <c r="P6" s="131" t="str">
        <f>J8</f>
        <v>SALDO DE LA DEUDA</v>
      </c>
      <c r="Q6" s="131"/>
      <c r="R6" s="127" t="s">
        <v>142</v>
      </c>
      <c r="S6" s="131" t="str">
        <f>M6</f>
        <v>CUOTA A PAGAR</v>
      </c>
      <c r="T6" s="131" t="str">
        <f t="shared" ref="T6:V6" si="0">N6</f>
        <v>ABONO A CAPITAL</v>
      </c>
      <c r="U6" s="131" t="str">
        <f t="shared" si="0"/>
        <v>INTERESES</v>
      </c>
      <c r="V6" s="131" t="str">
        <f t="shared" si="0"/>
        <v>SALDO DE LA DEUDA</v>
      </c>
      <c r="X6" s="127" t="s">
        <v>142</v>
      </c>
      <c r="Y6" s="131" t="str">
        <f>S6</f>
        <v>CUOTA A PAGAR</v>
      </c>
      <c r="Z6" s="131" t="str">
        <f t="shared" ref="Z6:AB6" si="1">T6</f>
        <v>ABONO A CAPITAL</v>
      </c>
      <c r="AA6" s="131" t="str">
        <f t="shared" si="1"/>
        <v>INTERESES</v>
      </c>
      <c r="AB6" s="131" t="str">
        <f t="shared" si="1"/>
        <v>SALDO DE LA DEUDA</v>
      </c>
      <c r="AE6" s="127" t="s">
        <v>142</v>
      </c>
      <c r="AF6" s="131" t="str">
        <f>Y6</f>
        <v>CUOTA A PAGAR</v>
      </c>
      <c r="AG6" s="131" t="str">
        <f t="shared" ref="AG6:AI6" si="2">Z6</f>
        <v>ABONO A CAPITAL</v>
      </c>
      <c r="AH6" s="131" t="str">
        <f t="shared" si="2"/>
        <v>INTERESES</v>
      </c>
      <c r="AI6" s="131" t="str">
        <f t="shared" si="2"/>
        <v>SALDO DE LA DEUDA</v>
      </c>
      <c r="AJ6" s="131"/>
      <c r="AK6" s="127" t="s">
        <v>142</v>
      </c>
      <c r="AL6" s="131" t="str">
        <f>AF6</f>
        <v>CUOTA A PAGAR</v>
      </c>
      <c r="AM6" s="131" t="str">
        <f t="shared" ref="AM6" si="3">AG6</f>
        <v>ABONO A CAPITAL</v>
      </c>
      <c r="AN6" s="131" t="str">
        <f t="shared" ref="AN6" si="4">AH6</f>
        <v>INTERESES</v>
      </c>
      <c r="AO6" s="131" t="str">
        <f t="shared" ref="AO6" si="5">AI6</f>
        <v>SALDO DE LA DEUDA</v>
      </c>
      <c r="AP6" s="127"/>
      <c r="AQ6" s="127" t="s">
        <v>142</v>
      </c>
      <c r="AR6" s="131" t="str">
        <f>AL6</f>
        <v>CUOTA A PAGAR</v>
      </c>
      <c r="AS6" s="131" t="str">
        <f t="shared" ref="AS6" si="6">AM6</f>
        <v>ABONO A CAPITAL</v>
      </c>
      <c r="AT6" s="131" t="str">
        <f t="shared" ref="AT6" si="7">AN6</f>
        <v>INTERESES</v>
      </c>
      <c r="AU6" s="131" t="str">
        <f t="shared" ref="AU6" si="8">AO6</f>
        <v>SALDO DE LA DEUDA</v>
      </c>
    </row>
    <row r="7" spans="2:47" x14ac:dyDescent="0.25">
      <c r="B7" s="16"/>
      <c r="F7" s="106"/>
      <c r="G7" s="106"/>
      <c r="H7" s="106"/>
      <c r="I7" s="106"/>
      <c r="J7" s="106"/>
      <c r="M7" s="131"/>
      <c r="N7" s="131"/>
      <c r="O7" s="131"/>
      <c r="P7" s="131"/>
      <c r="Q7" s="131"/>
      <c r="S7" s="131"/>
      <c r="T7" s="131"/>
      <c r="U7" s="131"/>
      <c r="V7" s="131"/>
      <c r="Y7" s="131"/>
      <c r="Z7" s="131"/>
      <c r="AA7" s="131"/>
      <c r="AB7" s="131"/>
      <c r="AE7" s="127"/>
      <c r="AF7" s="131"/>
      <c r="AG7" s="131"/>
      <c r="AH7" s="131"/>
      <c r="AI7" s="131"/>
      <c r="AJ7" s="131"/>
      <c r="AK7" s="127"/>
      <c r="AL7" s="131"/>
      <c r="AM7" s="131"/>
      <c r="AN7" s="131"/>
      <c r="AO7" s="131"/>
      <c r="AP7" s="127"/>
      <c r="AQ7" s="127"/>
      <c r="AR7" s="131"/>
      <c r="AS7" s="131"/>
      <c r="AT7" s="131"/>
      <c r="AU7" s="131"/>
    </row>
    <row r="8" spans="2:47" ht="31.5" customHeight="1" x14ac:dyDescent="0.25">
      <c r="B8" s="109" t="s">
        <v>148</v>
      </c>
      <c r="C8" s="73" t="s">
        <v>58</v>
      </c>
      <c r="D8" s="73" t="s">
        <v>59</v>
      </c>
      <c r="F8" s="107" t="s">
        <v>65</v>
      </c>
      <c r="G8" s="107" t="s">
        <v>66</v>
      </c>
      <c r="H8" s="107" t="s">
        <v>67</v>
      </c>
      <c r="I8" s="107" t="s">
        <v>68</v>
      </c>
      <c r="J8" s="107" t="s">
        <v>69</v>
      </c>
      <c r="L8" s="127">
        <v>0</v>
      </c>
      <c r="M8" s="132"/>
      <c r="P8" s="133">
        <f>IF(J9="NO SE REQUIERE PRESTAMO",0,J9)</f>
        <v>89440641.000000015</v>
      </c>
      <c r="R8" s="127">
        <v>0</v>
      </c>
      <c r="S8" s="132"/>
      <c r="V8" s="133">
        <f>IF(J9="NO SE REQUIERE PRESTAMO",0,J9)</f>
        <v>89440641.000000015</v>
      </c>
      <c r="X8" s="127">
        <v>0</v>
      </c>
      <c r="Y8" s="132"/>
      <c r="AB8" s="133">
        <f>IF(J9="NO SE REQUIERE PRESTAMO",0,J9)</f>
        <v>89440641.000000015</v>
      </c>
      <c r="AE8" s="127">
        <v>0</v>
      </c>
      <c r="AF8" s="132"/>
      <c r="AG8" s="127"/>
      <c r="AH8" s="127"/>
      <c r="AI8" s="133">
        <f>IF(AC9="NO SE REQUIERE PRESTAMO",0,AC9)</f>
        <v>0</v>
      </c>
      <c r="AJ8" s="127"/>
      <c r="AK8" s="127">
        <v>0</v>
      </c>
      <c r="AL8" s="132"/>
      <c r="AM8" s="127"/>
      <c r="AN8" s="127"/>
      <c r="AO8" s="133">
        <f>AC9</f>
        <v>0</v>
      </c>
      <c r="AP8" s="127"/>
      <c r="AQ8" s="127">
        <v>0</v>
      </c>
      <c r="AR8" s="132"/>
      <c r="AS8" s="127"/>
      <c r="AT8" s="127"/>
      <c r="AU8" s="133">
        <v>0</v>
      </c>
    </row>
    <row r="9" spans="2:47" x14ac:dyDescent="0.25">
      <c r="B9" s="45" t="s">
        <v>57</v>
      </c>
      <c r="C9" s="233"/>
      <c r="D9" s="24">
        <f>('1'!B33/12)*C9</f>
        <v>0</v>
      </c>
      <c r="F9" s="74">
        <v>0</v>
      </c>
      <c r="G9" s="75"/>
      <c r="H9" s="76"/>
      <c r="I9" s="76"/>
      <c r="J9" s="231">
        <f>IF(D21="NO SE REQUIRE PRESTAMO",0,D21)</f>
        <v>89440641.000000015</v>
      </c>
      <c r="L9" s="127">
        <v>1</v>
      </c>
      <c r="M9" s="132">
        <f t="shared" ref="M9:M17" si="9">IF($N$4=43,PMT($L$2,$J$20,$P$8),0)</f>
        <v>-2484182.2811077917</v>
      </c>
      <c r="N9" s="133">
        <f>IF(M9&lt;0,(M9+O9),0)</f>
        <v>-1737571.9796344838</v>
      </c>
      <c r="O9" s="133">
        <f t="shared" ref="O9:O17" si="10">IF(M9=0,0,(P8*$L$2))</f>
        <v>746610.30147330801</v>
      </c>
      <c r="P9" s="132">
        <f>IF(N9=0,0,(P8+N9))</f>
        <v>87703069.020365536</v>
      </c>
      <c r="R9" s="127">
        <v>1</v>
      </c>
      <c r="S9" s="132">
        <f t="shared" ref="S9:S17" si="11">IF($T$4=36,PMT($L$2,$J$20,$V$8),0)</f>
        <v>0</v>
      </c>
      <c r="T9" s="133">
        <f>IF(S9&lt;0,(S9+U9),0)</f>
        <v>0</v>
      </c>
      <c r="U9" s="133">
        <f t="shared" ref="U9:U17" si="12">IF(S9=0,0,(V8*$L$2))</f>
        <v>0</v>
      </c>
      <c r="V9" s="132">
        <f>IF(T9=0,0,(V8+T9))</f>
        <v>0</v>
      </c>
      <c r="X9" s="127">
        <v>1</v>
      </c>
      <c r="Y9" s="132">
        <f t="shared" ref="Y9:Y17" si="13">IF($Z$4=50,PMT($L$2,$J$20,$AB$8),0)</f>
        <v>0</v>
      </c>
      <c r="Z9" s="133">
        <f>IF(Y9&lt;0,(Y9+AA9),0)</f>
        <v>0</v>
      </c>
      <c r="AA9" s="133">
        <f t="shared" ref="AA9:AA17" si="14">IF(Y9=0,0,(AB8*$L$2))</f>
        <v>0</v>
      </c>
      <c r="AB9" s="132">
        <f>IF(Z9=0,0,(AB8+Z9))</f>
        <v>0</v>
      </c>
      <c r="AE9" s="127">
        <v>1</v>
      </c>
      <c r="AF9" s="132">
        <v>0</v>
      </c>
      <c r="AG9" s="133">
        <v>0</v>
      </c>
      <c r="AH9" s="133">
        <v>0</v>
      </c>
      <c r="AI9" s="132">
        <v>0</v>
      </c>
      <c r="AJ9" s="127"/>
      <c r="AK9" s="127">
        <v>1</v>
      </c>
      <c r="AL9" s="132">
        <v>0</v>
      </c>
      <c r="AM9" s="133">
        <v>0</v>
      </c>
      <c r="AN9" s="133">
        <v>0</v>
      </c>
      <c r="AO9" s="132">
        <v>0</v>
      </c>
      <c r="AP9" s="127"/>
      <c r="AQ9" s="127">
        <v>1</v>
      </c>
      <c r="AR9" s="132">
        <v>0</v>
      </c>
      <c r="AS9" s="133">
        <v>0</v>
      </c>
      <c r="AT9" s="133">
        <v>0</v>
      </c>
      <c r="AU9" s="132">
        <v>0</v>
      </c>
    </row>
    <row r="10" spans="2:47" x14ac:dyDescent="0.25">
      <c r="B10" s="45" t="s">
        <v>61</v>
      </c>
      <c r="C10" s="233">
        <v>1</v>
      </c>
      <c r="D10" s="240">
        <f>('2'!C24/12)*C10</f>
        <v>13918144</v>
      </c>
      <c r="F10" s="74">
        <f>'1'!B31</f>
        <v>2019</v>
      </c>
      <c r="G10" s="77">
        <f>IF($J$21="TIPO 2",(SUM(M9:M21)+SUM(S9:S21)+SUM(Y9:Y21)),IF($J$21="TIPO 1",(SUM(AF9:AF21)+SUM(AL9:AL21)+SUM(AR9:AR21))))</f>
        <v>0</v>
      </c>
      <c r="H10" s="77">
        <f t="shared" ref="H10" si="15">IF($J$21="TIPO 2",(SUM(N9:N21)+SUM(T9:T21)+SUM(Z9:Z21)),IF($J$21="TIPO 1",(SUM(AG9:AG21)+SUM(AM9:AM21)+SUM(AS9:AS21))))</f>
        <v>0</v>
      </c>
      <c r="I10" s="77">
        <f>IF($J$21="TIPO 2",(SUM(O9:O21)+SUM(U9:U21)+SUM(AA9:AA21)),IF($J$21="TIPO 1",(SUM(AH9:AH21)+SUM(AN9:AN21)+SUM(AT9:AT21))))</f>
        <v>0</v>
      </c>
      <c r="J10" s="77">
        <f>IF(J9="NO SE REQUIERE PRESTAMO",0,J9+H10)</f>
        <v>89440641.000000015</v>
      </c>
      <c r="L10" s="127">
        <f>L9+1</f>
        <v>2</v>
      </c>
      <c r="M10" s="132">
        <f t="shared" si="9"/>
        <v>-2484182.2811077917</v>
      </c>
      <c r="N10" s="133">
        <f t="shared" ref="N10:N52" si="16">IF(M10&lt;0,(M10+O10),0)</f>
        <v>-1752076.4501418727</v>
      </c>
      <c r="O10" s="133">
        <f t="shared" si="10"/>
        <v>732105.83096591895</v>
      </c>
      <c r="P10" s="132">
        <f t="shared" ref="P10:P52" si="17">P9+N10</f>
        <v>85950992.570223659</v>
      </c>
      <c r="R10" s="127">
        <f>R9+1</f>
        <v>2</v>
      </c>
      <c r="S10" s="132">
        <f t="shared" si="11"/>
        <v>0</v>
      </c>
      <c r="T10" s="133">
        <f t="shared" ref="T10:T45" si="18">IF(S10&lt;0,(S10+U10),0)</f>
        <v>0</v>
      </c>
      <c r="U10" s="133">
        <f t="shared" si="12"/>
        <v>0</v>
      </c>
      <c r="V10" s="132">
        <f t="shared" ref="V10:V45" si="19">V9+T10</f>
        <v>0</v>
      </c>
      <c r="X10" s="127">
        <f>X9+1</f>
        <v>2</v>
      </c>
      <c r="Y10" s="132">
        <f t="shared" si="13"/>
        <v>0</v>
      </c>
      <c r="Z10" s="133">
        <f t="shared" ref="Z10:Z59" si="20">IF(Y10&lt;0,(Y10+AA10),0)</f>
        <v>0</v>
      </c>
      <c r="AA10" s="133">
        <f t="shared" si="14"/>
        <v>0</v>
      </c>
      <c r="AB10" s="132">
        <f t="shared" ref="AB10:AB59" si="21">AB9+Z10</f>
        <v>0</v>
      </c>
      <c r="AE10" s="127">
        <f>AE9+1</f>
        <v>2</v>
      </c>
      <c r="AF10" s="132">
        <v>0</v>
      </c>
      <c r="AG10" s="133">
        <v>0</v>
      </c>
      <c r="AH10" s="133">
        <v>0</v>
      </c>
      <c r="AI10" s="132">
        <v>0</v>
      </c>
      <c r="AJ10" s="127"/>
      <c r="AK10" s="127">
        <f>AK9+1</f>
        <v>2</v>
      </c>
      <c r="AL10" s="132">
        <v>0</v>
      </c>
      <c r="AM10" s="133">
        <v>0</v>
      </c>
      <c r="AN10" s="133">
        <v>0</v>
      </c>
      <c r="AO10" s="132">
        <v>0</v>
      </c>
      <c r="AP10" s="127"/>
      <c r="AQ10" s="127">
        <f>AQ9+1</f>
        <v>2</v>
      </c>
      <c r="AR10" s="132">
        <v>0</v>
      </c>
      <c r="AS10" s="133">
        <v>0</v>
      </c>
      <c r="AT10" s="133">
        <v>0</v>
      </c>
      <c r="AU10" s="132">
        <v>0</v>
      </c>
    </row>
    <row r="11" spans="2:47" x14ac:dyDescent="0.25">
      <c r="B11" s="45" t="s">
        <v>62</v>
      </c>
      <c r="C11" s="233">
        <v>1</v>
      </c>
      <c r="D11" s="240">
        <f>('2'!C26/12)*C11</f>
        <v>500000</v>
      </c>
      <c r="F11" s="74">
        <f>'1'!C31</f>
        <v>2020</v>
      </c>
      <c r="G11" s="77">
        <f>IF($J$21="TIPO 2",(SUM(M22:M33)+SUM(S22:S33)+SUM(Y22:Y33)),IF($J$21="TIPO 1",(SUM(AF22:AF33)+SUM(AL22:AL33)+SUM(AR22:AR33))))</f>
        <v>-33077252.910182759</v>
      </c>
      <c r="H11" s="77">
        <f t="shared" ref="H11:I11" si="22">IF($J$21="TIPO 2",(SUM(N22:N33)+SUM(T22:T33)+SUM(Z22:Z33)),IF($J$21="TIPO 1",(SUM(AG22:AG33)+SUM(AM22:AM33)+SUM(AS22:AS33))))</f>
        <v>-25256617.371975094</v>
      </c>
      <c r="I11" s="77">
        <f t="shared" si="22"/>
        <v>7820635.5382076725</v>
      </c>
      <c r="J11" s="77">
        <f>J10+H11</f>
        <v>64184023.628024921</v>
      </c>
      <c r="L11" s="127">
        <f t="shared" ref="L11:L55" si="23">L10+1</f>
        <v>3</v>
      </c>
      <c r="M11" s="132">
        <f t="shared" si="9"/>
        <v>-2484182.2811077917</v>
      </c>
      <c r="N11" s="133">
        <f t="shared" si="16"/>
        <v>-1766701.9974548076</v>
      </c>
      <c r="O11" s="133">
        <f t="shared" si="10"/>
        <v>717480.28365298419</v>
      </c>
      <c r="P11" s="132">
        <f t="shared" si="17"/>
        <v>84184290.572768852</v>
      </c>
      <c r="R11" s="127">
        <f t="shared" ref="R11:R55" si="24">R10+1</f>
        <v>3</v>
      </c>
      <c r="S11" s="132">
        <f t="shared" si="11"/>
        <v>0</v>
      </c>
      <c r="T11" s="133">
        <f t="shared" si="18"/>
        <v>0</v>
      </c>
      <c r="U11" s="133">
        <f t="shared" si="12"/>
        <v>0</v>
      </c>
      <c r="V11" s="132">
        <f t="shared" si="19"/>
        <v>0</v>
      </c>
      <c r="X11" s="127">
        <f t="shared" ref="X11:X55" si="25">X10+1</f>
        <v>3</v>
      </c>
      <c r="Y11" s="132">
        <f t="shared" si="13"/>
        <v>0</v>
      </c>
      <c r="Z11" s="133">
        <f t="shared" si="20"/>
        <v>0</v>
      </c>
      <c r="AA11" s="133">
        <f t="shared" si="14"/>
        <v>0</v>
      </c>
      <c r="AB11" s="132">
        <f t="shared" si="21"/>
        <v>0</v>
      </c>
      <c r="AE11" s="127">
        <f t="shared" ref="AE11:AE55" si="26">AE10+1</f>
        <v>3</v>
      </c>
      <c r="AF11" s="132">
        <v>0</v>
      </c>
      <c r="AG11" s="133">
        <v>0</v>
      </c>
      <c r="AH11" s="133">
        <v>0</v>
      </c>
      <c r="AI11" s="132">
        <v>0</v>
      </c>
      <c r="AJ11" s="127"/>
      <c r="AK11" s="127">
        <f t="shared" ref="AK11:AK55" si="27">AK10+1</f>
        <v>3</v>
      </c>
      <c r="AL11" s="132">
        <v>0</v>
      </c>
      <c r="AM11" s="133">
        <v>0</v>
      </c>
      <c r="AN11" s="133">
        <v>0</v>
      </c>
      <c r="AO11" s="132">
        <v>0</v>
      </c>
      <c r="AP11" s="127"/>
      <c r="AQ11" s="127">
        <f t="shared" ref="AQ11:AQ55" si="28">AQ10+1</f>
        <v>3</v>
      </c>
      <c r="AR11" s="132">
        <v>0</v>
      </c>
      <c r="AS11" s="133">
        <f t="shared" ref="AS11" si="29">IF(AR11&lt;0,(AR11+AT11),0)</f>
        <v>0</v>
      </c>
      <c r="AT11" s="133">
        <v>0</v>
      </c>
      <c r="AU11" s="132">
        <v>0</v>
      </c>
    </row>
    <row r="12" spans="2:47" x14ac:dyDescent="0.25">
      <c r="B12" s="45" t="s">
        <v>36</v>
      </c>
      <c r="C12" s="233">
        <v>1</v>
      </c>
      <c r="D12" s="240">
        <f>('2'!F32/12)*C12</f>
        <v>75987864.666666672</v>
      </c>
      <c r="F12" s="74">
        <f>'1'!D31</f>
        <v>2021</v>
      </c>
      <c r="G12" s="77">
        <f>IF($J$21="TIPO 2",(SUM(M34:M45)+SUM(S34:S45)+SUM(Y34:Y45)),IF($J$21="TIPO 1",(SUM(AF34:AF45)+SUM(AL34:AL45)+SUM(AR34:AR45))))</f>
        <v>-33077252.910182759</v>
      </c>
      <c r="H12" s="77">
        <f t="shared" ref="H12:I12" si="30">IF($J$21="TIPO 2",(SUM(N34:N45)+SUM(T34:T45)+SUM(Z34:Z45)),IF($J$21="TIPO 1",(SUM(AG34:AG45)+SUM(AM34:AM45)+SUM(AS34:AS45))))</f>
        <v>-27906036.534295302</v>
      </c>
      <c r="I12" s="77">
        <f t="shared" si="30"/>
        <v>5171216.3758874675</v>
      </c>
      <c r="J12" s="77">
        <f>J11+H12</f>
        <v>36277987.093729615</v>
      </c>
      <c r="L12" s="127">
        <f t="shared" si="23"/>
        <v>4</v>
      </c>
      <c r="M12" s="132">
        <f t="shared" si="9"/>
        <v>-2484182.2811077917</v>
      </c>
      <c r="N12" s="133">
        <f t="shared" si="16"/>
        <v>-1781449.6322680824</v>
      </c>
      <c r="O12" s="133">
        <f t="shared" si="10"/>
        <v>702732.64883970923</v>
      </c>
      <c r="P12" s="132">
        <f t="shared" si="17"/>
        <v>82402840.940500766</v>
      </c>
      <c r="R12" s="127">
        <f t="shared" si="24"/>
        <v>4</v>
      </c>
      <c r="S12" s="132">
        <f t="shared" si="11"/>
        <v>0</v>
      </c>
      <c r="T12" s="133">
        <f t="shared" si="18"/>
        <v>0</v>
      </c>
      <c r="U12" s="133">
        <f t="shared" si="12"/>
        <v>0</v>
      </c>
      <c r="V12" s="132">
        <f t="shared" si="19"/>
        <v>0</v>
      </c>
      <c r="X12" s="127">
        <f t="shared" si="25"/>
        <v>4</v>
      </c>
      <c r="Y12" s="132">
        <f t="shared" si="13"/>
        <v>0</v>
      </c>
      <c r="Z12" s="133">
        <f t="shared" si="20"/>
        <v>0</v>
      </c>
      <c r="AA12" s="133">
        <f t="shared" si="14"/>
        <v>0</v>
      </c>
      <c r="AB12" s="132">
        <f t="shared" si="21"/>
        <v>0</v>
      </c>
      <c r="AE12" s="127">
        <f t="shared" si="26"/>
        <v>4</v>
      </c>
      <c r="AF12" s="132">
        <v>0</v>
      </c>
      <c r="AG12" s="133">
        <v>0</v>
      </c>
      <c r="AH12" s="133">
        <v>0</v>
      </c>
      <c r="AI12" s="132">
        <v>0</v>
      </c>
      <c r="AJ12" s="127"/>
      <c r="AK12" s="127">
        <f t="shared" si="27"/>
        <v>4</v>
      </c>
      <c r="AL12" s="132">
        <v>0</v>
      </c>
      <c r="AM12" s="133">
        <v>0</v>
      </c>
      <c r="AN12" s="133">
        <v>0</v>
      </c>
      <c r="AO12" s="132">
        <v>0</v>
      </c>
      <c r="AP12" s="127"/>
      <c r="AQ12" s="127">
        <f t="shared" si="28"/>
        <v>4</v>
      </c>
      <c r="AR12" s="132">
        <v>0</v>
      </c>
      <c r="AS12" s="133">
        <v>0</v>
      </c>
      <c r="AT12" s="133">
        <v>0</v>
      </c>
      <c r="AU12" s="132">
        <v>0</v>
      </c>
    </row>
    <row r="13" spans="2:47" ht="16.5" thickBot="1" x14ac:dyDescent="0.3">
      <c r="B13" s="78" t="s">
        <v>9</v>
      </c>
      <c r="C13" s="53"/>
      <c r="D13" s="79">
        <f>SUM(D9:D12)</f>
        <v>90406008.666666672</v>
      </c>
      <c r="F13" s="74">
        <f>'1'!E31</f>
        <v>2022</v>
      </c>
      <c r="G13" s="77">
        <f>IF($J$21="TIPO 2",(SUM(M46:M57)+SUM(S46:S57)+SUM(Y46:Y57)),IF($J$21="TIPO 1",(SUM(AF46:AF57)+SUM(AL46:AL57)+SUM(AR46:AR57))))</f>
        <v>-33077252.910182759</v>
      </c>
      <c r="H13" s="77">
        <f t="shared" ref="H13:I13" si="31">IF($J$21="TIPO 2",(SUM(N46:N57)+SUM(T46:T57)+SUM(Z46:Z57)),IF($J$21="TIPO 1",(SUM(AG46:AG57)+SUM(AM46:AM57)+SUM(AS46:AS57))))</f>
        <v>-30833379.766742893</v>
      </c>
      <c r="I13" s="77">
        <f t="shared" si="31"/>
        <v>2243873.1434398741</v>
      </c>
      <c r="J13" s="77">
        <f>J12+H13</f>
        <v>5444607.3269867226</v>
      </c>
      <c r="L13" s="127">
        <f t="shared" si="23"/>
        <v>5</v>
      </c>
      <c r="M13" s="132">
        <f t="shared" si="9"/>
        <v>-2484182.2811077917</v>
      </c>
      <c r="N13" s="133">
        <f t="shared" si="16"/>
        <v>-1796320.3737133187</v>
      </c>
      <c r="O13" s="133">
        <f t="shared" si="10"/>
        <v>687861.90739447309</v>
      </c>
      <c r="P13" s="132">
        <f t="shared" si="17"/>
        <v>80606520.566787452</v>
      </c>
      <c r="R13" s="127">
        <f t="shared" si="24"/>
        <v>5</v>
      </c>
      <c r="S13" s="132">
        <f t="shared" si="11"/>
        <v>0</v>
      </c>
      <c r="T13" s="133">
        <f t="shared" si="18"/>
        <v>0</v>
      </c>
      <c r="U13" s="133">
        <f t="shared" si="12"/>
        <v>0</v>
      </c>
      <c r="V13" s="132">
        <f t="shared" si="19"/>
        <v>0</v>
      </c>
      <c r="X13" s="127">
        <f t="shared" si="25"/>
        <v>5</v>
      </c>
      <c r="Y13" s="132">
        <f t="shared" si="13"/>
        <v>0</v>
      </c>
      <c r="Z13" s="133">
        <f t="shared" si="20"/>
        <v>0</v>
      </c>
      <c r="AA13" s="133">
        <f t="shared" si="14"/>
        <v>0</v>
      </c>
      <c r="AB13" s="132">
        <f t="shared" si="21"/>
        <v>0</v>
      </c>
      <c r="AE13" s="127">
        <f t="shared" si="26"/>
        <v>5</v>
      </c>
      <c r="AF13" s="132">
        <v>0</v>
      </c>
      <c r="AG13" s="133">
        <v>0</v>
      </c>
      <c r="AH13" s="133">
        <v>0</v>
      </c>
      <c r="AI13" s="132">
        <v>0</v>
      </c>
      <c r="AJ13" s="127"/>
      <c r="AK13" s="127">
        <f t="shared" si="27"/>
        <v>5</v>
      </c>
      <c r="AL13" s="132">
        <v>0</v>
      </c>
      <c r="AM13" s="133">
        <v>0</v>
      </c>
      <c r="AN13" s="133">
        <v>0</v>
      </c>
      <c r="AO13" s="132">
        <v>0</v>
      </c>
      <c r="AP13" s="127"/>
      <c r="AQ13" s="127">
        <f t="shared" si="28"/>
        <v>5</v>
      </c>
      <c r="AR13" s="132">
        <v>0</v>
      </c>
      <c r="AS13" s="133">
        <v>0</v>
      </c>
      <c r="AT13" s="133">
        <v>0</v>
      </c>
      <c r="AU13" s="132">
        <v>0</v>
      </c>
    </row>
    <row r="14" spans="2:47" ht="16.5" thickBot="1" x14ac:dyDescent="0.3">
      <c r="B14" s="120" t="s">
        <v>152</v>
      </c>
      <c r="C14" s="30"/>
      <c r="D14" s="121">
        <f>C4+D13+C5</f>
        <v>179846649.66666669</v>
      </c>
      <c r="F14" s="74">
        <f>'1'!F31</f>
        <v>2023</v>
      </c>
      <c r="G14" s="77">
        <f>IF($J$21="TIPO 2",(SUM(M58:M59)+SUM(S58:S59)+SUM(Y58:Y59)),IF($J$21="TIPO 1",(SUM(AF58:AF59)+SUM(AL58:AL59)+SUM(AR58:AR59))))</f>
        <v>-5512875.4850304611</v>
      </c>
      <c r="H14" s="77">
        <f>IF($J$21="TIPO 2",(SUM(N58:N59)+SUM(T58:T59)+SUM(Z58:Z59)),IF($J$21="TIPO 1",(SUM(AG58:AG59)+SUM(AM58:AM59)+SUM(AS58:AS59))))</f>
        <v>-5444607.3269867431</v>
      </c>
      <c r="I14" s="77">
        <f t="shared" ref="I14" si="32">IF($J$21="TIPO 2",(SUM(O58:O59)+SUM(U58:U59)+SUM(AA58:AA59)),IF($J$21="TIPO 1",(SUM(AH58:AH59)+SUM(AN58:AN59)+SUM(AT58:AT59))))</f>
        <v>68268.158043717704</v>
      </c>
      <c r="J14" s="77">
        <f>J13+H14</f>
        <v>-2.0489096641540527E-8</v>
      </c>
      <c r="L14" s="127">
        <f t="shared" si="23"/>
        <v>6</v>
      </c>
      <c r="M14" s="132">
        <f t="shared" si="9"/>
        <v>-2484182.2811077917</v>
      </c>
      <c r="N14" s="133">
        <f t="shared" si="16"/>
        <v>-1811315.2494293898</v>
      </c>
      <c r="O14" s="133">
        <f t="shared" si="10"/>
        <v>672867.03167840187</v>
      </c>
      <c r="P14" s="132">
        <f t="shared" si="17"/>
        <v>78795205.317358062</v>
      </c>
      <c r="R14" s="127">
        <f t="shared" si="24"/>
        <v>6</v>
      </c>
      <c r="S14" s="132">
        <f t="shared" si="11"/>
        <v>0</v>
      </c>
      <c r="T14" s="133">
        <f t="shared" si="18"/>
        <v>0</v>
      </c>
      <c r="U14" s="133">
        <f t="shared" si="12"/>
        <v>0</v>
      </c>
      <c r="V14" s="132">
        <f t="shared" si="19"/>
        <v>0</v>
      </c>
      <c r="X14" s="127">
        <f t="shared" si="25"/>
        <v>6</v>
      </c>
      <c r="Y14" s="132">
        <f t="shared" si="13"/>
        <v>0</v>
      </c>
      <c r="Z14" s="133">
        <f t="shared" si="20"/>
        <v>0</v>
      </c>
      <c r="AA14" s="133">
        <f t="shared" si="14"/>
        <v>0</v>
      </c>
      <c r="AB14" s="132">
        <f t="shared" si="21"/>
        <v>0</v>
      </c>
      <c r="AE14" s="127">
        <f t="shared" si="26"/>
        <v>6</v>
      </c>
      <c r="AF14" s="132">
        <v>0</v>
      </c>
      <c r="AG14" s="133">
        <v>0</v>
      </c>
      <c r="AH14" s="133">
        <v>0</v>
      </c>
      <c r="AI14" s="132">
        <v>0</v>
      </c>
      <c r="AJ14" s="127"/>
      <c r="AK14" s="127">
        <f t="shared" si="27"/>
        <v>6</v>
      </c>
      <c r="AL14" s="132">
        <v>0</v>
      </c>
      <c r="AM14" s="133">
        <v>0</v>
      </c>
      <c r="AN14" s="133">
        <v>0</v>
      </c>
      <c r="AO14" s="132">
        <v>0</v>
      </c>
      <c r="AP14" s="127"/>
      <c r="AQ14" s="127">
        <f t="shared" si="28"/>
        <v>6</v>
      </c>
      <c r="AR14" s="132">
        <v>0</v>
      </c>
      <c r="AS14" s="133">
        <v>0</v>
      </c>
      <c r="AT14" s="133">
        <v>0</v>
      </c>
      <c r="AU14" s="132">
        <v>0</v>
      </c>
    </row>
    <row r="15" spans="2:47" ht="15.75" thickBot="1" x14ac:dyDescent="0.3">
      <c r="L15" s="127">
        <f t="shared" si="23"/>
        <v>7</v>
      </c>
      <c r="M15" s="132">
        <f t="shared" si="9"/>
        <v>-2484182.2811077917</v>
      </c>
      <c r="N15" s="133">
        <f t="shared" si="16"/>
        <v>-1826435.295633438</v>
      </c>
      <c r="O15" s="133">
        <f t="shared" si="10"/>
        <v>657746.98547435377</v>
      </c>
      <c r="P15" s="132">
        <f t="shared" si="17"/>
        <v>76968770.021724626</v>
      </c>
      <c r="R15" s="127">
        <f t="shared" si="24"/>
        <v>7</v>
      </c>
      <c r="S15" s="132">
        <f t="shared" si="11"/>
        <v>0</v>
      </c>
      <c r="T15" s="133">
        <f t="shared" si="18"/>
        <v>0</v>
      </c>
      <c r="U15" s="133">
        <f t="shared" si="12"/>
        <v>0</v>
      </c>
      <c r="V15" s="132">
        <f t="shared" si="19"/>
        <v>0</v>
      </c>
      <c r="X15" s="127">
        <f t="shared" si="25"/>
        <v>7</v>
      </c>
      <c r="Y15" s="132">
        <f t="shared" si="13"/>
        <v>0</v>
      </c>
      <c r="Z15" s="133">
        <f t="shared" si="20"/>
        <v>0</v>
      </c>
      <c r="AA15" s="133">
        <f t="shared" si="14"/>
        <v>0</v>
      </c>
      <c r="AB15" s="132">
        <f t="shared" si="21"/>
        <v>0</v>
      </c>
      <c r="AE15" s="127">
        <f t="shared" si="26"/>
        <v>7</v>
      </c>
      <c r="AF15" s="132">
        <v>0</v>
      </c>
      <c r="AG15" s="133">
        <v>0</v>
      </c>
      <c r="AH15" s="133">
        <v>0</v>
      </c>
      <c r="AI15" s="132">
        <v>0</v>
      </c>
      <c r="AJ15" s="127"/>
      <c r="AK15" s="127">
        <f t="shared" si="27"/>
        <v>7</v>
      </c>
      <c r="AL15" s="132">
        <v>0</v>
      </c>
      <c r="AM15" s="133">
        <v>0</v>
      </c>
      <c r="AN15" s="133">
        <v>0</v>
      </c>
      <c r="AO15" s="132">
        <v>0</v>
      </c>
      <c r="AP15" s="127"/>
      <c r="AQ15" s="127">
        <f t="shared" si="28"/>
        <v>7</v>
      </c>
      <c r="AR15" s="132">
        <v>0</v>
      </c>
      <c r="AS15" s="133">
        <v>0</v>
      </c>
      <c r="AT15" s="133">
        <v>0</v>
      </c>
      <c r="AU15" s="132">
        <v>0</v>
      </c>
    </row>
    <row r="16" spans="2:47" ht="15.75" x14ac:dyDescent="0.25">
      <c r="B16" s="111" t="s">
        <v>154</v>
      </c>
      <c r="C16" s="112"/>
      <c r="D16" s="113">
        <f>D13</f>
        <v>90406008.666666672</v>
      </c>
      <c r="F16" s="124" t="s">
        <v>158</v>
      </c>
      <c r="G16" s="124"/>
      <c r="H16" s="124"/>
      <c r="I16" s="123">
        <f>IF(AND(D16=0,D17&gt;1),50,IF(AND(D16&gt;1,D17=0),36,IF(AND(D16&gt;1,D17&gt;1),43,IF(AND(D16=0,D17=0),0))))</f>
        <v>43</v>
      </c>
      <c r="L16" s="127">
        <f t="shared" si="23"/>
        <v>8</v>
      </c>
      <c r="M16" s="132">
        <f t="shared" si="9"/>
        <v>-2484182.2811077917</v>
      </c>
      <c r="N16" s="133">
        <f t="shared" si="16"/>
        <v>-1841681.5571924797</v>
      </c>
      <c r="O16" s="133">
        <f t="shared" si="10"/>
        <v>642500.72391531186</v>
      </c>
      <c r="P16" s="132">
        <f t="shared" si="17"/>
        <v>75127088.464532152</v>
      </c>
      <c r="R16" s="127">
        <f t="shared" si="24"/>
        <v>8</v>
      </c>
      <c r="S16" s="132">
        <f t="shared" si="11"/>
        <v>0</v>
      </c>
      <c r="T16" s="133">
        <f t="shared" si="18"/>
        <v>0</v>
      </c>
      <c r="U16" s="133">
        <f t="shared" si="12"/>
        <v>0</v>
      </c>
      <c r="V16" s="132">
        <f t="shared" si="19"/>
        <v>0</v>
      </c>
      <c r="X16" s="127">
        <f t="shared" si="25"/>
        <v>8</v>
      </c>
      <c r="Y16" s="132">
        <f t="shared" si="13"/>
        <v>0</v>
      </c>
      <c r="Z16" s="133">
        <f t="shared" si="20"/>
        <v>0</v>
      </c>
      <c r="AA16" s="133">
        <f t="shared" si="14"/>
        <v>0</v>
      </c>
      <c r="AB16" s="132">
        <f t="shared" si="21"/>
        <v>0</v>
      </c>
      <c r="AE16" s="127">
        <f t="shared" si="26"/>
        <v>8</v>
      </c>
      <c r="AF16" s="132">
        <v>0</v>
      </c>
      <c r="AG16" s="133">
        <v>0</v>
      </c>
      <c r="AH16" s="133">
        <v>0</v>
      </c>
      <c r="AI16" s="132">
        <v>0</v>
      </c>
      <c r="AJ16" s="127"/>
      <c r="AK16" s="127">
        <f t="shared" si="27"/>
        <v>8</v>
      </c>
      <c r="AL16" s="132">
        <v>0</v>
      </c>
      <c r="AM16" s="133">
        <v>0</v>
      </c>
      <c r="AN16" s="133">
        <v>0</v>
      </c>
      <c r="AO16" s="132">
        <v>0</v>
      </c>
      <c r="AP16" s="127"/>
      <c r="AQ16" s="127">
        <f t="shared" si="28"/>
        <v>8</v>
      </c>
      <c r="AR16" s="132">
        <v>0</v>
      </c>
      <c r="AS16" s="133">
        <v>0</v>
      </c>
      <c r="AT16" s="133">
        <v>0</v>
      </c>
      <c r="AU16" s="132">
        <v>0</v>
      </c>
    </row>
    <row r="17" spans="2:47" ht="16.5" thickBot="1" x14ac:dyDescent="0.3">
      <c r="B17" s="114" t="s">
        <v>155</v>
      </c>
      <c r="C17" s="115"/>
      <c r="D17" s="116">
        <f>IF(D4="SI",C4,0)</f>
        <v>89440641</v>
      </c>
      <c r="L17" s="127">
        <f t="shared" si="23"/>
        <v>9</v>
      </c>
      <c r="M17" s="132">
        <f t="shared" si="9"/>
        <v>-2484182.2811077917</v>
      </c>
      <c r="N17" s="133">
        <f t="shared" si="16"/>
        <v>-1857055.0876956133</v>
      </c>
      <c r="O17" s="133">
        <f t="shared" si="10"/>
        <v>627127.19341217843</v>
      </c>
      <c r="P17" s="132">
        <f t="shared" si="17"/>
        <v>73270033.376836538</v>
      </c>
      <c r="R17" s="127">
        <f t="shared" si="24"/>
        <v>9</v>
      </c>
      <c r="S17" s="132">
        <f t="shared" si="11"/>
        <v>0</v>
      </c>
      <c r="T17" s="133">
        <f t="shared" si="18"/>
        <v>0</v>
      </c>
      <c r="U17" s="133">
        <f t="shared" si="12"/>
        <v>0</v>
      </c>
      <c r="V17" s="132">
        <f t="shared" si="19"/>
        <v>0</v>
      </c>
      <c r="X17" s="127">
        <f t="shared" si="25"/>
        <v>9</v>
      </c>
      <c r="Y17" s="132">
        <f t="shared" si="13"/>
        <v>0</v>
      </c>
      <c r="Z17" s="133">
        <f t="shared" si="20"/>
        <v>0</v>
      </c>
      <c r="AA17" s="133">
        <f t="shared" si="14"/>
        <v>0</v>
      </c>
      <c r="AB17" s="132">
        <f t="shared" si="21"/>
        <v>0</v>
      </c>
      <c r="AE17" s="127">
        <f t="shared" si="26"/>
        <v>9</v>
      </c>
      <c r="AF17" s="132">
        <v>0</v>
      </c>
      <c r="AG17" s="133">
        <v>0</v>
      </c>
      <c r="AH17" s="133">
        <v>0</v>
      </c>
      <c r="AI17" s="132">
        <v>0</v>
      </c>
      <c r="AJ17" s="127"/>
      <c r="AK17" s="127">
        <f t="shared" si="27"/>
        <v>9</v>
      </c>
      <c r="AL17" s="132">
        <v>0</v>
      </c>
      <c r="AM17" s="133">
        <v>0</v>
      </c>
      <c r="AN17" s="133">
        <v>0</v>
      </c>
      <c r="AO17" s="132">
        <v>0</v>
      </c>
      <c r="AP17" s="127"/>
      <c r="AQ17" s="127">
        <f t="shared" si="28"/>
        <v>9</v>
      </c>
      <c r="AR17" s="132">
        <v>0</v>
      </c>
      <c r="AS17" s="133">
        <v>0</v>
      </c>
      <c r="AT17" s="133">
        <v>0</v>
      </c>
      <c r="AU17" s="132">
        <v>0</v>
      </c>
    </row>
    <row r="18" spans="2:47" ht="16.5" thickBot="1" x14ac:dyDescent="0.3">
      <c r="B18" s="45"/>
      <c r="D18" s="69"/>
      <c r="F18" s="124" t="s">
        <v>159</v>
      </c>
      <c r="G18" s="124"/>
      <c r="H18" s="124"/>
      <c r="I18" s="256" t="str">
        <f>IF(I16=36,"SOLO PARA CAPITAL DE TRABAJO",IF(I16=50,"SOLO PARA INVERSIONES FIJAS",IF(I16=43,"PARA CAPITAL DE TRABAJO E INV FIJAS",IF(I16=0,"N.A"))))</f>
        <v>PARA CAPITAL DE TRABAJO E INV FIJAS</v>
      </c>
      <c r="J18" s="257"/>
      <c r="K18" s="258"/>
      <c r="M18" s="132"/>
      <c r="N18" s="133"/>
      <c r="O18" s="133"/>
      <c r="P18" s="132"/>
      <c r="S18" s="132"/>
      <c r="T18" s="133"/>
      <c r="U18" s="133"/>
      <c r="V18" s="132"/>
      <c r="Y18" s="132"/>
      <c r="Z18" s="133"/>
      <c r="AA18" s="133"/>
      <c r="AB18" s="132"/>
      <c r="AE18" s="127"/>
      <c r="AF18" s="132"/>
      <c r="AG18" s="133">
        <v>0</v>
      </c>
      <c r="AH18" s="133">
        <v>0</v>
      </c>
      <c r="AI18" s="132">
        <v>0</v>
      </c>
      <c r="AJ18" s="127"/>
      <c r="AK18" s="127"/>
      <c r="AL18" s="132">
        <v>0</v>
      </c>
      <c r="AM18" s="133">
        <v>0</v>
      </c>
      <c r="AN18" s="133"/>
      <c r="AO18" s="132">
        <v>0</v>
      </c>
      <c r="AP18" s="127"/>
      <c r="AQ18" s="127"/>
      <c r="AR18" s="132">
        <v>0</v>
      </c>
      <c r="AS18" s="133">
        <v>0</v>
      </c>
      <c r="AT18" s="133">
        <v>0</v>
      </c>
      <c r="AU18" s="132">
        <v>0</v>
      </c>
    </row>
    <row r="19" spans="2:47" ht="15.75" thickBot="1" x14ac:dyDescent="0.3">
      <c r="B19" s="45" t="s">
        <v>153</v>
      </c>
      <c r="D19" s="125">
        <f>C5</f>
        <v>0</v>
      </c>
      <c r="L19" s="127">
        <f>L17+1</f>
        <v>10</v>
      </c>
      <c r="M19" s="132">
        <f t="shared" ref="M19:M52" si="33">IF($N$4=43,PMT($L$2,$J$20,$P$8),0)</f>
        <v>-2484182.2811077917</v>
      </c>
      <c r="N19" s="133">
        <f t="shared" si="16"/>
        <v>-1872556.9495268245</v>
      </c>
      <c r="O19" s="133">
        <f>IF(M19=0,0,(P17*$L$2))</f>
        <v>611625.33158096729</v>
      </c>
      <c r="P19" s="132">
        <f>P17+N19</f>
        <v>71397476.427309707</v>
      </c>
      <c r="R19" s="127">
        <f>R17+1</f>
        <v>10</v>
      </c>
      <c r="S19" s="132">
        <f t="shared" ref="S19:S45" si="34">IF($T$4=36,PMT($L$2,$J$20,$V$8),0)</f>
        <v>0</v>
      </c>
      <c r="T19" s="133">
        <f t="shared" si="18"/>
        <v>0</v>
      </c>
      <c r="U19" s="133">
        <f>IF(S19=0,0,(V17*$L$2))</f>
        <v>0</v>
      </c>
      <c r="V19" s="132">
        <f>V17+T19</f>
        <v>0</v>
      </c>
      <c r="X19" s="127">
        <f>X17+1</f>
        <v>10</v>
      </c>
      <c r="Y19" s="132">
        <f t="shared" ref="Y19:Y59" si="35">IF($Z$4=50,PMT($L$2,$J$20,$AB$8),0)</f>
        <v>0</v>
      </c>
      <c r="Z19" s="133">
        <f t="shared" si="20"/>
        <v>0</v>
      </c>
      <c r="AA19" s="133">
        <f>IF(Y19=0,0,(AB17*$L$2))</f>
        <v>0</v>
      </c>
      <c r="AB19" s="132">
        <f>AB17+Z19</f>
        <v>0</v>
      </c>
      <c r="AE19" s="127">
        <f>AE17+1</f>
        <v>10</v>
      </c>
      <c r="AF19" s="132">
        <v>0</v>
      </c>
      <c r="AG19" s="133">
        <v>0</v>
      </c>
      <c r="AH19" s="133">
        <v>0</v>
      </c>
      <c r="AI19" s="132">
        <v>0</v>
      </c>
      <c r="AJ19" s="127"/>
      <c r="AK19" s="127">
        <f>AK17+1</f>
        <v>10</v>
      </c>
      <c r="AL19" s="132">
        <v>0</v>
      </c>
      <c r="AM19" s="133">
        <v>0</v>
      </c>
      <c r="AN19" s="133">
        <v>0</v>
      </c>
      <c r="AO19" s="132">
        <v>0</v>
      </c>
      <c r="AP19" s="127"/>
      <c r="AQ19" s="127">
        <f>AQ17+1</f>
        <v>10</v>
      </c>
      <c r="AR19" s="132">
        <v>0</v>
      </c>
      <c r="AS19" s="133">
        <v>0</v>
      </c>
      <c r="AT19" s="133">
        <v>0</v>
      </c>
      <c r="AU19" s="132">
        <v>0</v>
      </c>
    </row>
    <row r="20" spans="2:47" ht="19.5" thickBot="1" x14ac:dyDescent="0.35">
      <c r="B20" s="45" t="s">
        <v>156</v>
      </c>
      <c r="C20" s="117">
        <f>D13</f>
        <v>90406008.666666672</v>
      </c>
      <c r="D20" s="126">
        <f>IF(D4="NO",C4,0)</f>
        <v>0</v>
      </c>
      <c r="F20" s="259" t="str">
        <f>I18</f>
        <v>PARA CAPITAL DE TRABAJO E INV FIJAS</v>
      </c>
      <c r="G20" s="260"/>
      <c r="H20" s="260"/>
      <c r="I20" s="261"/>
      <c r="J20" s="214">
        <f>IF(F20="SOLO PARA CAPITAL DE TRABAJO",36,IF(F20="PARA CAPITAL DE TRABAJO E INV FIJAS",43,IF(F20="SOLO PARA INVERSIONES FIJAS",50,0)))</f>
        <v>43</v>
      </c>
      <c r="L20" s="127">
        <f t="shared" si="23"/>
        <v>11</v>
      </c>
      <c r="M20" s="132">
        <f t="shared" si="33"/>
        <v>-2484182.2811077917</v>
      </c>
      <c r="N20" s="133">
        <f t="shared" si="16"/>
        <v>-1888188.2139384039</v>
      </c>
      <c r="O20" s="133">
        <f t="shared" ref="O20:O52" si="36">IF(M20=0,0,(P19*$L$2))</f>
        <v>595994.06716938771</v>
      </c>
      <c r="P20" s="132">
        <f t="shared" si="17"/>
        <v>69509288.213371307</v>
      </c>
      <c r="R20" s="127">
        <f t="shared" si="24"/>
        <v>11</v>
      </c>
      <c r="S20" s="132">
        <f t="shared" si="34"/>
        <v>0</v>
      </c>
      <c r="T20" s="133">
        <f t="shared" si="18"/>
        <v>0</v>
      </c>
      <c r="U20" s="133">
        <f t="shared" ref="U20:U45" si="37">IF(S20=0,0,(V19*$L$2))</f>
        <v>0</v>
      </c>
      <c r="V20" s="132">
        <f t="shared" si="19"/>
        <v>0</v>
      </c>
      <c r="X20" s="127">
        <f t="shared" si="25"/>
        <v>11</v>
      </c>
      <c r="Y20" s="132">
        <f t="shared" si="35"/>
        <v>0</v>
      </c>
      <c r="Z20" s="133">
        <f t="shared" si="20"/>
        <v>0</v>
      </c>
      <c r="AA20" s="133">
        <f t="shared" ref="AA20:AA59" si="38">IF(Y20=0,0,(AB19*$L$2))</f>
        <v>0</v>
      </c>
      <c r="AB20" s="132">
        <f t="shared" si="21"/>
        <v>0</v>
      </c>
      <c r="AE20" s="127">
        <f t="shared" si="26"/>
        <v>11</v>
      </c>
      <c r="AF20" s="132">
        <v>0</v>
      </c>
      <c r="AG20" s="133">
        <v>0</v>
      </c>
      <c r="AH20" s="133">
        <v>0</v>
      </c>
      <c r="AI20" s="132">
        <v>0</v>
      </c>
      <c r="AJ20" s="127"/>
      <c r="AK20" s="127">
        <f t="shared" si="27"/>
        <v>11</v>
      </c>
      <c r="AL20" s="132">
        <v>0</v>
      </c>
      <c r="AM20" s="133">
        <v>0</v>
      </c>
      <c r="AN20" s="133">
        <v>0</v>
      </c>
      <c r="AO20" s="132">
        <v>0</v>
      </c>
      <c r="AP20" s="127"/>
      <c r="AQ20" s="127">
        <f t="shared" si="28"/>
        <v>11</v>
      </c>
      <c r="AR20" s="132">
        <v>0</v>
      </c>
      <c r="AS20" s="133">
        <f t="shared" ref="AS20:AS22" si="39">IF(AR20&lt;0,(AR20+AT20),0)</f>
        <v>0</v>
      </c>
      <c r="AT20" s="133">
        <v>0</v>
      </c>
      <c r="AU20" s="132">
        <v>0</v>
      </c>
    </row>
    <row r="21" spans="2:47" ht="32.25" customHeight="1" thickBot="1" x14ac:dyDescent="0.4">
      <c r="B21" s="45" t="s">
        <v>63</v>
      </c>
      <c r="D21" s="122">
        <f>IF(AND(D16=0,D17=0),"NO SE REQUIERE PRESTAMO",(D14-D19-(C20+D20)))</f>
        <v>89440641.000000015</v>
      </c>
      <c r="E21" s="118"/>
      <c r="F21" s="253" t="s">
        <v>172</v>
      </c>
      <c r="G21" s="254"/>
      <c r="H21" s="254"/>
      <c r="I21" s="255"/>
      <c r="J21" s="216" t="s">
        <v>173</v>
      </c>
      <c r="L21" s="127">
        <f t="shared" si="23"/>
        <v>12</v>
      </c>
      <c r="M21" s="132">
        <f t="shared" si="33"/>
        <v>-2484182.2811077917</v>
      </c>
      <c r="N21" s="133">
        <f t="shared" si="16"/>
        <v>-1903949.9611249755</v>
      </c>
      <c r="O21" s="133">
        <f t="shared" si="36"/>
        <v>580232.31998281623</v>
      </c>
      <c r="P21" s="132">
        <f t="shared" si="17"/>
        <v>67605338.252246335</v>
      </c>
      <c r="R21" s="127">
        <f t="shared" si="24"/>
        <v>12</v>
      </c>
      <c r="S21" s="132">
        <f t="shared" si="34"/>
        <v>0</v>
      </c>
      <c r="T21" s="133">
        <f t="shared" si="18"/>
        <v>0</v>
      </c>
      <c r="U21" s="133">
        <f t="shared" si="37"/>
        <v>0</v>
      </c>
      <c r="V21" s="132">
        <f t="shared" si="19"/>
        <v>0</v>
      </c>
      <c r="X21" s="127">
        <f t="shared" si="25"/>
        <v>12</v>
      </c>
      <c r="Y21" s="132">
        <f t="shared" si="35"/>
        <v>0</v>
      </c>
      <c r="Z21" s="133">
        <f t="shared" si="20"/>
        <v>0</v>
      </c>
      <c r="AA21" s="133">
        <f t="shared" si="38"/>
        <v>0</v>
      </c>
      <c r="AB21" s="132">
        <f t="shared" si="21"/>
        <v>0</v>
      </c>
      <c r="AE21" s="127">
        <f t="shared" si="26"/>
        <v>12</v>
      </c>
      <c r="AF21" s="132">
        <v>0</v>
      </c>
      <c r="AG21" s="133">
        <v>0</v>
      </c>
      <c r="AH21" s="133">
        <v>0</v>
      </c>
      <c r="AI21" s="212">
        <f>P8</f>
        <v>89440641.000000015</v>
      </c>
      <c r="AJ21" s="127"/>
      <c r="AK21" s="127">
        <f t="shared" si="27"/>
        <v>12</v>
      </c>
      <c r="AL21" s="132">
        <v>0</v>
      </c>
      <c r="AM21" s="133">
        <v>0</v>
      </c>
      <c r="AN21" s="133">
        <v>0</v>
      </c>
      <c r="AO21" s="212">
        <f>V8</f>
        <v>89440641.000000015</v>
      </c>
      <c r="AP21" s="127"/>
      <c r="AQ21" s="127">
        <f t="shared" si="28"/>
        <v>12</v>
      </c>
      <c r="AR21" s="132">
        <v>0</v>
      </c>
      <c r="AS21" s="133">
        <v>0</v>
      </c>
      <c r="AT21" s="133">
        <v>0</v>
      </c>
      <c r="AU21" s="212">
        <f>AB8</f>
        <v>89440641.000000015</v>
      </c>
    </row>
    <row r="22" spans="2:47" ht="32.25" customHeight="1" x14ac:dyDescent="0.25">
      <c r="C22" s="134" t="s">
        <v>157</v>
      </c>
      <c r="D22" s="135" t="str">
        <f>IF(D21&lt;0,"El aporte del emprendedor excede el valor necesario","OK")</f>
        <v>OK</v>
      </c>
      <c r="E22" s="119"/>
      <c r="H22" s="208"/>
      <c r="L22" s="127">
        <f t="shared" si="23"/>
        <v>13</v>
      </c>
      <c r="M22" s="132">
        <f t="shared" si="33"/>
        <v>-2484182.2811077917</v>
      </c>
      <c r="N22" s="133">
        <f t="shared" si="16"/>
        <v>-1919843.280298142</v>
      </c>
      <c r="O22" s="133">
        <f t="shared" si="36"/>
        <v>564339.0008096497</v>
      </c>
      <c r="P22" s="132">
        <f t="shared" si="17"/>
        <v>65685494.971948192</v>
      </c>
      <c r="R22" s="127">
        <f t="shared" si="24"/>
        <v>13</v>
      </c>
      <c r="S22" s="132">
        <f t="shared" si="34"/>
        <v>0</v>
      </c>
      <c r="T22" s="133">
        <f t="shared" si="18"/>
        <v>0</v>
      </c>
      <c r="U22" s="133">
        <f t="shared" si="37"/>
        <v>0</v>
      </c>
      <c r="V22" s="132">
        <f t="shared" si="19"/>
        <v>0</v>
      </c>
      <c r="X22" s="127">
        <f t="shared" si="25"/>
        <v>13</v>
      </c>
      <c r="Y22" s="132">
        <f t="shared" si="35"/>
        <v>0</v>
      </c>
      <c r="Z22" s="133">
        <f t="shared" si="20"/>
        <v>0</v>
      </c>
      <c r="AA22" s="133">
        <f t="shared" si="38"/>
        <v>0</v>
      </c>
      <c r="AB22" s="132">
        <f t="shared" si="21"/>
        <v>0</v>
      </c>
      <c r="AE22" s="127">
        <f t="shared" si="26"/>
        <v>13</v>
      </c>
      <c r="AF22" s="132">
        <f>IF(AND($N$4=43,$J$21="TIPO 1"),PMT($L$2,$AH$4,$P$8),0)</f>
        <v>-2756437.7425152306</v>
      </c>
      <c r="AG22" s="133">
        <f t="shared" ref="AG22" si="40">IF(AF22&lt;0,(AF22+AH22),0)</f>
        <v>-2009827.4410419227</v>
      </c>
      <c r="AH22" s="133">
        <f t="shared" ref="AH22" si="41">IF(AF22=0,0,(AI21*$L$2))</f>
        <v>746610.30147330801</v>
      </c>
      <c r="AI22" s="132">
        <f>IF(AG22=0,0,AI21+AG22)</f>
        <v>87430813.558958098</v>
      </c>
      <c r="AJ22" s="127"/>
      <c r="AK22" s="127">
        <f t="shared" si="27"/>
        <v>13</v>
      </c>
      <c r="AL22" s="132">
        <f>IF(AND($T$4=36,$J$21="TIPO 1"),PMT($L$2,$J$20,$V$8),0)</f>
        <v>0</v>
      </c>
      <c r="AM22" s="133">
        <f t="shared" ref="AM22" si="42">IF(AL22&lt;0,(AL22+AN22),0)</f>
        <v>0</v>
      </c>
      <c r="AN22" s="133">
        <f t="shared" ref="AN22" si="43">IF(AL22=0,0,(AO21*$L$2))</f>
        <v>0</v>
      </c>
      <c r="AO22" s="132">
        <f>IF(AM22=0,0,AO21+AM22)</f>
        <v>0</v>
      </c>
      <c r="AP22" s="127"/>
      <c r="AQ22" s="127">
        <f t="shared" si="28"/>
        <v>13</v>
      </c>
      <c r="AR22" s="132">
        <f>IF(AND($J$20=50,$J$21="TIPO 1"),PMT($L$2,$AT$3,$AB$8),0)</f>
        <v>0</v>
      </c>
      <c r="AS22" s="133">
        <f t="shared" si="39"/>
        <v>0</v>
      </c>
      <c r="AT22" s="133">
        <f t="shared" ref="AT22" si="44">IF(AR22=0,0,(AU21*$L$2))</f>
        <v>0</v>
      </c>
      <c r="AU22" s="132">
        <f>IF(AS22=0,0,AU21+AS22)</f>
        <v>0</v>
      </c>
    </row>
    <row r="23" spans="2:47" x14ac:dyDescent="0.25">
      <c r="D23" s="110"/>
      <c r="L23" s="127">
        <f t="shared" si="23"/>
        <v>14</v>
      </c>
      <c r="M23" s="132">
        <f t="shared" si="33"/>
        <v>-2484182.2811077917</v>
      </c>
      <c r="N23" s="133">
        <f t="shared" si="16"/>
        <v>-1935869.2697617561</v>
      </c>
      <c r="O23" s="133">
        <f t="shared" si="36"/>
        <v>548313.01134603552</v>
      </c>
      <c r="P23" s="132">
        <f t="shared" si="17"/>
        <v>63749625.702186435</v>
      </c>
      <c r="R23" s="127">
        <f t="shared" si="24"/>
        <v>14</v>
      </c>
      <c r="S23" s="132">
        <f t="shared" si="34"/>
        <v>0</v>
      </c>
      <c r="T23" s="133">
        <f t="shared" si="18"/>
        <v>0</v>
      </c>
      <c r="U23" s="133">
        <f t="shared" si="37"/>
        <v>0</v>
      </c>
      <c r="V23" s="132">
        <f t="shared" si="19"/>
        <v>0</v>
      </c>
      <c r="X23" s="127">
        <f t="shared" si="25"/>
        <v>14</v>
      </c>
      <c r="Y23" s="132">
        <f t="shared" si="35"/>
        <v>0</v>
      </c>
      <c r="Z23" s="133">
        <f t="shared" si="20"/>
        <v>0</v>
      </c>
      <c r="AA23" s="133">
        <f t="shared" si="38"/>
        <v>0</v>
      </c>
      <c r="AB23" s="132">
        <f t="shared" si="21"/>
        <v>0</v>
      </c>
      <c r="AE23" s="127">
        <f t="shared" si="26"/>
        <v>14</v>
      </c>
      <c r="AF23" s="132">
        <f t="shared" ref="AF23:AF59" si="45">IF(AND($N$4=43,$J$21="TIPO 1"),PMT($L$2,$AH$4,$P$8),0)</f>
        <v>-2756437.7425152306</v>
      </c>
      <c r="AG23" s="133">
        <f t="shared" ref="AG23:AG59" si="46">IF(AF23&lt;0,(AF23+AH23),0)</f>
        <v>-2026604.5778657254</v>
      </c>
      <c r="AH23" s="133">
        <f t="shared" ref="AH23:AH59" si="47">IF(AF23=0,0,(AI22*$L$2))</f>
        <v>729833.16464950505</v>
      </c>
      <c r="AI23" s="132">
        <f t="shared" ref="AI23:AI59" si="48">AI22+AG23</f>
        <v>85404208.981092378</v>
      </c>
      <c r="AJ23" s="127"/>
      <c r="AK23" s="127">
        <f t="shared" si="27"/>
        <v>14</v>
      </c>
      <c r="AL23" s="132">
        <f t="shared" ref="AL23:AL57" si="49">IF(AND($T$4=36,$J$21="TIPO 1"),PMT($L$2,$J$20,$V$8),0)</f>
        <v>0</v>
      </c>
      <c r="AM23" s="133">
        <f t="shared" ref="AM23:AM57" si="50">IF(AL23&lt;0,(AL23+AN23),0)</f>
        <v>0</v>
      </c>
      <c r="AN23" s="133">
        <f t="shared" ref="AN23:AN57" si="51">IF(AL23=0,0,(AO22*$L$2))</f>
        <v>0</v>
      </c>
      <c r="AO23" s="132">
        <f t="shared" ref="AO23:AO57" si="52">IF(AM23=0,0,AO22+AM23)</f>
        <v>0</v>
      </c>
      <c r="AP23" s="127"/>
      <c r="AQ23" s="127">
        <f t="shared" si="28"/>
        <v>14</v>
      </c>
      <c r="AR23" s="132">
        <f t="shared" ref="AR23:AR59" si="53">IF(AND($J$20=50,$J$21="TIPO 1"),PMT($L$2,$AT$3,$AB$8),0)</f>
        <v>0</v>
      </c>
      <c r="AS23" s="133">
        <f t="shared" ref="AS23:AS59" si="54">IF(AR23&lt;0,(AR23+AT23),0)</f>
        <v>0</v>
      </c>
      <c r="AT23" s="133">
        <f t="shared" ref="AT23:AT59" si="55">IF(AR23=0,0,(AU22*$L$2))</f>
        <v>0</v>
      </c>
      <c r="AU23" s="132">
        <f>IF(AS23=0,0,AU22+AS23)</f>
        <v>0</v>
      </c>
    </row>
    <row r="24" spans="2:47" ht="18.75" x14ac:dyDescent="0.3">
      <c r="F24" s="118"/>
      <c r="L24" s="127">
        <f t="shared" si="23"/>
        <v>15</v>
      </c>
      <c r="M24" s="132">
        <f t="shared" si="33"/>
        <v>-2484182.2811077917</v>
      </c>
      <c r="N24" s="133">
        <f t="shared" si="16"/>
        <v>-1952029.0369878178</v>
      </c>
      <c r="O24" s="133">
        <f t="shared" si="36"/>
        <v>532153.24411997397</v>
      </c>
      <c r="P24" s="132">
        <f t="shared" si="17"/>
        <v>61797596.665198617</v>
      </c>
      <c r="R24" s="127">
        <f t="shared" si="24"/>
        <v>15</v>
      </c>
      <c r="S24" s="132">
        <f t="shared" si="34"/>
        <v>0</v>
      </c>
      <c r="T24" s="133">
        <f t="shared" si="18"/>
        <v>0</v>
      </c>
      <c r="U24" s="133">
        <f t="shared" si="37"/>
        <v>0</v>
      </c>
      <c r="V24" s="132">
        <f t="shared" si="19"/>
        <v>0</v>
      </c>
      <c r="X24" s="127">
        <f t="shared" si="25"/>
        <v>15</v>
      </c>
      <c r="Y24" s="132">
        <f t="shared" si="35"/>
        <v>0</v>
      </c>
      <c r="Z24" s="133">
        <f t="shared" si="20"/>
        <v>0</v>
      </c>
      <c r="AA24" s="133">
        <f t="shared" si="38"/>
        <v>0</v>
      </c>
      <c r="AB24" s="132">
        <f t="shared" si="21"/>
        <v>0</v>
      </c>
      <c r="AE24" s="127">
        <f t="shared" si="26"/>
        <v>15</v>
      </c>
      <c r="AF24" s="132">
        <f t="shared" si="45"/>
        <v>-2756437.7425152306</v>
      </c>
      <c r="AG24" s="133">
        <f t="shared" si="46"/>
        <v>-2043521.762692783</v>
      </c>
      <c r="AH24" s="133">
        <f t="shared" si="47"/>
        <v>712915.97982244741</v>
      </c>
      <c r="AI24" s="132">
        <f t="shared" si="48"/>
        <v>83360687.218399599</v>
      </c>
      <c r="AJ24" s="127"/>
      <c r="AK24" s="127">
        <f t="shared" si="27"/>
        <v>15</v>
      </c>
      <c r="AL24" s="132">
        <f t="shared" si="49"/>
        <v>0</v>
      </c>
      <c r="AM24" s="133">
        <f t="shared" si="50"/>
        <v>0</v>
      </c>
      <c r="AN24" s="133">
        <f t="shared" si="51"/>
        <v>0</v>
      </c>
      <c r="AO24" s="132">
        <f t="shared" si="52"/>
        <v>0</v>
      </c>
      <c r="AP24" s="127"/>
      <c r="AQ24" s="127">
        <f t="shared" si="28"/>
        <v>15</v>
      </c>
      <c r="AR24" s="132">
        <f t="shared" si="53"/>
        <v>0</v>
      </c>
      <c r="AS24" s="133">
        <f t="shared" si="54"/>
        <v>0</v>
      </c>
      <c r="AT24" s="133">
        <f t="shared" si="55"/>
        <v>0</v>
      </c>
      <c r="AU24" s="132">
        <f t="shared" ref="AU24:AU59" si="56">IF(AS24=0,0,AU23+AS24)</f>
        <v>0</v>
      </c>
    </row>
    <row r="25" spans="2:47" ht="15.75" x14ac:dyDescent="0.25">
      <c r="F25" s="119"/>
      <c r="L25" s="127">
        <f t="shared" si="23"/>
        <v>16</v>
      </c>
      <c r="M25" s="132">
        <f t="shared" si="33"/>
        <v>-2484182.2811077917</v>
      </c>
      <c r="N25" s="133">
        <f t="shared" si="16"/>
        <v>-1968323.6986930054</v>
      </c>
      <c r="O25" s="133">
        <f t="shared" si="36"/>
        <v>515858.58241478639</v>
      </c>
      <c r="P25" s="132">
        <f t="shared" si="17"/>
        <v>59829272.966505609</v>
      </c>
      <c r="R25" s="127">
        <f t="shared" si="24"/>
        <v>16</v>
      </c>
      <c r="S25" s="132">
        <f t="shared" si="34"/>
        <v>0</v>
      </c>
      <c r="T25" s="133">
        <f t="shared" si="18"/>
        <v>0</v>
      </c>
      <c r="U25" s="133">
        <f t="shared" si="37"/>
        <v>0</v>
      </c>
      <c r="V25" s="132">
        <f t="shared" si="19"/>
        <v>0</v>
      </c>
      <c r="X25" s="127">
        <f t="shared" si="25"/>
        <v>16</v>
      </c>
      <c r="Y25" s="132">
        <f t="shared" si="35"/>
        <v>0</v>
      </c>
      <c r="Z25" s="133">
        <f t="shared" si="20"/>
        <v>0</v>
      </c>
      <c r="AA25" s="133">
        <f t="shared" si="38"/>
        <v>0</v>
      </c>
      <c r="AB25" s="132">
        <f t="shared" si="21"/>
        <v>0</v>
      </c>
      <c r="AE25" s="127">
        <f t="shared" si="26"/>
        <v>16</v>
      </c>
      <c r="AF25" s="132">
        <f t="shared" si="45"/>
        <v>-2756437.7425152306</v>
      </c>
      <c r="AG25" s="133">
        <f t="shared" si="46"/>
        <v>-2060580.1645809284</v>
      </c>
      <c r="AH25" s="133">
        <f t="shared" si="47"/>
        <v>695857.57793430216</v>
      </c>
      <c r="AI25" s="132">
        <f t="shared" si="48"/>
        <v>81300107.053818673</v>
      </c>
      <c r="AJ25" s="127"/>
      <c r="AK25" s="127">
        <f t="shared" si="27"/>
        <v>16</v>
      </c>
      <c r="AL25" s="132">
        <f t="shared" si="49"/>
        <v>0</v>
      </c>
      <c r="AM25" s="133">
        <f t="shared" si="50"/>
        <v>0</v>
      </c>
      <c r="AN25" s="133">
        <f t="shared" si="51"/>
        <v>0</v>
      </c>
      <c r="AO25" s="132">
        <f t="shared" si="52"/>
        <v>0</v>
      </c>
      <c r="AP25" s="127"/>
      <c r="AQ25" s="127">
        <f t="shared" si="28"/>
        <v>16</v>
      </c>
      <c r="AR25" s="132">
        <f t="shared" si="53"/>
        <v>0</v>
      </c>
      <c r="AS25" s="133">
        <f t="shared" si="54"/>
        <v>0</v>
      </c>
      <c r="AT25" s="133">
        <f t="shared" si="55"/>
        <v>0</v>
      </c>
      <c r="AU25" s="132">
        <f t="shared" si="56"/>
        <v>0</v>
      </c>
    </row>
    <row r="26" spans="2:47" x14ac:dyDescent="0.25">
      <c r="B26" s="66"/>
      <c r="C26" s="66"/>
      <c r="L26" s="127">
        <f t="shared" si="23"/>
        <v>17</v>
      </c>
      <c r="M26" s="132">
        <f t="shared" si="33"/>
        <v>-2484182.2811077917</v>
      </c>
      <c r="N26" s="133">
        <f t="shared" si="16"/>
        <v>-1984754.3809158467</v>
      </c>
      <c r="O26" s="133">
        <f t="shared" si="36"/>
        <v>499427.90019194497</v>
      </c>
      <c r="P26" s="132">
        <f t="shared" si="17"/>
        <v>57844518.585589767</v>
      </c>
      <c r="R26" s="127">
        <f t="shared" si="24"/>
        <v>17</v>
      </c>
      <c r="S26" s="132">
        <f t="shared" si="34"/>
        <v>0</v>
      </c>
      <c r="T26" s="133">
        <f t="shared" si="18"/>
        <v>0</v>
      </c>
      <c r="U26" s="133">
        <f t="shared" si="37"/>
        <v>0</v>
      </c>
      <c r="V26" s="132">
        <f t="shared" si="19"/>
        <v>0</v>
      </c>
      <c r="X26" s="127">
        <f t="shared" si="25"/>
        <v>17</v>
      </c>
      <c r="Y26" s="132">
        <f t="shared" si="35"/>
        <v>0</v>
      </c>
      <c r="Z26" s="133">
        <f t="shared" si="20"/>
        <v>0</v>
      </c>
      <c r="AA26" s="133">
        <f t="shared" si="38"/>
        <v>0</v>
      </c>
      <c r="AB26" s="132">
        <f t="shared" si="21"/>
        <v>0</v>
      </c>
      <c r="AE26" s="127">
        <f t="shared" si="26"/>
        <v>17</v>
      </c>
      <c r="AF26" s="132">
        <f t="shared" si="45"/>
        <v>-2756437.7425152306</v>
      </c>
      <c r="AG26" s="133">
        <f t="shared" si="46"/>
        <v>-2077780.9623467638</v>
      </c>
      <c r="AH26" s="133">
        <f t="shared" si="47"/>
        <v>678656.78016846685</v>
      </c>
      <c r="AI26" s="132">
        <f t="shared" si="48"/>
        <v>79222326.09147191</v>
      </c>
      <c r="AJ26" s="127"/>
      <c r="AK26" s="127">
        <f t="shared" si="27"/>
        <v>17</v>
      </c>
      <c r="AL26" s="132">
        <f t="shared" si="49"/>
        <v>0</v>
      </c>
      <c r="AM26" s="133">
        <f t="shared" si="50"/>
        <v>0</v>
      </c>
      <c r="AN26" s="133">
        <f t="shared" si="51"/>
        <v>0</v>
      </c>
      <c r="AO26" s="132">
        <f t="shared" si="52"/>
        <v>0</v>
      </c>
      <c r="AP26" s="127"/>
      <c r="AQ26" s="127">
        <f t="shared" si="28"/>
        <v>17</v>
      </c>
      <c r="AR26" s="132">
        <f t="shared" si="53"/>
        <v>0</v>
      </c>
      <c r="AS26" s="133">
        <f t="shared" si="54"/>
        <v>0</v>
      </c>
      <c r="AT26" s="133">
        <f t="shared" si="55"/>
        <v>0</v>
      </c>
      <c r="AU26" s="132">
        <f t="shared" si="56"/>
        <v>0</v>
      </c>
    </row>
    <row r="27" spans="2:47" x14ac:dyDescent="0.25">
      <c r="B27" s="66"/>
      <c r="C27" s="66" t="s">
        <v>173</v>
      </c>
      <c r="D27" s="110"/>
      <c r="L27" s="127">
        <f t="shared" si="23"/>
        <v>18</v>
      </c>
      <c r="M27" s="132">
        <f t="shared" si="33"/>
        <v>-2484182.2811077917</v>
      </c>
      <c r="N27" s="133">
        <f t="shared" si="16"/>
        <v>-2001322.2190945339</v>
      </c>
      <c r="O27" s="133">
        <f t="shared" si="36"/>
        <v>482860.06201325788</v>
      </c>
      <c r="P27" s="132">
        <f t="shared" si="17"/>
        <v>55843196.366495229</v>
      </c>
      <c r="R27" s="127">
        <f t="shared" si="24"/>
        <v>18</v>
      </c>
      <c r="S27" s="132">
        <f t="shared" si="34"/>
        <v>0</v>
      </c>
      <c r="T27" s="133">
        <f t="shared" si="18"/>
        <v>0</v>
      </c>
      <c r="U27" s="133">
        <f t="shared" si="37"/>
        <v>0</v>
      </c>
      <c r="V27" s="132">
        <f t="shared" si="19"/>
        <v>0</v>
      </c>
      <c r="X27" s="127">
        <f t="shared" si="25"/>
        <v>18</v>
      </c>
      <c r="Y27" s="132">
        <f t="shared" si="35"/>
        <v>0</v>
      </c>
      <c r="Z27" s="133">
        <f t="shared" si="20"/>
        <v>0</v>
      </c>
      <c r="AA27" s="133">
        <f t="shared" si="38"/>
        <v>0</v>
      </c>
      <c r="AB27" s="132">
        <f t="shared" si="21"/>
        <v>0</v>
      </c>
      <c r="AE27" s="127">
        <f t="shared" si="26"/>
        <v>18</v>
      </c>
      <c r="AF27" s="132">
        <f t="shared" si="45"/>
        <v>-2756437.7425152306</v>
      </c>
      <c r="AG27" s="133">
        <f t="shared" si="46"/>
        <v>-2095125.3446471235</v>
      </c>
      <c r="AH27" s="133">
        <f t="shared" si="47"/>
        <v>661312.39786810719</v>
      </c>
      <c r="AI27" s="132">
        <f t="shared" si="48"/>
        <v>77127200.746824786</v>
      </c>
      <c r="AJ27" s="127"/>
      <c r="AK27" s="127">
        <f t="shared" si="27"/>
        <v>18</v>
      </c>
      <c r="AL27" s="132">
        <f t="shared" si="49"/>
        <v>0</v>
      </c>
      <c r="AM27" s="133">
        <f t="shared" si="50"/>
        <v>0</v>
      </c>
      <c r="AN27" s="133">
        <f t="shared" si="51"/>
        <v>0</v>
      </c>
      <c r="AO27" s="132">
        <f t="shared" si="52"/>
        <v>0</v>
      </c>
      <c r="AP27" s="127"/>
      <c r="AQ27" s="127">
        <f t="shared" si="28"/>
        <v>18</v>
      </c>
      <c r="AR27" s="132">
        <f t="shared" si="53"/>
        <v>0</v>
      </c>
      <c r="AS27" s="133">
        <f t="shared" si="54"/>
        <v>0</v>
      </c>
      <c r="AT27" s="133">
        <f t="shared" si="55"/>
        <v>0</v>
      </c>
      <c r="AU27" s="132">
        <f t="shared" si="56"/>
        <v>0</v>
      </c>
    </row>
    <row r="28" spans="2:47" x14ac:dyDescent="0.25">
      <c r="B28" s="66"/>
      <c r="C28" s="66" t="s">
        <v>174</v>
      </c>
      <c r="L28" s="127">
        <f t="shared" si="23"/>
        <v>19</v>
      </c>
      <c r="M28" s="132">
        <f t="shared" si="33"/>
        <v>-2484182.2811077917</v>
      </c>
      <c r="N28" s="133">
        <f t="shared" si="16"/>
        <v>-2018028.3581453867</v>
      </c>
      <c r="O28" s="133">
        <f t="shared" si="36"/>
        <v>466153.92296240508</v>
      </c>
      <c r="P28" s="132">
        <f t="shared" si="17"/>
        <v>53825168.008349843</v>
      </c>
      <c r="R28" s="127">
        <f t="shared" si="24"/>
        <v>19</v>
      </c>
      <c r="S28" s="132">
        <f t="shared" si="34"/>
        <v>0</v>
      </c>
      <c r="T28" s="133">
        <f t="shared" si="18"/>
        <v>0</v>
      </c>
      <c r="U28" s="133">
        <f t="shared" si="37"/>
        <v>0</v>
      </c>
      <c r="V28" s="132">
        <f t="shared" si="19"/>
        <v>0</v>
      </c>
      <c r="X28" s="127">
        <f t="shared" si="25"/>
        <v>19</v>
      </c>
      <c r="Y28" s="132">
        <f t="shared" si="35"/>
        <v>0</v>
      </c>
      <c r="Z28" s="133">
        <f t="shared" si="20"/>
        <v>0</v>
      </c>
      <c r="AA28" s="133">
        <f t="shared" si="38"/>
        <v>0</v>
      </c>
      <c r="AB28" s="132">
        <f t="shared" si="21"/>
        <v>0</v>
      </c>
      <c r="AE28" s="127">
        <f t="shared" si="26"/>
        <v>19</v>
      </c>
      <c r="AF28" s="132">
        <f t="shared" si="45"/>
        <v>-2756437.7425152306</v>
      </c>
      <c r="AG28" s="133">
        <f t="shared" si="46"/>
        <v>-2112614.5100612147</v>
      </c>
      <c r="AH28" s="133">
        <f t="shared" si="47"/>
        <v>643823.23245401587</v>
      </c>
      <c r="AI28" s="132">
        <f t="shared" si="48"/>
        <v>75014586.236763567</v>
      </c>
      <c r="AJ28" s="127"/>
      <c r="AK28" s="127">
        <f t="shared" si="27"/>
        <v>19</v>
      </c>
      <c r="AL28" s="132">
        <f t="shared" si="49"/>
        <v>0</v>
      </c>
      <c r="AM28" s="133">
        <f t="shared" si="50"/>
        <v>0</v>
      </c>
      <c r="AN28" s="133">
        <f t="shared" si="51"/>
        <v>0</v>
      </c>
      <c r="AO28" s="132">
        <f t="shared" si="52"/>
        <v>0</v>
      </c>
      <c r="AP28" s="127"/>
      <c r="AQ28" s="127">
        <f t="shared" si="28"/>
        <v>19</v>
      </c>
      <c r="AR28" s="132">
        <f t="shared" si="53"/>
        <v>0</v>
      </c>
      <c r="AS28" s="133">
        <f t="shared" si="54"/>
        <v>0</v>
      </c>
      <c r="AT28" s="133">
        <f t="shared" si="55"/>
        <v>0</v>
      </c>
      <c r="AU28" s="132">
        <f t="shared" si="56"/>
        <v>0</v>
      </c>
    </row>
    <row r="29" spans="2:47" x14ac:dyDescent="0.25">
      <c r="B29" s="66"/>
      <c r="C29" s="66"/>
      <c r="L29" s="127">
        <f t="shared" si="23"/>
        <v>20</v>
      </c>
      <c r="M29" s="132">
        <f t="shared" si="33"/>
        <v>-2484182.2811077917</v>
      </c>
      <c r="N29" s="133">
        <f t="shared" si="16"/>
        <v>-2034873.952541972</v>
      </c>
      <c r="O29" s="133">
        <f t="shared" si="36"/>
        <v>449308.32856581965</v>
      </c>
      <c r="P29" s="132">
        <f t="shared" si="17"/>
        <v>51790294.055807874</v>
      </c>
      <c r="R29" s="127">
        <f t="shared" si="24"/>
        <v>20</v>
      </c>
      <c r="S29" s="132">
        <f t="shared" si="34"/>
        <v>0</v>
      </c>
      <c r="T29" s="133">
        <f t="shared" si="18"/>
        <v>0</v>
      </c>
      <c r="U29" s="133">
        <f t="shared" si="37"/>
        <v>0</v>
      </c>
      <c r="V29" s="132">
        <f t="shared" si="19"/>
        <v>0</v>
      </c>
      <c r="X29" s="127">
        <f t="shared" si="25"/>
        <v>20</v>
      </c>
      <c r="Y29" s="132">
        <f t="shared" si="35"/>
        <v>0</v>
      </c>
      <c r="Z29" s="133">
        <f t="shared" si="20"/>
        <v>0</v>
      </c>
      <c r="AA29" s="133">
        <f t="shared" si="38"/>
        <v>0</v>
      </c>
      <c r="AB29" s="132">
        <f t="shared" si="21"/>
        <v>0</v>
      </c>
      <c r="AE29" s="127">
        <f t="shared" si="26"/>
        <v>20</v>
      </c>
      <c r="AF29" s="132">
        <f t="shared" si="45"/>
        <v>-2756437.7425152306</v>
      </c>
      <c r="AG29" s="133">
        <f t="shared" si="46"/>
        <v>-2130249.6671734462</v>
      </c>
      <c r="AH29" s="133">
        <f t="shared" si="47"/>
        <v>626188.0753417844</v>
      </c>
      <c r="AI29" s="132">
        <f t="shared" si="48"/>
        <v>72884336.569590122</v>
      </c>
      <c r="AJ29" s="127"/>
      <c r="AK29" s="127">
        <f t="shared" si="27"/>
        <v>20</v>
      </c>
      <c r="AL29" s="132">
        <f t="shared" si="49"/>
        <v>0</v>
      </c>
      <c r="AM29" s="133">
        <f t="shared" si="50"/>
        <v>0</v>
      </c>
      <c r="AN29" s="133">
        <f t="shared" si="51"/>
        <v>0</v>
      </c>
      <c r="AO29" s="132">
        <f t="shared" si="52"/>
        <v>0</v>
      </c>
      <c r="AP29" s="127"/>
      <c r="AQ29" s="127">
        <f t="shared" si="28"/>
        <v>20</v>
      </c>
      <c r="AR29" s="132">
        <f t="shared" si="53"/>
        <v>0</v>
      </c>
      <c r="AS29" s="133">
        <f t="shared" si="54"/>
        <v>0</v>
      </c>
      <c r="AT29" s="133">
        <f t="shared" si="55"/>
        <v>0</v>
      </c>
      <c r="AU29" s="132">
        <f t="shared" si="56"/>
        <v>0</v>
      </c>
    </row>
    <row r="30" spans="2:47" x14ac:dyDescent="0.25">
      <c r="L30" s="127">
        <f t="shared" si="23"/>
        <v>21</v>
      </c>
      <c r="M30" s="132">
        <f t="shared" si="33"/>
        <v>-2484182.2811077917</v>
      </c>
      <c r="N30" s="133">
        <f t="shared" si="16"/>
        <v>-2051860.1663948842</v>
      </c>
      <c r="O30" s="133">
        <f t="shared" si="36"/>
        <v>432322.11471290753</v>
      </c>
      <c r="P30" s="132">
        <f t="shared" si="17"/>
        <v>49738433.889412992</v>
      </c>
      <c r="R30" s="127">
        <f t="shared" si="24"/>
        <v>21</v>
      </c>
      <c r="S30" s="132">
        <f t="shared" si="34"/>
        <v>0</v>
      </c>
      <c r="T30" s="133">
        <f t="shared" si="18"/>
        <v>0</v>
      </c>
      <c r="U30" s="133">
        <f t="shared" si="37"/>
        <v>0</v>
      </c>
      <c r="V30" s="132">
        <f t="shared" si="19"/>
        <v>0</v>
      </c>
      <c r="X30" s="127">
        <f t="shared" si="25"/>
        <v>21</v>
      </c>
      <c r="Y30" s="132">
        <f t="shared" si="35"/>
        <v>0</v>
      </c>
      <c r="Z30" s="133">
        <f t="shared" si="20"/>
        <v>0</v>
      </c>
      <c r="AA30" s="133">
        <f t="shared" si="38"/>
        <v>0</v>
      </c>
      <c r="AB30" s="132">
        <f t="shared" si="21"/>
        <v>0</v>
      </c>
      <c r="AE30" s="127">
        <f t="shared" si="26"/>
        <v>21</v>
      </c>
      <c r="AF30" s="132">
        <f t="shared" si="45"/>
        <v>-2756437.7425152306</v>
      </c>
      <c r="AG30" s="133">
        <f t="shared" si="46"/>
        <v>-2148032.0346569461</v>
      </c>
      <c r="AH30" s="133">
        <f t="shared" si="47"/>
        <v>608405.70785828459</v>
      </c>
      <c r="AI30" s="132">
        <f t="shared" si="48"/>
        <v>70736304.53493318</v>
      </c>
      <c r="AJ30" s="127"/>
      <c r="AK30" s="127">
        <f t="shared" si="27"/>
        <v>21</v>
      </c>
      <c r="AL30" s="132">
        <f t="shared" si="49"/>
        <v>0</v>
      </c>
      <c r="AM30" s="133">
        <f t="shared" si="50"/>
        <v>0</v>
      </c>
      <c r="AN30" s="133">
        <f t="shared" si="51"/>
        <v>0</v>
      </c>
      <c r="AO30" s="132">
        <f t="shared" si="52"/>
        <v>0</v>
      </c>
      <c r="AP30" s="127"/>
      <c r="AQ30" s="127">
        <f t="shared" si="28"/>
        <v>21</v>
      </c>
      <c r="AR30" s="132">
        <f t="shared" si="53"/>
        <v>0</v>
      </c>
      <c r="AS30" s="133">
        <f t="shared" si="54"/>
        <v>0</v>
      </c>
      <c r="AT30" s="133">
        <f t="shared" si="55"/>
        <v>0</v>
      </c>
      <c r="AU30" s="132">
        <f t="shared" si="56"/>
        <v>0</v>
      </c>
    </row>
    <row r="31" spans="2:47" x14ac:dyDescent="0.25">
      <c r="L31" s="127">
        <f t="shared" si="23"/>
        <v>22</v>
      </c>
      <c r="M31" s="132">
        <f t="shared" si="33"/>
        <v>-2484182.2811077917</v>
      </c>
      <c r="N31" s="133">
        <f t="shared" si="16"/>
        <v>-2068988.1735321893</v>
      </c>
      <c r="O31" s="133">
        <f t="shared" si="36"/>
        <v>415194.10757560231</v>
      </c>
      <c r="P31" s="132">
        <f t="shared" si="17"/>
        <v>47669445.715880804</v>
      </c>
      <c r="R31" s="127">
        <f t="shared" si="24"/>
        <v>22</v>
      </c>
      <c r="S31" s="132">
        <f t="shared" si="34"/>
        <v>0</v>
      </c>
      <c r="T31" s="133">
        <f t="shared" si="18"/>
        <v>0</v>
      </c>
      <c r="U31" s="133">
        <f t="shared" si="37"/>
        <v>0</v>
      </c>
      <c r="V31" s="132">
        <f t="shared" si="19"/>
        <v>0</v>
      </c>
      <c r="X31" s="127">
        <f t="shared" si="25"/>
        <v>22</v>
      </c>
      <c r="Y31" s="132">
        <f t="shared" si="35"/>
        <v>0</v>
      </c>
      <c r="Z31" s="133">
        <f t="shared" si="20"/>
        <v>0</v>
      </c>
      <c r="AA31" s="133">
        <f t="shared" si="38"/>
        <v>0</v>
      </c>
      <c r="AB31" s="132">
        <f t="shared" si="21"/>
        <v>0</v>
      </c>
      <c r="AE31" s="127">
        <f t="shared" si="26"/>
        <v>22</v>
      </c>
      <c r="AF31" s="132">
        <f t="shared" si="45"/>
        <v>-2756437.7425152306</v>
      </c>
      <c r="AG31" s="133">
        <f t="shared" si="46"/>
        <v>-2165962.8413577783</v>
      </c>
      <c r="AH31" s="133">
        <f t="shared" si="47"/>
        <v>590474.90115745226</v>
      </c>
      <c r="AI31" s="132">
        <f t="shared" si="48"/>
        <v>68570341.693575397</v>
      </c>
      <c r="AJ31" s="127"/>
      <c r="AK31" s="127">
        <f t="shared" si="27"/>
        <v>22</v>
      </c>
      <c r="AL31" s="132">
        <f t="shared" si="49"/>
        <v>0</v>
      </c>
      <c r="AM31" s="133">
        <f t="shared" si="50"/>
        <v>0</v>
      </c>
      <c r="AN31" s="133">
        <f t="shared" si="51"/>
        <v>0</v>
      </c>
      <c r="AO31" s="132">
        <f t="shared" si="52"/>
        <v>0</v>
      </c>
      <c r="AP31" s="127"/>
      <c r="AQ31" s="127">
        <f t="shared" si="28"/>
        <v>22</v>
      </c>
      <c r="AR31" s="132">
        <f t="shared" si="53"/>
        <v>0</v>
      </c>
      <c r="AS31" s="133">
        <f t="shared" si="54"/>
        <v>0</v>
      </c>
      <c r="AT31" s="133">
        <f t="shared" si="55"/>
        <v>0</v>
      </c>
      <c r="AU31" s="132">
        <f t="shared" si="56"/>
        <v>0</v>
      </c>
    </row>
    <row r="32" spans="2:47" x14ac:dyDescent="0.25">
      <c r="L32" s="127">
        <f t="shared" si="23"/>
        <v>23</v>
      </c>
      <c r="M32" s="132">
        <f t="shared" si="33"/>
        <v>-2484182.2811077917</v>
      </c>
      <c r="N32" s="133">
        <f t="shared" si="16"/>
        <v>-2086259.1575805435</v>
      </c>
      <c r="O32" s="133">
        <f t="shared" si="36"/>
        <v>397923.1235272481</v>
      </c>
      <c r="P32" s="132">
        <f t="shared" si="17"/>
        <v>45583186.558300257</v>
      </c>
      <c r="R32" s="127">
        <f t="shared" si="24"/>
        <v>23</v>
      </c>
      <c r="S32" s="132">
        <f t="shared" si="34"/>
        <v>0</v>
      </c>
      <c r="T32" s="133">
        <f t="shared" si="18"/>
        <v>0</v>
      </c>
      <c r="U32" s="133">
        <f t="shared" si="37"/>
        <v>0</v>
      </c>
      <c r="V32" s="132">
        <f t="shared" si="19"/>
        <v>0</v>
      </c>
      <c r="X32" s="127">
        <f t="shared" si="25"/>
        <v>23</v>
      </c>
      <c r="Y32" s="132">
        <f t="shared" si="35"/>
        <v>0</v>
      </c>
      <c r="Z32" s="133">
        <f t="shared" si="20"/>
        <v>0</v>
      </c>
      <c r="AA32" s="133">
        <f t="shared" si="38"/>
        <v>0</v>
      </c>
      <c r="AB32" s="132">
        <f t="shared" si="21"/>
        <v>0</v>
      </c>
      <c r="AE32" s="127">
        <f t="shared" si="26"/>
        <v>23</v>
      </c>
      <c r="AF32" s="132">
        <f t="shared" si="45"/>
        <v>-2756437.7425152306</v>
      </c>
      <c r="AG32" s="133">
        <f t="shared" si="46"/>
        <v>-2184043.3263798626</v>
      </c>
      <c r="AH32" s="133">
        <f t="shared" si="47"/>
        <v>572394.41613536805</v>
      </c>
      <c r="AI32" s="132">
        <f t="shared" si="48"/>
        <v>66386298.367195532</v>
      </c>
      <c r="AJ32" s="127"/>
      <c r="AK32" s="127">
        <f t="shared" si="27"/>
        <v>23</v>
      </c>
      <c r="AL32" s="132">
        <f t="shared" si="49"/>
        <v>0</v>
      </c>
      <c r="AM32" s="133">
        <f t="shared" si="50"/>
        <v>0</v>
      </c>
      <c r="AN32" s="133">
        <f t="shared" si="51"/>
        <v>0</v>
      </c>
      <c r="AO32" s="132">
        <f t="shared" si="52"/>
        <v>0</v>
      </c>
      <c r="AP32" s="127"/>
      <c r="AQ32" s="127">
        <f t="shared" si="28"/>
        <v>23</v>
      </c>
      <c r="AR32" s="132">
        <f t="shared" si="53"/>
        <v>0</v>
      </c>
      <c r="AS32" s="133">
        <f t="shared" si="54"/>
        <v>0</v>
      </c>
      <c r="AT32" s="133">
        <f t="shared" si="55"/>
        <v>0</v>
      </c>
      <c r="AU32" s="132">
        <f t="shared" si="56"/>
        <v>0</v>
      </c>
    </row>
    <row r="33" spans="12:47" x14ac:dyDescent="0.25">
      <c r="L33" s="127">
        <f t="shared" si="23"/>
        <v>24</v>
      </c>
      <c r="M33" s="132">
        <f t="shared" si="33"/>
        <v>-2484182.2811077917</v>
      </c>
      <c r="N33" s="133">
        <f t="shared" si="16"/>
        <v>-2103674.3120469865</v>
      </c>
      <c r="O33" s="133">
        <f t="shared" si="36"/>
        <v>380507.96906080522</v>
      </c>
      <c r="P33" s="132">
        <f t="shared" si="17"/>
        <v>43479512.246253267</v>
      </c>
      <c r="R33" s="127">
        <f t="shared" si="24"/>
        <v>24</v>
      </c>
      <c r="S33" s="132">
        <f t="shared" si="34"/>
        <v>0</v>
      </c>
      <c r="T33" s="133">
        <f t="shared" si="18"/>
        <v>0</v>
      </c>
      <c r="U33" s="133">
        <f t="shared" si="37"/>
        <v>0</v>
      </c>
      <c r="V33" s="132">
        <f t="shared" si="19"/>
        <v>0</v>
      </c>
      <c r="X33" s="127">
        <f t="shared" si="25"/>
        <v>24</v>
      </c>
      <c r="Y33" s="132">
        <f t="shared" si="35"/>
        <v>0</v>
      </c>
      <c r="Z33" s="133">
        <f t="shared" si="20"/>
        <v>0</v>
      </c>
      <c r="AA33" s="133">
        <f t="shared" si="38"/>
        <v>0</v>
      </c>
      <c r="AB33" s="132">
        <f t="shared" si="21"/>
        <v>0</v>
      </c>
      <c r="AE33" s="127">
        <f t="shared" si="26"/>
        <v>24</v>
      </c>
      <c r="AF33" s="132">
        <f t="shared" si="45"/>
        <v>-2756437.7425152306</v>
      </c>
      <c r="AG33" s="133">
        <f t="shared" si="46"/>
        <v>-2202274.7391706007</v>
      </c>
      <c r="AH33" s="133">
        <f t="shared" si="47"/>
        <v>554163.00334462966</v>
      </c>
      <c r="AI33" s="132">
        <f t="shared" si="48"/>
        <v>64184023.628024928</v>
      </c>
      <c r="AJ33" s="127"/>
      <c r="AK33" s="127">
        <f t="shared" si="27"/>
        <v>24</v>
      </c>
      <c r="AL33" s="132">
        <f t="shared" si="49"/>
        <v>0</v>
      </c>
      <c r="AM33" s="133">
        <f t="shared" si="50"/>
        <v>0</v>
      </c>
      <c r="AN33" s="133">
        <f t="shared" si="51"/>
        <v>0</v>
      </c>
      <c r="AO33" s="132">
        <f t="shared" si="52"/>
        <v>0</v>
      </c>
      <c r="AP33" s="127"/>
      <c r="AQ33" s="127">
        <f t="shared" si="28"/>
        <v>24</v>
      </c>
      <c r="AR33" s="132">
        <f t="shared" si="53"/>
        <v>0</v>
      </c>
      <c r="AS33" s="133">
        <f t="shared" si="54"/>
        <v>0</v>
      </c>
      <c r="AT33" s="133">
        <f t="shared" si="55"/>
        <v>0</v>
      </c>
      <c r="AU33" s="132">
        <f t="shared" si="56"/>
        <v>0</v>
      </c>
    </row>
    <row r="34" spans="12:47" x14ac:dyDescent="0.25">
      <c r="L34" s="127">
        <f t="shared" si="23"/>
        <v>25</v>
      </c>
      <c r="M34" s="132">
        <f t="shared" si="33"/>
        <v>-2484182.2811077917</v>
      </c>
      <c r="N34" s="133">
        <f t="shared" si="16"/>
        <v>-2121234.8404014185</v>
      </c>
      <c r="O34" s="133">
        <f t="shared" si="36"/>
        <v>362947.44070637343</v>
      </c>
      <c r="P34" s="132">
        <f t="shared" si="17"/>
        <v>41358277.405851848</v>
      </c>
      <c r="R34" s="127">
        <f t="shared" si="24"/>
        <v>25</v>
      </c>
      <c r="S34" s="132">
        <f t="shared" si="34"/>
        <v>0</v>
      </c>
      <c r="T34" s="133">
        <f t="shared" si="18"/>
        <v>0</v>
      </c>
      <c r="U34" s="133">
        <f t="shared" si="37"/>
        <v>0</v>
      </c>
      <c r="V34" s="132">
        <f t="shared" si="19"/>
        <v>0</v>
      </c>
      <c r="X34" s="127">
        <f t="shared" si="25"/>
        <v>25</v>
      </c>
      <c r="Y34" s="132">
        <f t="shared" si="35"/>
        <v>0</v>
      </c>
      <c r="Z34" s="133">
        <f t="shared" si="20"/>
        <v>0</v>
      </c>
      <c r="AA34" s="133">
        <f t="shared" si="38"/>
        <v>0</v>
      </c>
      <c r="AB34" s="132">
        <f t="shared" si="21"/>
        <v>0</v>
      </c>
      <c r="AE34" s="127">
        <f t="shared" si="26"/>
        <v>25</v>
      </c>
      <c r="AF34" s="132">
        <f t="shared" si="45"/>
        <v>-2756437.7425152306</v>
      </c>
      <c r="AG34" s="133">
        <f t="shared" si="46"/>
        <v>-2220658.3396072215</v>
      </c>
      <c r="AH34" s="133">
        <f t="shared" si="47"/>
        <v>535779.40290800913</v>
      </c>
      <c r="AI34" s="132">
        <f t="shared" si="48"/>
        <v>61963365.288417704</v>
      </c>
      <c r="AJ34" s="127"/>
      <c r="AK34" s="127">
        <f t="shared" si="27"/>
        <v>25</v>
      </c>
      <c r="AL34" s="132">
        <f t="shared" si="49"/>
        <v>0</v>
      </c>
      <c r="AM34" s="133">
        <f t="shared" si="50"/>
        <v>0</v>
      </c>
      <c r="AN34" s="133">
        <f t="shared" si="51"/>
        <v>0</v>
      </c>
      <c r="AO34" s="132">
        <f t="shared" si="52"/>
        <v>0</v>
      </c>
      <c r="AP34" s="127"/>
      <c r="AQ34" s="127">
        <f t="shared" si="28"/>
        <v>25</v>
      </c>
      <c r="AR34" s="132">
        <f t="shared" si="53"/>
        <v>0</v>
      </c>
      <c r="AS34" s="133">
        <f t="shared" si="54"/>
        <v>0</v>
      </c>
      <c r="AT34" s="133">
        <f t="shared" si="55"/>
        <v>0</v>
      </c>
      <c r="AU34" s="132">
        <f t="shared" si="56"/>
        <v>0</v>
      </c>
    </row>
    <row r="35" spans="12:47" x14ac:dyDescent="0.25">
      <c r="L35" s="127">
        <f t="shared" si="23"/>
        <v>26</v>
      </c>
      <c r="M35" s="132">
        <f t="shared" si="33"/>
        <v>-2484182.2811077917</v>
      </c>
      <c r="N35" s="133">
        <f t="shared" si="16"/>
        <v>-2138941.9561597658</v>
      </c>
      <c r="O35" s="133">
        <f t="shared" si="36"/>
        <v>345240.3249480261</v>
      </c>
      <c r="P35" s="132">
        <f t="shared" si="17"/>
        <v>39219335.449692085</v>
      </c>
      <c r="R35" s="127">
        <f t="shared" si="24"/>
        <v>26</v>
      </c>
      <c r="S35" s="132">
        <f t="shared" si="34"/>
        <v>0</v>
      </c>
      <c r="T35" s="133">
        <f t="shared" si="18"/>
        <v>0</v>
      </c>
      <c r="U35" s="133">
        <f t="shared" si="37"/>
        <v>0</v>
      </c>
      <c r="V35" s="132">
        <f t="shared" si="19"/>
        <v>0</v>
      </c>
      <c r="X35" s="127">
        <f t="shared" si="25"/>
        <v>26</v>
      </c>
      <c r="Y35" s="132">
        <f t="shared" si="35"/>
        <v>0</v>
      </c>
      <c r="Z35" s="133">
        <f t="shared" si="20"/>
        <v>0</v>
      </c>
      <c r="AA35" s="133">
        <f t="shared" si="38"/>
        <v>0</v>
      </c>
      <c r="AB35" s="132">
        <f t="shared" si="21"/>
        <v>0</v>
      </c>
      <c r="AE35" s="127">
        <f t="shared" si="26"/>
        <v>26</v>
      </c>
      <c r="AF35" s="132">
        <f t="shared" si="45"/>
        <v>-2756437.7425152306</v>
      </c>
      <c r="AG35" s="133">
        <f t="shared" si="46"/>
        <v>-2239195.3980838414</v>
      </c>
      <c r="AH35" s="133">
        <f t="shared" si="47"/>
        <v>517242.3444313893</v>
      </c>
      <c r="AI35" s="132">
        <f t="shared" si="48"/>
        <v>59724169.890333861</v>
      </c>
      <c r="AJ35" s="127"/>
      <c r="AK35" s="127">
        <f t="shared" si="27"/>
        <v>26</v>
      </c>
      <c r="AL35" s="132">
        <f t="shared" si="49"/>
        <v>0</v>
      </c>
      <c r="AM35" s="133">
        <f t="shared" si="50"/>
        <v>0</v>
      </c>
      <c r="AN35" s="133">
        <f t="shared" si="51"/>
        <v>0</v>
      </c>
      <c r="AO35" s="132">
        <f t="shared" si="52"/>
        <v>0</v>
      </c>
      <c r="AP35" s="127"/>
      <c r="AQ35" s="127">
        <f t="shared" si="28"/>
        <v>26</v>
      </c>
      <c r="AR35" s="132">
        <f t="shared" si="53"/>
        <v>0</v>
      </c>
      <c r="AS35" s="133">
        <f t="shared" si="54"/>
        <v>0</v>
      </c>
      <c r="AT35" s="133">
        <f t="shared" si="55"/>
        <v>0</v>
      </c>
      <c r="AU35" s="132">
        <f t="shared" si="56"/>
        <v>0</v>
      </c>
    </row>
    <row r="36" spans="12:47" x14ac:dyDescent="0.25">
      <c r="L36" s="127">
        <f t="shared" si="23"/>
        <v>27</v>
      </c>
      <c r="M36" s="132">
        <f t="shared" si="33"/>
        <v>-2484182.2811077917</v>
      </c>
      <c r="N36" s="133">
        <f t="shared" si="16"/>
        <v>-2156796.8829678409</v>
      </c>
      <c r="O36" s="133">
        <f t="shared" si="36"/>
        <v>327385.3981399507</v>
      </c>
      <c r="P36" s="132">
        <f t="shared" si="17"/>
        <v>37062538.566724241</v>
      </c>
      <c r="R36" s="127">
        <f t="shared" si="24"/>
        <v>27</v>
      </c>
      <c r="S36" s="132">
        <f t="shared" si="34"/>
        <v>0</v>
      </c>
      <c r="T36" s="133">
        <f t="shared" si="18"/>
        <v>0</v>
      </c>
      <c r="U36" s="133">
        <f t="shared" si="37"/>
        <v>0</v>
      </c>
      <c r="V36" s="132">
        <f t="shared" si="19"/>
        <v>0</v>
      </c>
      <c r="X36" s="127">
        <f t="shared" si="25"/>
        <v>27</v>
      </c>
      <c r="Y36" s="132">
        <f t="shared" si="35"/>
        <v>0</v>
      </c>
      <c r="Z36" s="133">
        <f t="shared" si="20"/>
        <v>0</v>
      </c>
      <c r="AA36" s="133">
        <f t="shared" si="38"/>
        <v>0</v>
      </c>
      <c r="AB36" s="132">
        <f t="shared" si="21"/>
        <v>0</v>
      </c>
      <c r="AE36" s="127">
        <f t="shared" si="26"/>
        <v>27</v>
      </c>
      <c r="AF36" s="132">
        <f t="shared" si="45"/>
        <v>-2756437.7425152306</v>
      </c>
      <c r="AG36" s="133">
        <f t="shared" si="46"/>
        <v>-2257887.1955992575</v>
      </c>
      <c r="AH36" s="133">
        <f t="shared" si="47"/>
        <v>498550.54691597325</v>
      </c>
      <c r="AI36" s="132">
        <f t="shared" si="48"/>
        <v>57466282.694734603</v>
      </c>
      <c r="AJ36" s="127"/>
      <c r="AK36" s="127">
        <f t="shared" si="27"/>
        <v>27</v>
      </c>
      <c r="AL36" s="132">
        <f t="shared" si="49"/>
        <v>0</v>
      </c>
      <c r="AM36" s="133">
        <f t="shared" si="50"/>
        <v>0</v>
      </c>
      <c r="AN36" s="133">
        <f t="shared" si="51"/>
        <v>0</v>
      </c>
      <c r="AO36" s="132">
        <f t="shared" si="52"/>
        <v>0</v>
      </c>
      <c r="AP36" s="127"/>
      <c r="AQ36" s="127">
        <f t="shared" si="28"/>
        <v>27</v>
      </c>
      <c r="AR36" s="132">
        <f t="shared" si="53"/>
        <v>0</v>
      </c>
      <c r="AS36" s="133">
        <f t="shared" si="54"/>
        <v>0</v>
      </c>
      <c r="AT36" s="133">
        <f t="shared" si="55"/>
        <v>0</v>
      </c>
      <c r="AU36" s="132">
        <f t="shared" si="56"/>
        <v>0</v>
      </c>
    </row>
    <row r="37" spans="12:47" x14ac:dyDescent="0.25">
      <c r="L37" s="127">
        <f t="shared" si="23"/>
        <v>28</v>
      </c>
      <c r="M37" s="132">
        <f t="shared" si="33"/>
        <v>-2484182.2811077917</v>
      </c>
      <c r="N37" s="133">
        <f t="shared" si="16"/>
        <v>-2174800.8546859026</v>
      </c>
      <c r="O37" s="133">
        <f t="shared" si="36"/>
        <v>309381.42642188893</v>
      </c>
      <c r="P37" s="132">
        <f t="shared" si="17"/>
        <v>34887737.712038338</v>
      </c>
      <c r="R37" s="127">
        <f t="shared" si="24"/>
        <v>28</v>
      </c>
      <c r="S37" s="132">
        <f t="shared" si="34"/>
        <v>0</v>
      </c>
      <c r="T37" s="133">
        <f t="shared" si="18"/>
        <v>0</v>
      </c>
      <c r="U37" s="133">
        <f t="shared" si="37"/>
        <v>0</v>
      </c>
      <c r="V37" s="132">
        <f t="shared" si="19"/>
        <v>0</v>
      </c>
      <c r="X37" s="127">
        <f t="shared" si="25"/>
        <v>28</v>
      </c>
      <c r="Y37" s="132">
        <f t="shared" si="35"/>
        <v>0</v>
      </c>
      <c r="Z37" s="133">
        <f t="shared" si="20"/>
        <v>0</v>
      </c>
      <c r="AA37" s="133">
        <f t="shared" si="38"/>
        <v>0</v>
      </c>
      <c r="AB37" s="132">
        <f t="shared" si="21"/>
        <v>0</v>
      </c>
      <c r="AE37" s="127">
        <f t="shared" si="26"/>
        <v>28</v>
      </c>
      <c r="AF37" s="132">
        <f t="shared" si="45"/>
        <v>-2756437.7425152306</v>
      </c>
      <c r="AG37" s="133">
        <f t="shared" si="46"/>
        <v>-2276735.0238454691</v>
      </c>
      <c r="AH37" s="133">
        <f t="shared" si="47"/>
        <v>479702.7186697615</v>
      </c>
      <c r="AI37" s="132">
        <f t="shared" si="48"/>
        <v>55189547.670889132</v>
      </c>
      <c r="AJ37" s="127"/>
      <c r="AK37" s="127">
        <f t="shared" si="27"/>
        <v>28</v>
      </c>
      <c r="AL37" s="132">
        <f t="shared" si="49"/>
        <v>0</v>
      </c>
      <c r="AM37" s="133">
        <f t="shared" si="50"/>
        <v>0</v>
      </c>
      <c r="AN37" s="133">
        <f t="shared" si="51"/>
        <v>0</v>
      </c>
      <c r="AO37" s="132">
        <f t="shared" si="52"/>
        <v>0</v>
      </c>
      <c r="AP37" s="127"/>
      <c r="AQ37" s="127">
        <f t="shared" si="28"/>
        <v>28</v>
      </c>
      <c r="AR37" s="132">
        <f t="shared" si="53"/>
        <v>0</v>
      </c>
      <c r="AS37" s="133">
        <f t="shared" si="54"/>
        <v>0</v>
      </c>
      <c r="AT37" s="133">
        <f t="shared" si="55"/>
        <v>0</v>
      </c>
      <c r="AU37" s="132">
        <f t="shared" si="56"/>
        <v>0</v>
      </c>
    </row>
    <row r="38" spans="12:47" x14ac:dyDescent="0.25">
      <c r="L38" s="127">
        <f t="shared" si="23"/>
        <v>29</v>
      </c>
      <c r="M38" s="132">
        <f t="shared" si="33"/>
        <v>-2484182.2811077917</v>
      </c>
      <c r="N38" s="133">
        <f t="shared" si="16"/>
        <v>-2192955.1154739205</v>
      </c>
      <c r="O38" s="133">
        <f t="shared" si="36"/>
        <v>291227.16563387145</v>
      </c>
      <c r="P38" s="132">
        <f t="shared" si="17"/>
        <v>32694782.59656442</v>
      </c>
      <c r="R38" s="127">
        <f t="shared" si="24"/>
        <v>29</v>
      </c>
      <c r="S38" s="132">
        <f t="shared" si="34"/>
        <v>0</v>
      </c>
      <c r="T38" s="133">
        <f t="shared" si="18"/>
        <v>0</v>
      </c>
      <c r="U38" s="133">
        <f t="shared" si="37"/>
        <v>0</v>
      </c>
      <c r="V38" s="132">
        <f t="shared" si="19"/>
        <v>0</v>
      </c>
      <c r="X38" s="127">
        <f t="shared" si="25"/>
        <v>29</v>
      </c>
      <c r="Y38" s="132">
        <f t="shared" si="35"/>
        <v>0</v>
      </c>
      <c r="Z38" s="133">
        <f t="shared" si="20"/>
        <v>0</v>
      </c>
      <c r="AA38" s="133">
        <f t="shared" si="38"/>
        <v>0</v>
      </c>
      <c r="AB38" s="132">
        <f t="shared" si="21"/>
        <v>0</v>
      </c>
      <c r="AE38" s="127">
        <f t="shared" si="26"/>
        <v>29</v>
      </c>
      <c r="AF38" s="132">
        <f t="shared" si="45"/>
        <v>-2756437.7425152306</v>
      </c>
      <c r="AG38" s="133">
        <f t="shared" si="46"/>
        <v>-2295740.1852969406</v>
      </c>
      <c r="AH38" s="133">
        <f t="shared" si="47"/>
        <v>460697.55721828993</v>
      </c>
      <c r="AI38" s="132">
        <f t="shared" si="48"/>
        <v>52893807.485592194</v>
      </c>
      <c r="AJ38" s="127"/>
      <c r="AK38" s="127">
        <f t="shared" si="27"/>
        <v>29</v>
      </c>
      <c r="AL38" s="132">
        <f t="shared" si="49"/>
        <v>0</v>
      </c>
      <c r="AM38" s="133">
        <f t="shared" si="50"/>
        <v>0</v>
      </c>
      <c r="AN38" s="133">
        <f t="shared" si="51"/>
        <v>0</v>
      </c>
      <c r="AO38" s="132">
        <f t="shared" si="52"/>
        <v>0</v>
      </c>
      <c r="AP38" s="127"/>
      <c r="AQ38" s="127">
        <f t="shared" si="28"/>
        <v>29</v>
      </c>
      <c r="AR38" s="132">
        <f t="shared" si="53"/>
        <v>0</v>
      </c>
      <c r="AS38" s="133">
        <f t="shared" si="54"/>
        <v>0</v>
      </c>
      <c r="AT38" s="133">
        <f t="shared" si="55"/>
        <v>0</v>
      </c>
      <c r="AU38" s="132">
        <f t="shared" si="56"/>
        <v>0</v>
      </c>
    </row>
    <row r="39" spans="12:47" x14ac:dyDescent="0.25">
      <c r="L39" s="127">
        <f t="shared" si="23"/>
        <v>30</v>
      </c>
      <c r="M39" s="132">
        <f t="shared" si="33"/>
        <v>-2484182.2811077917</v>
      </c>
      <c r="N39" s="133">
        <f t="shared" si="16"/>
        <v>-2211260.9198775515</v>
      </c>
      <c r="O39" s="133">
        <f t="shared" si="36"/>
        <v>272921.36123024009</v>
      </c>
      <c r="P39" s="132">
        <f t="shared" si="17"/>
        <v>30483521.676686868</v>
      </c>
      <c r="R39" s="127">
        <f t="shared" si="24"/>
        <v>30</v>
      </c>
      <c r="S39" s="132">
        <f t="shared" si="34"/>
        <v>0</v>
      </c>
      <c r="T39" s="133">
        <f t="shared" si="18"/>
        <v>0</v>
      </c>
      <c r="U39" s="133">
        <f t="shared" si="37"/>
        <v>0</v>
      </c>
      <c r="V39" s="132">
        <f t="shared" si="19"/>
        <v>0</v>
      </c>
      <c r="X39" s="127">
        <f t="shared" si="25"/>
        <v>30</v>
      </c>
      <c r="Y39" s="132">
        <f t="shared" si="35"/>
        <v>0</v>
      </c>
      <c r="Z39" s="133">
        <f t="shared" si="20"/>
        <v>0</v>
      </c>
      <c r="AA39" s="133">
        <f t="shared" si="38"/>
        <v>0</v>
      </c>
      <c r="AB39" s="132">
        <f t="shared" si="21"/>
        <v>0</v>
      </c>
      <c r="AE39" s="127">
        <f t="shared" si="26"/>
        <v>30</v>
      </c>
      <c r="AF39" s="132">
        <f t="shared" si="45"/>
        <v>-2756437.7425152306</v>
      </c>
      <c r="AG39" s="133">
        <f t="shared" si="46"/>
        <v>-2314903.9933006079</v>
      </c>
      <c r="AH39" s="133">
        <f t="shared" si="47"/>
        <v>441533.7492146226</v>
      </c>
      <c r="AI39" s="132">
        <f t="shared" si="48"/>
        <v>50578903.492291585</v>
      </c>
      <c r="AJ39" s="127"/>
      <c r="AK39" s="127">
        <f t="shared" si="27"/>
        <v>30</v>
      </c>
      <c r="AL39" s="132">
        <f t="shared" si="49"/>
        <v>0</v>
      </c>
      <c r="AM39" s="133">
        <f t="shared" si="50"/>
        <v>0</v>
      </c>
      <c r="AN39" s="133">
        <f t="shared" si="51"/>
        <v>0</v>
      </c>
      <c r="AO39" s="132">
        <f t="shared" si="52"/>
        <v>0</v>
      </c>
      <c r="AP39" s="127"/>
      <c r="AQ39" s="127">
        <f t="shared" si="28"/>
        <v>30</v>
      </c>
      <c r="AR39" s="132">
        <f t="shared" si="53"/>
        <v>0</v>
      </c>
      <c r="AS39" s="133">
        <f t="shared" si="54"/>
        <v>0</v>
      </c>
      <c r="AT39" s="133">
        <f t="shared" si="55"/>
        <v>0</v>
      </c>
      <c r="AU39" s="132">
        <f t="shared" si="56"/>
        <v>0</v>
      </c>
    </row>
    <row r="40" spans="12:47" x14ac:dyDescent="0.25">
      <c r="L40" s="127">
        <f t="shared" si="23"/>
        <v>31</v>
      </c>
      <c r="M40" s="132">
        <f t="shared" si="33"/>
        <v>-2484182.2811077917</v>
      </c>
      <c r="N40" s="133">
        <f t="shared" si="16"/>
        <v>-2229719.5329148388</v>
      </c>
      <c r="O40" s="133">
        <f t="shared" si="36"/>
        <v>254462.74819295289</v>
      </c>
      <c r="P40" s="132">
        <f t="shared" si="17"/>
        <v>28253802.143772028</v>
      </c>
      <c r="R40" s="127">
        <f t="shared" si="24"/>
        <v>31</v>
      </c>
      <c r="S40" s="132">
        <f t="shared" si="34"/>
        <v>0</v>
      </c>
      <c r="T40" s="133">
        <f t="shared" si="18"/>
        <v>0</v>
      </c>
      <c r="U40" s="133">
        <f t="shared" si="37"/>
        <v>0</v>
      </c>
      <c r="V40" s="132">
        <f t="shared" si="19"/>
        <v>0</v>
      </c>
      <c r="X40" s="127">
        <f t="shared" si="25"/>
        <v>31</v>
      </c>
      <c r="Y40" s="132">
        <f t="shared" si="35"/>
        <v>0</v>
      </c>
      <c r="Z40" s="133">
        <f t="shared" si="20"/>
        <v>0</v>
      </c>
      <c r="AA40" s="133">
        <f t="shared" si="38"/>
        <v>0</v>
      </c>
      <c r="AB40" s="132">
        <f t="shared" si="21"/>
        <v>0</v>
      </c>
      <c r="AE40" s="127">
        <f t="shared" si="26"/>
        <v>31</v>
      </c>
      <c r="AF40" s="132">
        <f t="shared" si="45"/>
        <v>-2756437.7425152306</v>
      </c>
      <c r="AG40" s="133">
        <f t="shared" si="46"/>
        <v>-2334227.7721666372</v>
      </c>
      <c r="AH40" s="133">
        <f t="shared" si="47"/>
        <v>422209.97034859314</v>
      </c>
      <c r="AI40" s="132">
        <f t="shared" si="48"/>
        <v>48244675.720124945</v>
      </c>
      <c r="AJ40" s="127"/>
      <c r="AK40" s="127">
        <f t="shared" si="27"/>
        <v>31</v>
      </c>
      <c r="AL40" s="132">
        <f t="shared" si="49"/>
        <v>0</v>
      </c>
      <c r="AM40" s="133">
        <f t="shared" si="50"/>
        <v>0</v>
      </c>
      <c r="AN40" s="133">
        <f t="shared" si="51"/>
        <v>0</v>
      </c>
      <c r="AO40" s="132">
        <f t="shared" si="52"/>
        <v>0</v>
      </c>
      <c r="AP40" s="127"/>
      <c r="AQ40" s="127">
        <f t="shared" si="28"/>
        <v>31</v>
      </c>
      <c r="AR40" s="132">
        <f t="shared" si="53"/>
        <v>0</v>
      </c>
      <c r="AS40" s="133">
        <f t="shared" si="54"/>
        <v>0</v>
      </c>
      <c r="AT40" s="133">
        <f t="shared" si="55"/>
        <v>0</v>
      </c>
      <c r="AU40" s="132">
        <f t="shared" si="56"/>
        <v>0</v>
      </c>
    </row>
    <row r="41" spans="12:47" x14ac:dyDescent="0.25">
      <c r="L41" s="127">
        <f t="shared" si="23"/>
        <v>32</v>
      </c>
      <c r="M41" s="132">
        <f t="shared" si="33"/>
        <v>-2484182.2811077917</v>
      </c>
      <c r="N41" s="133">
        <f t="shared" si="16"/>
        <v>-2248332.2301636259</v>
      </c>
      <c r="O41" s="133">
        <f t="shared" si="36"/>
        <v>235850.05094416559</v>
      </c>
      <c r="P41" s="132">
        <f t="shared" si="17"/>
        <v>26005469.913608402</v>
      </c>
      <c r="R41" s="127">
        <f t="shared" si="24"/>
        <v>32</v>
      </c>
      <c r="S41" s="132">
        <f t="shared" si="34"/>
        <v>0</v>
      </c>
      <c r="T41" s="133">
        <f t="shared" si="18"/>
        <v>0</v>
      </c>
      <c r="U41" s="133">
        <f t="shared" si="37"/>
        <v>0</v>
      </c>
      <c r="V41" s="132">
        <f t="shared" si="19"/>
        <v>0</v>
      </c>
      <c r="X41" s="127">
        <f t="shared" si="25"/>
        <v>32</v>
      </c>
      <c r="Y41" s="132">
        <f t="shared" si="35"/>
        <v>0</v>
      </c>
      <c r="Z41" s="133">
        <f t="shared" si="20"/>
        <v>0</v>
      </c>
      <c r="AA41" s="133">
        <f t="shared" si="38"/>
        <v>0</v>
      </c>
      <c r="AB41" s="132">
        <f t="shared" si="21"/>
        <v>0</v>
      </c>
      <c r="AE41" s="127">
        <f t="shared" si="26"/>
        <v>32</v>
      </c>
      <c r="AF41" s="132">
        <f t="shared" si="45"/>
        <v>-2756437.7425152306</v>
      </c>
      <c r="AG41" s="133">
        <f t="shared" si="46"/>
        <v>-2353712.8572599422</v>
      </c>
      <c r="AH41" s="133">
        <f t="shared" si="47"/>
        <v>402724.88525528857</v>
      </c>
      <c r="AI41" s="132">
        <f t="shared" si="48"/>
        <v>45890962.862865001</v>
      </c>
      <c r="AJ41" s="127"/>
      <c r="AK41" s="127">
        <f t="shared" si="27"/>
        <v>32</v>
      </c>
      <c r="AL41" s="132">
        <f t="shared" si="49"/>
        <v>0</v>
      </c>
      <c r="AM41" s="133">
        <f t="shared" si="50"/>
        <v>0</v>
      </c>
      <c r="AN41" s="133">
        <f t="shared" si="51"/>
        <v>0</v>
      </c>
      <c r="AO41" s="132">
        <f t="shared" si="52"/>
        <v>0</v>
      </c>
      <c r="AP41" s="127"/>
      <c r="AQ41" s="127">
        <f t="shared" si="28"/>
        <v>32</v>
      </c>
      <c r="AR41" s="132">
        <f t="shared" si="53"/>
        <v>0</v>
      </c>
      <c r="AS41" s="133">
        <f t="shared" si="54"/>
        <v>0</v>
      </c>
      <c r="AT41" s="133">
        <f t="shared" si="55"/>
        <v>0</v>
      </c>
      <c r="AU41" s="132">
        <f t="shared" si="56"/>
        <v>0</v>
      </c>
    </row>
    <row r="42" spans="12:47" x14ac:dyDescent="0.25">
      <c r="L42" s="127">
        <f t="shared" si="23"/>
        <v>33</v>
      </c>
      <c r="M42" s="132">
        <f t="shared" si="33"/>
        <v>-2484182.2811077917</v>
      </c>
      <c r="N42" s="133">
        <f t="shared" si="16"/>
        <v>-2267100.2978497087</v>
      </c>
      <c r="O42" s="133">
        <f t="shared" si="36"/>
        <v>217081.98325808294</v>
      </c>
      <c r="P42" s="132">
        <f t="shared" si="17"/>
        <v>23738369.615758695</v>
      </c>
      <c r="R42" s="127">
        <f t="shared" si="24"/>
        <v>33</v>
      </c>
      <c r="S42" s="132">
        <f t="shared" si="34"/>
        <v>0</v>
      </c>
      <c r="T42" s="133">
        <f t="shared" si="18"/>
        <v>0</v>
      </c>
      <c r="U42" s="133">
        <f t="shared" si="37"/>
        <v>0</v>
      </c>
      <c r="V42" s="132">
        <f t="shared" si="19"/>
        <v>0</v>
      </c>
      <c r="X42" s="127">
        <f t="shared" si="25"/>
        <v>33</v>
      </c>
      <c r="Y42" s="132">
        <f t="shared" si="35"/>
        <v>0</v>
      </c>
      <c r="Z42" s="133">
        <f t="shared" si="20"/>
        <v>0</v>
      </c>
      <c r="AA42" s="133">
        <f t="shared" si="38"/>
        <v>0</v>
      </c>
      <c r="AB42" s="132">
        <f t="shared" si="21"/>
        <v>0</v>
      </c>
      <c r="AE42" s="127">
        <f t="shared" si="26"/>
        <v>33</v>
      </c>
      <c r="AF42" s="132">
        <f t="shared" si="45"/>
        <v>-2756437.7425152306</v>
      </c>
      <c r="AG42" s="133">
        <f t="shared" si="46"/>
        <v>-2373360.595092461</v>
      </c>
      <c r="AH42" s="133">
        <f t="shared" si="47"/>
        <v>383077.14742276963</v>
      </c>
      <c r="AI42" s="132">
        <f t="shared" si="48"/>
        <v>43517602.26777254</v>
      </c>
      <c r="AJ42" s="127"/>
      <c r="AK42" s="127">
        <f t="shared" si="27"/>
        <v>33</v>
      </c>
      <c r="AL42" s="132">
        <f t="shared" si="49"/>
        <v>0</v>
      </c>
      <c r="AM42" s="133">
        <f t="shared" si="50"/>
        <v>0</v>
      </c>
      <c r="AN42" s="133">
        <f t="shared" si="51"/>
        <v>0</v>
      </c>
      <c r="AO42" s="132">
        <f t="shared" si="52"/>
        <v>0</v>
      </c>
      <c r="AP42" s="127"/>
      <c r="AQ42" s="127">
        <f t="shared" si="28"/>
        <v>33</v>
      </c>
      <c r="AR42" s="132">
        <f t="shared" si="53"/>
        <v>0</v>
      </c>
      <c r="AS42" s="133">
        <f t="shared" si="54"/>
        <v>0</v>
      </c>
      <c r="AT42" s="133">
        <f t="shared" si="55"/>
        <v>0</v>
      </c>
      <c r="AU42" s="132">
        <f t="shared" si="56"/>
        <v>0</v>
      </c>
    </row>
    <row r="43" spans="12:47" x14ac:dyDescent="0.25">
      <c r="L43" s="127">
        <f t="shared" si="23"/>
        <v>34</v>
      </c>
      <c r="M43" s="132">
        <f t="shared" si="33"/>
        <v>-2484182.2811077917</v>
      </c>
      <c r="N43" s="133">
        <f t="shared" si="16"/>
        <v>-2286025.0329357171</v>
      </c>
      <c r="O43" s="133">
        <f t="shared" si="36"/>
        <v>198157.24817207435</v>
      </c>
      <c r="P43" s="132">
        <f t="shared" si="17"/>
        <v>21452344.582822978</v>
      </c>
      <c r="R43" s="127">
        <f t="shared" si="24"/>
        <v>34</v>
      </c>
      <c r="S43" s="132">
        <f t="shared" si="34"/>
        <v>0</v>
      </c>
      <c r="T43" s="133">
        <f t="shared" si="18"/>
        <v>0</v>
      </c>
      <c r="U43" s="133">
        <f t="shared" si="37"/>
        <v>0</v>
      </c>
      <c r="V43" s="132">
        <f t="shared" si="19"/>
        <v>0</v>
      </c>
      <c r="X43" s="127">
        <f t="shared" si="25"/>
        <v>34</v>
      </c>
      <c r="Y43" s="132">
        <f t="shared" si="35"/>
        <v>0</v>
      </c>
      <c r="Z43" s="133">
        <f t="shared" si="20"/>
        <v>0</v>
      </c>
      <c r="AA43" s="133">
        <f t="shared" si="38"/>
        <v>0</v>
      </c>
      <c r="AB43" s="132">
        <f t="shared" si="21"/>
        <v>0</v>
      </c>
      <c r="AE43" s="127">
        <f t="shared" si="26"/>
        <v>34</v>
      </c>
      <c r="AF43" s="132">
        <f t="shared" si="45"/>
        <v>-2756437.7425152306</v>
      </c>
      <c r="AG43" s="133">
        <f t="shared" si="46"/>
        <v>-2393172.3434162107</v>
      </c>
      <c r="AH43" s="133">
        <f t="shared" si="47"/>
        <v>363265.39909901988</v>
      </c>
      <c r="AI43" s="132">
        <f t="shared" si="48"/>
        <v>41124429.924356326</v>
      </c>
      <c r="AJ43" s="127"/>
      <c r="AK43" s="127">
        <f t="shared" si="27"/>
        <v>34</v>
      </c>
      <c r="AL43" s="132">
        <f t="shared" si="49"/>
        <v>0</v>
      </c>
      <c r="AM43" s="133">
        <f t="shared" si="50"/>
        <v>0</v>
      </c>
      <c r="AN43" s="133">
        <f t="shared" si="51"/>
        <v>0</v>
      </c>
      <c r="AO43" s="132">
        <f t="shared" si="52"/>
        <v>0</v>
      </c>
      <c r="AP43" s="127"/>
      <c r="AQ43" s="127">
        <f t="shared" si="28"/>
        <v>34</v>
      </c>
      <c r="AR43" s="132">
        <f t="shared" si="53"/>
        <v>0</v>
      </c>
      <c r="AS43" s="133">
        <f t="shared" si="54"/>
        <v>0</v>
      </c>
      <c r="AT43" s="133">
        <f t="shared" si="55"/>
        <v>0</v>
      </c>
      <c r="AU43" s="132">
        <f t="shared" si="56"/>
        <v>0</v>
      </c>
    </row>
    <row r="44" spans="12:47" x14ac:dyDescent="0.25">
      <c r="L44" s="127">
        <f t="shared" si="23"/>
        <v>35</v>
      </c>
      <c r="M44" s="132">
        <f t="shared" si="33"/>
        <v>-2484182.2811077917</v>
      </c>
      <c r="N44" s="133">
        <f t="shared" si="16"/>
        <v>-2305107.7432107441</v>
      </c>
      <c r="O44" s="133">
        <f t="shared" si="36"/>
        <v>179074.53789704779</v>
      </c>
      <c r="P44" s="132">
        <f t="shared" si="17"/>
        <v>19147236.839612234</v>
      </c>
      <c r="R44" s="127">
        <f t="shared" si="24"/>
        <v>35</v>
      </c>
      <c r="S44" s="132">
        <f t="shared" si="34"/>
        <v>0</v>
      </c>
      <c r="T44" s="133">
        <f t="shared" si="18"/>
        <v>0</v>
      </c>
      <c r="U44" s="133">
        <f t="shared" si="37"/>
        <v>0</v>
      </c>
      <c r="V44" s="132">
        <f t="shared" si="19"/>
        <v>0</v>
      </c>
      <c r="X44" s="127">
        <f t="shared" si="25"/>
        <v>35</v>
      </c>
      <c r="Y44" s="132">
        <f t="shared" si="35"/>
        <v>0</v>
      </c>
      <c r="Z44" s="133">
        <f t="shared" si="20"/>
        <v>0</v>
      </c>
      <c r="AA44" s="133">
        <f t="shared" si="38"/>
        <v>0</v>
      </c>
      <c r="AB44" s="132">
        <f t="shared" si="21"/>
        <v>0</v>
      </c>
      <c r="AE44" s="127">
        <f t="shared" si="26"/>
        <v>35</v>
      </c>
      <c r="AF44" s="132">
        <f t="shared" si="45"/>
        <v>-2756437.7425152306</v>
      </c>
      <c r="AG44" s="133">
        <f t="shared" si="46"/>
        <v>-2413149.4713171115</v>
      </c>
      <c r="AH44" s="133">
        <f t="shared" si="47"/>
        <v>343288.27119811898</v>
      </c>
      <c r="AI44" s="132">
        <f t="shared" si="48"/>
        <v>38711280.453039214</v>
      </c>
      <c r="AJ44" s="127"/>
      <c r="AK44" s="127">
        <f t="shared" si="27"/>
        <v>35</v>
      </c>
      <c r="AL44" s="132">
        <f t="shared" si="49"/>
        <v>0</v>
      </c>
      <c r="AM44" s="133">
        <f t="shared" si="50"/>
        <v>0</v>
      </c>
      <c r="AN44" s="133">
        <f t="shared" si="51"/>
        <v>0</v>
      </c>
      <c r="AO44" s="132">
        <f t="shared" si="52"/>
        <v>0</v>
      </c>
      <c r="AP44" s="127"/>
      <c r="AQ44" s="127">
        <f t="shared" si="28"/>
        <v>35</v>
      </c>
      <c r="AR44" s="132">
        <f t="shared" si="53"/>
        <v>0</v>
      </c>
      <c r="AS44" s="133">
        <f t="shared" si="54"/>
        <v>0</v>
      </c>
      <c r="AT44" s="133">
        <f t="shared" si="55"/>
        <v>0</v>
      </c>
      <c r="AU44" s="132">
        <f t="shared" si="56"/>
        <v>0</v>
      </c>
    </row>
    <row r="45" spans="12:47" x14ac:dyDescent="0.25">
      <c r="L45" s="127">
        <f t="shared" si="23"/>
        <v>36</v>
      </c>
      <c r="M45" s="132">
        <f t="shared" si="33"/>
        <v>-2484182.2811077917</v>
      </c>
      <c r="N45" s="133">
        <f t="shared" si="16"/>
        <v>-2324349.7473807167</v>
      </c>
      <c r="O45" s="133">
        <f t="shared" si="36"/>
        <v>159832.53372707509</v>
      </c>
      <c r="P45" s="132">
        <f t="shared" si="17"/>
        <v>16822887.09223152</v>
      </c>
      <c r="R45" s="127">
        <f t="shared" si="24"/>
        <v>36</v>
      </c>
      <c r="S45" s="132">
        <f t="shared" si="34"/>
        <v>0</v>
      </c>
      <c r="T45" s="133">
        <f t="shared" si="18"/>
        <v>0</v>
      </c>
      <c r="U45" s="133">
        <f t="shared" si="37"/>
        <v>0</v>
      </c>
      <c r="V45" s="132">
        <f t="shared" si="19"/>
        <v>0</v>
      </c>
      <c r="X45" s="127">
        <f t="shared" si="25"/>
        <v>36</v>
      </c>
      <c r="Y45" s="132">
        <f t="shared" si="35"/>
        <v>0</v>
      </c>
      <c r="Z45" s="133">
        <f t="shared" si="20"/>
        <v>0</v>
      </c>
      <c r="AA45" s="133">
        <f t="shared" si="38"/>
        <v>0</v>
      </c>
      <c r="AB45" s="132">
        <f t="shared" si="21"/>
        <v>0</v>
      </c>
      <c r="AE45" s="127">
        <f t="shared" si="26"/>
        <v>36</v>
      </c>
      <c r="AF45" s="132">
        <f t="shared" si="45"/>
        <v>-2756437.7425152306</v>
      </c>
      <c r="AG45" s="133">
        <f t="shared" si="46"/>
        <v>-2433293.3593095983</v>
      </c>
      <c r="AH45" s="133">
        <f t="shared" si="47"/>
        <v>323144.38320563216</v>
      </c>
      <c r="AI45" s="132">
        <f t="shared" si="48"/>
        <v>36277987.093729615</v>
      </c>
      <c r="AJ45" s="127"/>
      <c r="AK45" s="127">
        <f t="shared" si="27"/>
        <v>36</v>
      </c>
      <c r="AL45" s="132">
        <f t="shared" si="49"/>
        <v>0</v>
      </c>
      <c r="AM45" s="133">
        <f t="shared" si="50"/>
        <v>0</v>
      </c>
      <c r="AN45" s="133">
        <f t="shared" si="51"/>
        <v>0</v>
      </c>
      <c r="AO45" s="132">
        <f t="shared" si="52"/>
        <v>0</v>
      </c>
      <c r="AP45" s="127"/>
      <c r="AQ45" s="127">
        <f t="shared" si="28"/>
        <v>36</v>
      </c>
      <c r="AR45" s="132">
        <f t="shared" si="53"/>
        <v>0</v>
      </c>
      <c r="AS45" s="133">
        <f t="shared" si="54"/>
        <v>0</v>
      </c>
      <c r="AT45" s="133">
        <f t="shared" si="55"/>
        <v>0</v>
      </c>
      <c r="AU45" s="132">
        <f t="shared" si="56"/>
        <v>0</v>
      </c>
    </row>
    <row r="46" spans="12:47" x14ac:dyDescent="0.25">
      <c r="L46" s="127">
        <f t="shared" si="23"/>
        <v>37</v>
      </c>
      <c r="M46" s="132">
        <f t="shared" si="33"/>
        <v>-2484182.2811077917</v>
      </c>
      <c r="N46" s="133">
        <f t="shared" si="16"/>
        <v>-2343752.3751595281</v>
      </c>
      <c r="O46" s="133">
        <f t="shared" si="36"/>
        <v>140429.90594826342</v>
      </c>
      <c r="P46" s="132">
        <f t="shared" si="17"/>
        <v>14479134.717071991</v>
      </c>
      <c r="R46" s="127">
        <f t="shared" si="24"/>
        <v>37</v>
      </c>
      <c r="S46" s="132"/>
      <c r="T46" s="133"/>
      <c r="U46" s="133"/>
      <c r="V46" s="132"/>
      <c r="X46" s="127">
        <f t="shared" si="25"/>
        <v>37</v>
      </c>
      <c r="Y46" s="132">
        <f t="shared" si="35"/>
        <v>0</v>
      </c>
      <c r="Z46" s="133">
        <f t="shared" si="20"/>
        <v>0</v>
      </c>
      <c r="AA46" s="133">
        <f t="shared" si="38"/>
        <v>0</v>
      </c>
      <c r="AB46" s="132">
        <f t="shared" si="21"/>
        <v>0</v>
      </c>
      <c r="AE46" s="127">
        <f t="shared" si="26"/>
        <v>37</v>
      </c>
      <c r="AF46" s="132">
        <f t="shared" si="45"/>
        <v>-2756437.7425152306</v>
      </c>
      <c r="AG46" s="133">
        <f t="shared" si="46"/>
        <v>-2453605.3994320203</v>
      </c>
      <c r="AH46" s="133">
        <f t="shared" si="47"/>
        <v>302832.34308321023</v>
      </c>
      <c r="AI46" s="132">
        <f t="shared" si="48"/>
        <v>33824381.694297597</v>
      </c>
      <c r="AJ46" s="127"/>
      <c r="AK46" s="127">
        <f t="shared" si="27"/>
        <v>37</v>
      </c>
      <c r="AL46" s="132">
        <f t="shared" si="49"/>
        <v>0</v>
      </c>
      <c r="AM46" s="133">
        <f t="shared" si="50"/>
        <v>0</v>
      </c>
      <c r="AN46" s="133">
        <f t="shared" si="51"/>
        <v>0</v>
      </c>
      <c r="AO46" s="132">
        <f t="shared" si="52"/>
        <v>0</v>
      </c>
      <c r="AP46" s="127"/>
      <c r="AQ46" s="127">
        <f t="shared" si="28"/>
        <v>37</v>
      </c>
      <c r="AR46" s="132">
        <f t="shared" si="53"/>
        <v>0</v>
      </c>
      <c r="AS46" s="133">
        <f t="shared" si="54"/>
        <v>0</v>
      </c>
      <c r="AT46" s="133">
        <f t="shared" si="55"/>
        <v>0</v>
      </c>
      <c r="AU46" s="132">
        <f t="shared" si="56"/>
        <v>0</v>
      </c>
    </row>
    <row r="47" spans="12:47" x14ac:dyDescent="0.25">
      <c r="L47" s="127">
        <f t="shared" si="23"/>
        <v>38</v>
      </c>
      <c r="M47" s="132">
        <f t="shared" si="33"/>
        <v>-2484182.2811077917</v>
      </c>
      <c r="N47" s="133">
        <f t="shared" si="16"/>
        <v>-2363316.9673609263</v>
      </c>
      <c r="O47" s="133">
        <f t="shared" si="36"/>
        <v>120865.31374686545</v>
      </c>
      <c r="P47" s="132">
        <f t="shared" si="17"/>
        <v>12115817.749711065</v>
      </c>
      <c r="R47" s="127">
        <f t="shared" si="24"/>
        <v>38</v>
      </c>
      <c r="S47" s="132"/>
      <c r="T47" s="133"/>
      <c r="U47" s="133"/>
      <c r="V47" s="132"/>
      <c r="X47" s="127">
        <f t="shared" si="25"/>
        <v>38</v>
      </c>
      <c r="Y47" s="132">
        <f t="shared" si="35"/>
        <v>0</v>
      </c>
      <c r="Z47" s="133">
        <f t="shared" si="20"/>
        <v>0</v>
      </c>
      <c r="AA47" s="133">
        <f t="shared" si="38"/>
        <v>0</v>
      </c>
      <c r="AB47" s="132">
        <f t="shared" si="21"/>
        <v>0</v>
      </c>
      <c r="AE47" s="127">
        <f t="shared" si="26"/>
        <v>38</v>
      </c>
      <c r="AF47" s="132">
        <f t="shared" si="45"/>
        <v>-2756437.7425152306</v>
      </c>
      <c r="AG47" s="133">
        <f t="shared" si="46"/>
        <v>-2474086.9953428376</v>
      </c>
      <c r="AH47" s="133">
        <f t="shared" si="47"/>
        <v>282350.74717239296</v>
      </c>
      <c r="AI47" s="132">
        <f t="shared" si="48"/>
        <v>31350294.698954761</v>
      </c>
      <c r="AJ47" s="127"/>
      <c r="AK47" s="127">
        <f t="shared" si="27"/>
        <v>38</v>
      </c>
      <c r="AL47" s="132">
        <f t="shared" si="49"/>
        <v>0</v>
      </c>
      <c r="AM47" s="133">
        <f t="shared" si="50"/>
        <v>0</v>
      </c>
      <c r="AN47" s="133">
        <f t="shared" si="51"/>
        <v>0</v>
      </c>
      <c r="AO47" s="132">
        <f t="shared" si="52"/>
        <v>0</v>
      </c>
      <c r="AP47" s="127"/>
      <c r="AQ47" s="127">
        <f t="shared" si="28"/>
        <v>38</v>
      </c>
      <c r="AR47" s="132">
        <f t="shared" si="53"/>
        <v>0</v>
      </c>
      <c r="AS47" s="133">
        <f t="shared" si="54"/>
        <v>0</v>
      </c>
      <c r="AT47" s="133">
        <f t="shared" si="55"/>
        <v>0</v>
      </c>
      <c r="AU47" s="132">
        <f t="shared" si="56"/>
        <v>0</v>
      </c>
    </row>
    <row r="48" spans="12:47" x14ac:dyDescent="0.25">
      <c r="L48" s="127">
        <f t="shared" si="23"/>
        <v>39</v>
      </c>
      <c r="M48" s="132">
        <f t="shared" si="33"/>
        <v>-2484182.2811077917</v>
      </c>
      <c r="N48" s="133">
        <f t="shared" si="16"/>
        <v>-2383044.8759911689</v>
      </c>
      <c r="O48" s="133">
        <f t="shared" si="36"/>
        <v>101137.4051166229</v>
      </c>
      <c r="P48" s="132">
        <f t="shared" si="17"/>
        <v>9732772.8737198953</v>
      </c>
      <c r="R48" s="127">
        <f t="shared" si="24"/>
        <v>39</v>
      </c>
      <c r="S48" s="132"/>
      <c r="T48" s="133"/>
      <c r="U48" s="133"/>
      <c r="V48" s="132"/>
      <c r="X48" s="127">
        <f t="shared" si="25"/>
        <v>39</v>
      </c>
      <c r="Y48" s="132">
        <f t="shared" si="35"/>
        <v>0</v>
      </c>
      <c r="Z48" s="133">
        <f t="shared" si="20"/>
        <v>0</v>
      </c>
      <c r="AA48" s="133">
        <f t="shared" si="38"/>
        <v>0</v>
      </c>
      <c r="AB48" s="132">
        <f t="shared" si="21"/>
        <v>0</v>
      </c>
      <c r="AE48" s="127">
        <f t="shared" si="26"/>
        <v>39</v>
      </c>
      <c r="AF48" s="132">
        <f t="shared" si="45"/>
        <v>-2756437.7425152306</v>
      </c>
      <c r="AG48" s="133">
        <f t="shared" si="46"/>
        <v>-2494739.5624176208</v>
      </c>
      <c r="AH48" s="133">
        <f t="shared" si="47"/>
        <v>261698.18009760976</v>
      </c>
      <c r="AI48" s="132">
        <f t="shared" si="48"/>
        <v>28855555.136537142</v>
      </c>
      <c r="AJ48" s="127"/>
      <c r="AK48" s="127">
        <f t="shared" si="27"/>
        <v>39</v>
      </c>
      <c r="AL48" s="132">
        <f t="shared" si="49"/>
        <v>0</v>
      </c>
      <c r="AM48" s="133">
        <f t="shared" si="50"/>
        <v>0</v>
      </c>
      <c r="AN48" s="133">
        <f t="shared" si="51"/>
        <v>0</v>
      </c>
      <c r="AO48" s="132">
        <f t="shared" si="52"/>
        <v>0</v>
      </c>
      <c r="AP48" s="127"/>
      <c r="AQ48" s="127">
        <f t="shared" si="28"/>
        <v>39</v>
      </c>
      <c r="AR48" s="132">
        <f t="shared" si="53"/>
        <v>0</v>
      </c>
      <c r="AS48" s="133">
        <f t="shared" si="54"/>
        <v>0</v>
      </c>
      <c r="AT48" s="133">
        <f t="shared" si="55"/>
        <v>0</v>
      </c>
      <c r="AU48" s="132">
        <f t="shared" si="56"/>
        <v>0</v>
      </c>
    </row>
    <row r="49" spans="12:48" x14ac:dyDescent="0.25">
      <c r="L49" s="127">
        <f t="shared" si="23"/>
        <v>40</v>
      </c>
      <c r="M49" s="132">
        <f t="shared" si="33"/>
        <v>-2484182.2811077917</v>
      </c>
      <c r="N49" s="133">
        <f t="shared" si="16"/>
        <v>-2402937.4643424554</v>
      </c>
      <c r="O49" s="133">
        <f t="shared" si="36"/>
        <v>81244.816765336509</v>
      </c>
      <c r="P49" s="132">
        <f t="shared" si="17"/>
        <v>7329835.4093774399</v>
      </c>
      <c r="R49" s="127">
        <f t="shared" si="24"/>
        <v>40</v>
      </c>
      <c r="S49" s="132"/>
      <c r="T49" s="133"/>
      <c r="U49" s="133"/>
      <c r="V49" s="132"/>
      <c r="X49" s="127">
        <f t="shared" si="25"/>
        <v>40</v>
      </c>
      <c r="Y49" s="132">
        <f t="shared" si="35"/>
        <v>0</v>
      </c>
      <c r="Z49" s="133">
        <f t="shared" si="20"/>
        <v>0</v>
      </c>
      <c r="AA49" s="133">
        <f t="shared" si="38"/>
        <v>0</v>
      </c>
      <c r="AB49" s="132">
        <f t="shared" si="21"/>
        <v>0</v>
      </c>
      <c r="AE49" s="127">
        <f t="shared" si="26"/>
        <v>40</v>
      </c>
      <c r="AF49" s="132">
        <f t="shared" si="45"/>
        <v>-2756437.7425152306</v>
      </c>
      <c r="AG49" s="133">
        <f t="shared" si="46"/>
        <v>-2515564.5278468602</v>
      </c>
      <c r="AH49" s="133">
        <f t="shared" si="47"/>
        <v>240873.2146683704</v>
      </c>
      <c r="AI49" s="132">
        <f t="shared" si="48"/>
        <v>26339990.60869028</v>
      </c>
      <c r="AJ49" s="127"/>
      <c r="AK49" s="127">
        <f t="shared" si="27"/>
        <v>40</v>
      </c>
      <c r="AL49" s="132">
        <f t="shared" si="49"/>
        <v>0</v>
      </c>
      <c r="AM49" s="133">
        <f t="shared" si="50"/>
        <v>0</v>
      </c>
      <c r="AN49" s="133">
        <f t="shared" si="51"/>
        <v>0</v>
      </c>
      <c r="AO49" s="132">
        <f t="shared" si="52"/>
        <v>0</v>
      </c>
      <c r="AP49" s="127"/>
      <c r="AQ49" s="127">
        <f t="shared" si="28"/>
        <v>40</v>
      </c>
      <c r="AR49" s="132">
        <f t="shared" si="53"/>
        <v>0</v>
      </c>
      <c r="AS49" s="133">
        <f t="shared" si="54"/>
        <v>0</v>
      </c>
      <c r="AT49" s="133">
        <f t="shared" si="55"/>
        <v>0</v>
      </c>
      <c r="AU49" s="132">
        <f t="shared" si="56"/>
        <v>0</v>
      </c>
    </row>
    <row r="50" spans="12:48" x14ac:dyDescent="0.25">
      <c r="L50" s="127">
        <f>L49+1</f>
        <v>41</v>
      </c>
      <c r="M50" s="132">
        <f t="shared" si="33"/>
        <v>-2484182.2811077917</v>
      </c>
      <c r="N50" s="133">
        <f t="shared" si="16"/>
        <v>-2422996.1070871358</v>
      </c>
      <c r="O50" s="133">
        <f t="shared" si="36"/>
        <v>61186.17402065597</v>
      </c>
      <c r="P50" s="132">
        <f t="shared" si="17"/>
        <v>4906839.3022903036</v>
      </c>
      <c r="R50" s="127">
        <f>R49+1</f>
        <v>41</v>
      </c>
      <c r="S50" s="132"/>
      <c r="T50" s="133"/>
      <c r="U50" s="133"/>
      <c r="V50" s="132"/>
      <c r="X50" s="127">
        <f>X49+1</f>
        <v>41</v>
      </c>
      <c r="Y50" s="132">
        <f t="shared" si="35"/>
        <v>0</v>
      </c>
      <c r="Z50" s="133">
        <f t="shared" si="20"/>
        <v>0</v>
      </c>
      <c r="AA50" s="133">
        <f t="shared" si="38"/>
        <v>0</v>
      </c>
      <c r="AB50" s="132">
        <f t="shared" si="21"/>
        <v>0</v>
      </c>
      <c r="AE50" s="127">
        <f>AE49+1</f>
        <v>41</v>
      </c>
      <c r="AF50" s="132">
        <f t="shared" si="45"/>
        <v>-2756437.7425152306</v>
      </c>
      <c r="AG50" s="133">
        <f t="shared" si="46"/>
        <v>-2536563.330734591</v>
      </c>
      <c r="AH50" s="133">
        <f t="shared" si="47"/>
        <v>219874.41178063949</v>
      </c>
      <c r="AI50" s="132">
        <f t="shared" si="48"/>
        <v>23803427.277955689</v>
      </c>
      <c r="AJ50" s="127"/>
      <c r="AK50" s="127">
        <f>AK49+1</f>
        <v>41</v>
      </c>
      <c r="AL50" s="132">
        <f t="shared" si="49"/>
        <v>0</v>
      </c>
      <c r="AM50" s="133">
        <f t="shared" si="50"/>
        <v>0</v>
      </c>
      <c r="AN50" s="133">
        <f t="shared" si="51"/>
        <v>0</v>
      </c>
      <c r="AO50" s="132">
        <f t="shared" si="52"/>
        <v>0</v>
      </c>
      <c r="AP50" s="127"/>
      <c r="AQ50" s="127">
        <f>AQ49+1</f>
        <v>41</v>
      </c>
      <c r="AR50" s="132">
        <f t="shared" si="53"/>
        <v>0</v>
      </c>
      <c r="AS50" s="133">
        <f t="shared" si="54"/>
        <v>0</v>
      </c>
      <c r="AT50" s="133">
        <f t="shared" si="55"/>
        <v>0</v>
      </c>
      <c r="AU50" s="132">
        <f t="shared" si="56"/>
        <v>0</v>
      </c>
    </row>
    <row r="51" spans="12:48" x14ac:dyDescent="0.25">
      <c r="L51" s="127">
        <f t="shared" si="23"/>
        <v>42</v>
      </c>
      <c r="M51" s="132">
        <f t="shared" si="33"/>
        <v>-2484182.2811077917</v>
      </c>
      <c r="N51" s="133">
        <f t="shared" si="16"/>
        <v>-2443222.1903727083</v>
      </c>
      <c r="O51" s="133">
        <f t="shared" si="36"/>
        <v>40960.090735083606</v>
      </c>
      <c r="P51" s="132">
        <f t="shared" si="17"/>
        <v>2463617.1119175954</v>
      </c>
      <c r="R51" s="127">
        <f t="shared" si="24"/>
        <v>42</v>
      </c>
      <c r="S51" s="132"/>
      <c r="T51" s="133"/>
      <c r="U51" s="133"/>
      <c r="V51" s="132"/>
      <c r="X51" s="127">
        <f t="shared" si="25"/>
        <v>42</v>
      </c>
      <c r="Y51" s="132">
        <f t="shared" si="35"/>
        <v>0</v>
      </c>
      <c r="Z51" s="133">
        <f t="shared" si="20"/>
        <v>0</v>
      </c>
      <c r="AA51" s="133">
        <f t="shared" si="38"/>
        <v>0</v>
      </c>
      <c r="AB51" s="132">
        <f t="shared" si="21"/>
        <v>0</v>
      </c>
      <c r="AE51" s="127">
        <f t="shared" si="26"/>
        <v>42</v>
      </c>
      <c r="AF51" s="132">
        <f t="shared" si="45"/>
        <v>-2756437.7425152306</v>
      </c>
      <c r="AG51" s="133">
        <f t="shared" si="46"/>
        <v>-2557737.422197843</v>
      </c>
      <c r="AH51" s="133">
        <f t="shared" si="47"/>
        <v>198700.32031738744</v>
      </c>
      <c r="AI51" s="132">
        <f t="shared" si="48"/>
        <v>21245689.855757847</v>
      </c>
      <c r="AJ51" s="127"/>
      <c r="AK51" s="127">
        <f t="shared" si="27"/>
        <v>42</v>
      </c>
      <c r="AL51" s="132">
        <f t="shared" si="49"/>
        <v>0</v>
      </c>
      <c r="AM51" s="133">
        <f t="shared" si="50"/>
        <v>0</v>
      </c>
      <c r="AN51" s="133">
        <f t="shared" si="51"/>
        <v>0</v>
      </c>
      <c r="AO51" s="132">
        <f t="shared" si="52"/>
        <v>0</v>
      </c>
      <c r="AP51" s="127"/>
      <c r="AQ51" s="127">
        <f t="shared" si="28"/>
        <v>42</v>
      </c>
      <c r="AR51" s="132">
        <f t="shared" si="53"/>
        <v>0</v>
      </c>
      <c r="AS51" s="133">
        <f t="shared" si="54"/>
        <v>0</v>
      </c>
      <c r="AT51" s="133">
        <f t="shared" si="55"/>
        <v>0</v>
      </c>
      <c r="AU51" s="132">
        <f t="shared" si="56"/>
        <v>0</v>
      </c>
    </row>
    <row r="52" spans="12:48" x14ac:dyDescent="0.25">
      <c r="L52" s="127">
        <f t="shared" si="23"/>
        <v>43</v>
      </c>
      <c r="M52" s="132">
        <f t="shared" si="33"/>
        <v>-2484182.2811077917</v>
      </c>
      <c r="N52" s="133">
        <f t="shared" si="16"/>
        <v>-2463617.1119176066</v>
      </c>
      <c r="O52" s="133">
        <f t="shared" si="36"/>
        <v>20565.169190184984</v>
      </c>
      <c r="P52" s="132">
        <f t="shared" si="17"/>
        <v>-1.1175870895385742E-8</v>
      </c>
      <c r="R52" s="127">
        <f t="shared" si="24"/>
        <v>43</v>
      </c>
      <c r="S52" s="132"/>
      <c r="T52" s="133"/>
      <c r="U52" s="133"/>
      <c r="V52" s="132"/>
      <c r="X52" s="127">
        <f t="shared" si="25"/>
        <v>43</v>
      </c>
      <c r="Y52" s="132">
        <f t="shared" si="35"/>
        <v>0</v>
      </c>
      <c r="Z52" s="133">
        <f t="shared" si="20"/>
        <v>0</v>
      </c>
      <c r="AA52" s="133">
        <f t="shared" si="38"/>
        <v>0</v>
      </c>
      <c r="AB52" s="132">
        <f t="shared" si="21"/>
        <v>0</v>
      </c>
      <c r="AE52" s="127">
        <f t="shared" si="26"/>
        <v>43</v>
      </c>
      <c r="AF52" s="132">
        <f t="shared" si="45"/>
        <v>-2756437.7425152306</v>
      </c>
      <c r="AG52" s="133">
        <f t="shared" si="46"/>
        <v>-2579088.2654669192</v>
      </c>
      <c r="AH52" s="133">
        <f t="shared" si="47"/>
        <v>177349.47704831144</v>
      </c>
      <c r="AI52" s="132">
        <f t="shared" si="48"/>
        <v>18666601.590290926</v>
      </c>
      <c r="AJ52" s="127"/>
      <c r="AK52" s="127">
        <f t="shared" si="27"/>
        <v>43</v>
      </c>
      <c r="AL52" s="132">
        <f t="shared" si="49"/>
        <v>0</v>
      </c>
      <c r="AM52" s="133">
        <f t="shared" si="50"/>
        <v>0</v>
      </c>
      <c r="AN52" s="133">
        <f t="shared" si="51"/>
        <v>0</v>
      </c>
      <c r="AO52" s="132">
        <f t="shared" si="52"/>
        <v>0</v>
      </c>
      <c r="AP52" s="127"/>
      <c r="AQ52" s="127">
        <f t="shared" si="28"/>
        <v>43</v>
      </c>
      <c r="AR52" s="132">
        <f t="shared" si="53"/>
        <v>0</v>
      </c>
      <c r="AS52" s="133">
        <f t="shared" si="54"/>
        <v>0</v>
      </c>
      <c r="AT52" s="133">
        <f t="shared" si="55"/>
        <v>0</v>
      </c>
      <c r="AU52" s="132">
        <f t="shared" si="56"/>
        <v>0</v>
      </c>
    </row>
    <row r="53" spans="12:48" x14ac:dyDescent="0.25">
      <c r="L53" s="127">
        <f>L52+1</f>
        <v>44</v>
      </c>
      <c r="M53" s="132"/>
      <c r="N53" s="133"/>
      <c r="O53" s="133"/>
      <c r="P53" s="132"/>
      <c r="R53" s="127">
        <f>R52+1</f>
        <v>44</v>
      </c>
      <c r="S53" s="132"/>
      <c r="T53" s="133"/>
      <c r="U53" s="133"/>
      <c r="V53" s="132"/>
      <c r="X53" s="127">
        <f>X52+1</f>
        <v>44</v>
      </c>
      <c r="Y53" s="132">
        <f t="shared" si="35"/>
        <v>0</v>
      </c>
      <c r="Z53" s="133">
        <f t="shared" si="20"/>
        <v>0</v>
      </c>
      <c r="AA53" s="133">
        <f t="shared" si="38"/>
        <v>0</v>
      </c>
      <c r="AB53" s="132">
        <f t="shared" si="21"/>
        <v>0</v>
      </c>
      <c r="AE53" s="127">
        <f>AE52+1</f>
        <v>44</v>
      </c>
      <c r="AF53" s="132">
        <f t="shared" si="45"/>
        <v>-2756437.7425152306</v>
      </c>
      <c r="AG53" s="133">
        <f t="shared" si="46"/>
        <v>-2600617.3359865113</v>
      </c>
      <c r="AH53" s="133">
        <f t="shared" si="47"/>
        <v>155820.40652871926</v>
      </c>
      <c r="AI53" s="132">
        <f t="shared" si="48"/>
        <v>16065984.254304415</v>
      </c>
      <c r="AJ53" s="127"/>
      <c r="AK53" s="127">
        <f>AK52+1</f>
        <v>44</v>
      </c>
      <c r="AL53" s="132">
        <f t="shared" si="49"/>
        <v>0</v>
      </c>
      <c r="AM53" s="133">
        <f t="shared" si="50"/>
        <v>0</v>
      </c>
      <c r="AN53" s="133">
        <f t="shared" si="51"/>
        <v>0</v>
      </c>
      <c r="AO53" s="132">
        <f t="shared" si="52"/>
        <v>0</v>
      </c>
      <c r="AP53" s="127"/>
      <c r="AQ53" s="127">
        <f>AQ52+1</f>
        <v>44</v>
      </c>
      <c r="AR53" s="132">
        <f t="shared" si="53"/>
        <v>0</v>
      </c>
      <c r="AS53" s="133">
        <f t="shared" si="54"/>
        <v>0</v>
      </c>
      <c r="AT53" s="133">
        <f t="shared" si="55"/>
        <v>0</v>
      </c>
      <c r="AU53" s="132">
        <f t="shared" si="56"/>
        <v>0</v>
      </c>
    </row>
    <row r="54" spans="12:48" x14ac:dyDescent="0.25">
      <c r="L54" s="127">
        <f t="shared" si="23"/>
        <v>45</v>
      </c>
      <c r="M54" s="132"/>
      <c r="N54" s="133"/>
      <c r="O54" s="133"/>
      <c r="P54" s="132"/>
      <c r="R54" s="127">
        <f t="shared" si="24"/>
        <v>45</v>
      </c>
      <c r="S54" s="132"/>
      <c r="T54" s="133"/>
      <c r="U54" s="133"/>
      <c r="V54" s="132"/>
      <c r="X54" s="127">
        <f t="shared" si="25"/>
        <v>45</v>
      </c>
      <c r="Y54" s="132">
        <f t="shared" si="35"/>
        <v>0</v>
      </c>
      <c r="Z54" s="133">
        <f t="shared" si="20"/>
        <v>0</v>
      </c>
      <c r="AA54" s="133">
        <f t="shared" si="38"/>
        <v>0</v>
      </c>
      <c r="AB54" s="132">
        <f t="shared" si="21"/>
        <v>0</v>
      </c>
      <c r="AE54" s="127">
        <f t="shared" si="26"/>
        <v>45</v>
      </c>
      <c r="AF54" s="132">
        <f t="shared" si="45"/>
        <v>-2756437.7425152306</v>
      </c>
      <c r="AG54" s="133">
        <f t="shared" si="46"/>
        <v>-2622326.1215176615</v>
      </c>
      <c r="AH54" s="133">
        <f t="shared" si="47"/>
        <v>134111.62099756906</v>
      </c>
      <c r="AI54" s="132">
        <f t="shared" si="48"/>
        <v>13443658.132786753</v>
      </c>
      <c r="AJ54" s="127"/>
      <c r="AK54" s="127">
        <f t="shared" si="27"/>
        <v>45</v>
      </c>
      <c r="AL54" s="132">
        <f t="shared" si="49"/>
        <v>0</v>
      </c>
      <c r="AM54" s="133">
        <f t="shared" si="50"/>
        <v>0</v>
      </c>
      <c r="AN54" s="133">
        <f t="shared" si="51"/>
        <v>0</v>
      </c>
      <c r="AO54" s="132">
        <f t="shared" si="52"/>
        <v>0</v>
      </c>
      <c r="AP54" s="127"/>
      <c r="AQ54" s="127">
        <f t="shared" si="28"/>
        <v>45</v>
      </c>
      <c r="AR54" s="132">
        <f t="shared" si="53"/>
        <v>0</v>
      </c>
      <c r="AS54" s="133">
        <f t="shared" si="54"/>
        <v>0</v>
      </c>
      <c r="AT54" s="133">
        <f t="shared" si="55"/>
        <v>0</v>
      </c>
      <c r="AU54" s="132">
        <f t="shared" si="56"/>
        <v>0</v>
      </c>
    </row>
    <row r="55" spans="12:48" x14ac:dyDescent="0.25">
      <c r="L55" s="127">
        <f t="shared" si="23"/>
        <v>46</v>
      </c>
      <c r="M55" s="132"/>
      <c r="N55" s="133"/>
      <c r="O55" s="133"/>
      <c r="P55" s="132"/>
      <c r="R55" s="127">
        <f t="shared" si="24"/>
        <v>46</v>
      </c>
      <c r="S55" s="132"/>
      <c r="T55" s="133"/>
      <c r="U55" s="133"/>
      <c r="V55" s="132"/>
      <c r="X55" s="127">
        <f t="shared" si="25"/>
        <v>46</v>
      </c>
      <c r="Y55" s="132">
        <f t="shared" si="35"/>
        <v>0</v>
      </c>
      <c r="Z55" s="133">
        <f t="shared" si="20"/>
        <v>0</v>
      </c>
      <c r="AA55" s="133">
        <f t="shared" si="38"/>
        <v>0</v>
      </c>
      <c r="AB55" s="132">
        <f t="shared" si="21"/>
        <v>0</v>
      </c>
      <c r="AE55" s="127">
        <f t="shared" si="26"/>
        <v>46</v>
      </c>
      <c r="AF55" s="132">
        <f t="shared" si="45"/>
        <v>-2756437.7425152306</v>
      </c>
      <c r="AG55" s="133">
        <f t="shared" si="46"/>
        <v>-2644216.1222405727</v>
      </c>
      <c r="AH55" s="133">
        <f t="shared" si="47"/>
        <v>112221.62027465797</v>
      </c>
      <c r="AI55" s="132">
        <f t="shared" si="48"/>
        <v>10799442.010546179</v>
      </c>
      <c r="AJ55" s="127"/>
      <c r="AK55" s="127">
        <f t="shared" si="27"/>
        <v>46</v>
      </c>
      <c r="AL55" s="132">
        <f t="shared" si="49"/>
        <v>0</v>
      </c>
      <c r="AM55" s="133">
        <f t="shared" si="50"/>
        <v>0</v>
      </c>
      <c r="AN55" s="133">
        <f t="shared" si="51"/>
        <v>0</v>
      </c>
      <c r="AO55" s="132">
        <f t="shared" si="52"/>
        <v>0</v>
      </c>
      <c r="AP55" s="127"/>
      <c r="AQ55" s="127">
        <f t="shared" si="28"/>
        <v>46</v>
      </c>
      <c r="AR55" s="132">
        <f t="shared" si="53"/>
        <v>0</v>
      </c>
      <c r="AS55" s="133">
        <f t="shared" si="54"/>
        <v>0</v>
      </c>
      <c r="AT55" s="133">
        <f t="shared" si="55"/>
        <v>0</v>
      </c>
      <c r="AU55" s="132">
        <f t="shared" si="56"/>
        <v>0</v>
      </c>
    </row>
    <row r="56" spans="12:48" x14ac:dyDescent="0.25">
      <c r="L56" s="127">
        <f>L55+1</f>
        <v>47</v>
      </c>
      <c r="M56" s="132"/>
      <c r="N56" s="133"/>
      <c r="O56" s="133"/>
      <c r="P56" s="132"/>
      <c r="R56" s="127">
        <f>R55+1</f>
        <v>47</v>
      </c>
      <c r="S56" s="132"/>
      <c r="T56" s="133"/>
      <c r="U56" s="133"/>
      <c r="V56" s="132"/>
      <c r="X56" s="127">
        <f>X55+1</f>
        <v>47</v>
      </c>
      <c r="Y56" s="132">
        <f t="shared" si="35"/>
        <v>0</v>
      </c>
      <c r="Z56" s="133">
        <f t="shared" si="20"/>
        <v>0</v>
      </c>
      <c r="AA56" s="133">
        <f t="shared" si="38"/>
        <v>0</v>
      </c>
      <c r="AB56" s="132">
        <f t="shared" si="21"/>
        <v>0</v>
      </c>
      <c r="AE56" s="127">
        <f>AE55+1</f>
        <v>47</v>
      </c>
      <c r="AF56" s="132">
        <f t="shared" si="45"/>
        <v>-2756437.7425152306</v>
      </c>
      <c r="AG56" s="133">
        <f t="shared" si="46"/>
        <v>-2666288.8508582781</v>
      </c>
      <c r="AH56" s="133">
        <f t="shared" si="47"/>
        <v>90148.891656952561</v>
      </c>
      <c r="AI56" s="132">
        <f t="shared" si="48"/>
        <v>8133153.1596879009</v>
      </c>
      <c r="AJ56" s="127"/>
      <c r="AK56" s="127">
        <f>AK55+1</f>
        <v>47</v>
      </c>
      <c r="AL56" s="132">
        <f t="shared" si="49"/>
        <v>0</v>
      </c>
      <c r="AM56" s="133">
        <f t="shared" si="50"/>
        <v>0</v>
      </c>
      <c r="AN56" s="133">
        <f t="shared" si="51"/>
        <v>0</v>
      </c>
      <c r="AO56" s="132">
        <f t="shared" si="52"/>
        <v>0</v>
      </c>
      <c r="AP56" s="127"/>
      <c r="AQ56" s="127">
        <f>AQ55+1</f>
        <v>47</v>
      </c>
      <c r="AR56" s="132">
        <f t="shared" si="53"/>
        <v>0</v>
      </c>
      <c r="AS56" s="133">
        <f t="shared" si="54"/>
        <v>0</v>
      </c>
      <c r="AT56" s="133">
        <f t="shared" si="55"/>
        <v>0</v>
      </c>
      <c r="AU56" s="132">
        <f t="shared" si="56"/>
        <v>0</v>
      </c>
    </row>
    <row r="57" spans="12:48" x14ac:dyDescent="0.25">
      <c r="L57" s="127">
        <f>L56+1</f>
        <v>48</v>
      </c>
      <c r="M57" s="132"/>
      <c r="N57" s="133"/>
      <c r="O57" s="133"/>
      <c r="P57" s="132"/>
      <c r="R57" s="127">
        <f>R56+1</f>
        <v>48</v>
      </c>
      <c r="S57" s="132"/>
      <c r="T57" s="133"/>
      <c r="U57" s="133"/>
      <c r="V57" s="132"/>
      <c r="X57" s="127">
        <f>X56+1</f>
        <v>48</v>
      </c>
      <c r="Y57" s="132">
        <f t="shared" si="35"/>
        <v>0</v>
      </c>
      <c r="Z57" s="133">
        <f t="shared" si="20"/>
        <v>0</v>
      </c>
      <c r="AA57" s="133">
        <f t="shared" si="38"/>
        <v>0</v>
      </c>
      <c r="AB57" s="132">
        <f t="shared" si="21"/>
        <v>0</v>
      </c>
      <c r="AE57" s="127">
        <f>AE56+1</f>
        <v>48</v>
      </c>
      <c r="AF57" s="132">
        <f t="shared" si="45"/>
        <v>-2756437.7425152306</v>
      </c>
      <c r="AG57" s="133">
        <f t="shared" si="46"/>
        <v>-2688545.8327011769</v>
      </c>
      <c r="AH57" s="133">
        <f t="shared" si="47"/>
        <v>67891.909814053884</v>
      </c>
      <c r="AI57" s="132">
        <f t="shared" si="48"/>
        <v>5444607.3269867245</v>
      </c>
      <c r="AJ57" s="127"/>
      <c r="AK57" s="127">
        <f>AK56+1</f>
        <v>48</v>
      </c>
      <c r="AL57" s="132">
        <f t="shared" si="49"/>
        <v>0</v>
      </c>
      <c r="AM57" s="133">
        <f t="shared" si="50"/>
        <v>0</v>
      </c>
      <c r="AN57" s="133">
        <f t="shared" si="51"/>
        <v>0</v>
      </c>
      <c r="AO57" s="132">
        <f t="shared" si="52"/>
        <v>0</v>
      </c>
      <c r="AP57" s="127"/>
      <c r="AQ57" s="127">
        <f>AQ56+1</f>
        <v>48</v>
      </c>
      <c r="AR57" s="132">
        <f t="shared" si="53"/>
        <v>0</v>
      </c>
      <c r="AS57" s="133">
        <f t="shared" si="54"/>
        <v>0</v>
      </c>
      <c r="AT57" s="133">
        <f t="shared" si="55"/>
        <v>0</v>
      </c>
      <c r="AU57" s="132">
        <f t="shared" si="56"/>
        <v>0</v>
      </c>
    </row>
    <row r="58" spans="12:48" x14ac:dyDescent="0.25">
      <c r="L58" s="127">
        <f t="shared" ref="L58:L69" si="57">L57+1</f>
        <v>49</v>
      </c>
      <c r="M58" s="132"/>
      <c r="N58" s="133"/>
      <c r="O58" s="133"/>
      <c r="P58" s="132"/>
      <c r="R58" s="127">
        <f t="shared" ref="R58:R69" si="58">R57+1</f>
        <v>49</v>
      </c>
      <c r="S58" s="132"/>
      <c r="T58" s="133"/>
      <c r="U58" s="133"/>
      <c r="V58" s="132"/>
      <c r="X58" s="127">
        <f t="shared" ref="X58:X69" si="59">X57+1</f>
        <v>49</v>
      </c>
      <c r="Y58" s="132">
        <f t="shared" si="35"/>
        <v>0</v>
      </c>
      <c r="Z58" s="133">
        <f t="shared" si="20"/>
        <v>0</v>
      </c>
      <c r="AA58" s="133">
        <f t="shared" si="38"/>
        <v>0</v>
      </c>
      <c r="AB58" s="132">
        <f t="shared" si="21"/>
        <v>0</v>
      </c>
      <c r="AE58" s="127">
        <f t="shared" ref="AE58:AE69" si="60">AE57+1</f>
        <v>49</v>
      </c>
      <c r="AF58" s="132">
        <f t="shared" si="45"/>
        <v>-2756437.7425152306</v>
      </c>
      <c r="AG58" s="133">
        <f t="shared" si="46"/>
        <v>-2710988.6058324408</v>
      </c>
      <c r="AH58" s="133">
        <f t="shared" si="47"/>
        <v>45449.136682789867</v>
      </c>
      <c r="AI58" s="132">
        <f t="shared" si="48"/>
        <v>2733618.7211542837</v>
      </c>
      <c r="AJ58" s="127"/>
      <c r="AK58" s="127">
        <f t="shared" ref="AK58:AK69" si="61">AK57+1</f>
        <v>49</v>
      </c>
      <c r="AL58" s="132"/>
      <c r="AM58" s="133"/>
      <c r="AN58" s="133"/>
      <c r="AO58" s="132"/>
      <c r="AP58" s="127"/>
      <c r="AQ58" s="127">
        <f t="shared" ref="AQ58:AQ69" si="62">AQ57+1</f>
        <v>49</v>
      </c>
      <c r="AR58" s="132">
        <f t="shared" si="53"/>
        <v>0</v>
      </c>
      <c r="AS58" s="133">
        <f t="shared" si="54"/>
        <v>0</v>
      </c>
      <c r="AT58" s="133">
        <f t="shared" si="55"/>
        <v>0</v>
      </c>
      <c r="AU58" s="132">
        <f>IF(AS58=0,0,AU57+AS58)</f>
        <v>0</v>
      </c>
      <c r="AV58" s="213"/>
    </row>
    <row r="59" spans="12:48" x14ac:dyDescent="0.25">
      <c r="L59" s="127">
        <f t="shared" si="57"/>
        <v>50</v>
      </c>
      <c r="M59" s="132"/>
      <c r="N59" s="133"/>
      <c r="O59" s="133"/>
      <c r="P59" s="132"/>
      <c r="R59" s="127">
        <f t="shared" si="58"/>
        <v>50</v>
      </c>
      <c r="S59" s="132"/>
      <c r="T59" s="133"/>
      <c r="U59" s="133"/>
      <c r="V59" s="132"/>
      <c r="X59" s="127">
        <f t="shared" si="59"/>
        <v>50</v>
      </c>
      <c r="Y59" s="132">
        <f t="shared" si="35"/>
        <v>0</v>
      </c>
      <c r="Z59" s="133">
        <f t="shared" si="20"/>
        <v>0</v>
      </c>
      <c r="AA59" s="133">
        <f t="shared" si="38"/>
        <v>0</v>
      </c>
      <c r="AB59" s="132">
        <f t="shared" si="21"/>
        <v>0</v>
      </c>
      <c r="AE59" s="127">
        <f t="shared" si="60"/>
        <v>50</v>
      </c>
      <c r="AF59" s="132">
        <f t="shared" si="45"/>
        <v>-2756437.7425152306</v>
      </c>
      <c r="AG59" s="133">
        <f t="shared" si="46"/>
        <v>-2733618.7211543028</v>
      </c>
      <c r="AH59" s="133">
        <f t="shared" si="47"/>
        <v>22819.021360927836</v>
      </c>
      <c r="AI59" s="132">
        <f t="shared" si="48"/>
        <v>-1.909211277961731E-8</v>
      </c>
      <c r="AJ59" s="127"/>
      <c r="AK59" s="127">
        <f t="shared" si="61"/>
        <v>50</v>
      </c>
      <c r="AL59" s="132"/>
      <c r="AM59" s="133"/>
      <c r="AN59" s="133"/>
      <c r="AO59" s="132"/>
      <c r="AP59" s="127"/>
      <c r="AQ59" s="127">
        <f t="shared" si="62"/>
        <v>50</v>
      </c>
      <c r="AR59" s="132">
        <f t="shared" si="53"/>
        <v>0</v>
      </c>
      <c r="AS59" s="133">
        <f t="shared" si="54"/>
        <v>0</v>
      </c>
      <c r="AT59" s="133">
        <f t="shared" si="55"/>
        <v>0</v>
      </c>
      <c r="AU59" s="132">
        <f t="shared" si="56"/>
        <v>0</v>
      </c>
    </row>
    <row r="60" spans="12:48" x14ac:dyDescent="0.25">
      <c r="L60" s="127">
        <f t="shared" si="57"/>
        <v>51</v>
      </c>
      <c r="R60" s="127">
        <f t="shared" si="58"/>
        <v>51</v>
      </c>
      <c r="S60" s="132"/>
      <c r="X60" s="127">
        <f t="shared" si="59"/>
        <v>51</v>
      </c>
      <c r="AE60" s="127">
        <f t="shared" si="60"/>
        <v>51</v>
      </c>
      <c r="AF60" s="132"/>
      <c r="AG60" s="133"/>
      <c r="AH60" s="133"/>
      <c r="AI60" s="132"/>
      <c r="AJ60" s="127"/>
      <c r="AK60" s="127">
        <f t="shared" si="61"/>
        <v>51</v>
      </c>
      <c r="AL60" s="132"/>
      <c r="AM60" s="127"/>
      <c r="AN60" s="127"/>
      <c r="AO60" s="127"/>
      <c r="AP60" s="127"/>
      <c r="AQ60" s="127">
        <f t="shared" si="62"/>
        <v>51</v>
      </c>
      <c r="AR60" s="132"/>
      <c r="AS60" s="133"/>
      <c r="AT60" s="133"/>
      <c r="AU60" s="132"/>
    </row>
    <row r="61" spans="12:48" x14ac:dyDescent="0.25">
      <c r="L61" s="127">
        <f t="shared" si="57"/>
        <v>52</v>
      </c>
      <c r="R61" s="127">
        <f t="shared" si="58"/>
        <v>52</v>
      </c>
      <c r="S61" s="132"/>
      <c r="X61" s="127">
        <f t="shared" si="59"/>
        <v>52</v>
      </c>
      <c r="AE61" s="127">
        <f t="shared" si="60"/>
        <v>52</v>
      </c>
      <c r="AF61" s="132"/>
      <c r="AG61" s="133"/>
      <c r="AH61" s="133"/>
      <c r="AI61" s="132"/>
      <c r="AJ61" s="127"/>
      <c r="AK61" s="127">
        <f t="shared" si="61"/>
        <v>52</v>
      </c>
      <c r="AL61" s="132"/>
      <c r="AM61" s="127"/>
      <c r="AN61" s="127"/>
      <c r="AO61" s="127"/>
      <c r="AP61" s="127"/>
      <c r="AQ61" s="127">
        <f t="shared" si="62"/>
        <v>52</v>
      </c>
      <c r="AR61" s="132"/>
      <c r="AS61" s="133"/>
      <c r="AT61" s="133"/>
      <c r="AU61" s="132"/>
    </row>
    <row r="62" spans="12:48" x14ac:dyDescent="0.25">
      <c r="L62" s="127">
        <f t="shared" si="57"/>
        <v>53</v>
      </c>
      <c r="R62" s="127">
        <f t="shared" si="58"/>
        <v>53</v>
      </c>
      <c r="S62" s="132"/>
      <c r="X62" s="127">
        <f t="shared" si="59"/>
        <v>53</v>
      </c>
      <c r="AE62" s="127">
        <f t="shared" si="60"/>
        <v>53</v>
      </c>
      <c r="AF62" s="132"/>
      <c r="AG62" s="133"/>
      <c r="AH62" s="133"/>
      <c r="AI62" s="132"/>
      <c r="AJ62" s="127"/>
      <c r="AK62" s="127">
        <f t="shared" si="61"/>
        <v>53</v>
      </c>
      <c r="AL62" s="132"/>
      <c r="AM62" s="127"/>
      <c r="AN62" s="127"/>
      <c r="AO62" s="127"/>
      <c r="AP62" s="127"/>
      <c r="AQ62" s="127">
        <f t="shared" si="62"/>
        <v>53</v>
      </c>
      <c r="AR62" s="132"/>
      <c r="AS62" s="133"/>
      <c r="AT62" s="133"/>
      <c r="AU62" s="132"/>
    </row>
    <row r="63" spans="12:48" x14ac:dyDescent="0.25">
      <c r="L63" s="127">
        <f t="shared" si="57"/>
        <v>54</v>
      </c>
      <c r="R63" s="127">
        <f t="shared" si="58"/>
        <v>54</v>
      </c>
      <c r="S63" s="132"/>
      <c r="X63" s="127">
        <f t="shared" si="59"/>
        <v>54</v>
      </c>
      <c r="AE63" s="127">
        <f t="shared" si="60"/>
        <v>54</v>
      </c>
      <c r="AF63" s="132"/>
      <c r="AG63" s="133"/>
      <c r="AH63" s="133"/>
      <c r="AI63" s="132"/>
      <c r="AJ63" s="127"/>
      <c r="AK63" s="127">
        <f t="shared" si="61"/>
        <v>54</v>
      </c>
      <c r="AL63" s="132"/>
      <c r="AM63" s="127"/>
      <c r="AN63" s="127"/>
      <c r="AO63" s="127"/>
      <c r="AP63" s="127"/>
      <c r="AQ63" s="127">
        <f t="shared" si="62"/>
        <v>54</v>
      </c>
      <c r="AR63" s="132"/>
      <c r="AS63" s="133"/>
      <c r="AT63" s="133"/>
      <c r="AU63" s="132"/>
    </row>
    <row r="64" spans="12:48" x14ac:dyDescent="0.25">
      <c r="L64" s="127">
        <f t="shared" si="57"/>
        <v>55</v>
      </c>
      <c r="R64" s="127">
        <f t="shared" si="58"/>
        <v>55</v>
      </c>
      <c r="S64" s="132"/>
      <c r="X64" s="127">
        <f t="shared" si="59"/>
        <v>55</v>
      </c>
      <c r="AE64" s="127">
        <f t="shared" si="60"/>
        <v>55</v>
      </c>
      <c r="AF64" s="132"/>
      <c r="AG64" s="133"/>
      <c r="AH64" s="133"/>
      <c r="AI64" s="132"/>
      <c r="AJ64" s="127"/>
      <c r="AK64" s="127">
        <f t="shared" si="61"/>
        <v>55</v>
      </c>
      <c r="AL64" s="132"/>
      <c r="AM64" s="127"/>
      <c r="AN64" s="127"/>
      <c r="AO64" s="127"/>
      <c r="AP64" s="127"/>
      <c r="AQ64" s="127">
        <f t="shared" si="62"/>
        <v>55</v>
      </c>
      <c r="AR64" s="132"/>
      <c r="AS64" s="133"/>
      <c r="AT64" s="133"/>
      <c r="AU64" s="132"/>
    </row>
    <row r="65" spans="12:47" x14ac:dyDescent="0.25">
      <c r="L65" s="127">
        <f t="shared" si="57"/>
        <v>56</v>
      </c>
      <c r="R65" s="127">
        <f t="shared" si="58"/>
        <v>56</v>
      </c>
      <c r="S65" s="132"/>
      <c r="X65" s="127">
        <f t="shared" si="59"/>
        <v>56</v>
      </c>
      <c r="AE65" s="127">
        <f t="shared" si="60"/>
        <v>56</v>
      </c>
      <c r="AF65" s="132"/>
      <c r="AG65" s="133"/>
      <c r="AH65" s="133"/>
      <c r="AI65" s="132"/>
      <c r="AJ65" s="127"/>
      <c r="AK65" s="127">
        <f t="shared" si="61"/>
        <v>56</v>
      </c>
      <c r="AL65" s="132"/>
      <c r="AM65" s="127"/>
      <c r="AN65" s="127"/>
      <c r="AO65" s="127"/>
      <c r="AP65" s="127"/>
      <c r="AQ65" s="127">
        <f t="shared" si="62"/>
        <v>56</v>
      </c>
      <c r="AR65" s="132"/>
      <c r="AS65" s="133"/>
      <c r="AT65" s="133"/>
      <c r="AU65" s="132"/>
    </row>
    <row r="66" spans="12:47" x14ac:dyDescent="0.25">
      <c r="L66" s="127">
        <f t="shared" si="57"/>
        <v>57</v>
      </c>
      <c r="R66" s="127">
        <f t="shared" si="58"/>
        <v>57</v>
      </c>
      <c r="S66" s="132"/>
      <c r="X66" s="127">
        <f t="shared" si="59"/>
        <v>57</v>
      </c>
      <c r="AE66" s="127">
        <f t="shared" si="60"/>
        <v>57</v>
      </c>
      <c r="AF66" s="127"/>
      <c r="AG66" s="127"/>
      <c r="AH66" s="127"/>
      <c r="AI66" s="127"/>
      <c r="AJ66" s="127"/>
      <c r="AK66" s="127">
        <f t="shared" si="61"/>
        <v>57</v>
      </c>
      <c r="AL66" s="132"/>
      <c r="AM66" s="127"/>
      <c r="AN66" s="127"/>
      <c r="AO66" s="127"/>
      <c r="AP66" s="127"/>
      <c r="AQ66" s="127">
        <f t="shared" si="62"/>
        <v>57</v>
      </c>
      <c r="AR66" s="132"/>
      <c r="AS66" s="133"/>
      <c r="AT66" s="133"/>
      <c r="AU66" s="132"/>
    </row>
    <row r="67" spans="12:47" x14ac:dyDescent="0.25">
      <c r="L67" s="127">
        <f t="shared" si="57"/>
        <v>58</v>
      </c>
      <c r="R67" s="127">
        <f t="shared" si="58"/>
        <v>58</v>
      </c>
      <c r="S67" s="132"/>
      <c r="X67" s="127">
        <f t="shared" si="59"/>
        <v>58</v>
      </c>
      <c r="AE67" s="127">
        <f t="shared" si="60"/>
        <v>58</v>
      </c>
      <c r="AF67" s="127"/>
      <c r="AG67" s="127"/>
      <c r="AH67" s="127"/>
      <c r="AI67" s="127"/>
      <c r="AJ67" s="127"/>
      <c r="AK67" s="127">
        <f t="shared" si="61"/>
        <v>58</v>
      </c>
      <c r="AL67" s="132"/>
      <c r="AM67" s="127"/>
      <c r="AN67" s="127"/>
      <c r="AO67" s="127"/>
      <c r="AP67" s="127"/>
      <c r="AQ67" s="127">
        <f t="shared" si="62"/>
        <v>58</v>
      </c>
      <c r="AR67" s="132"/>
      <c r="AS67" s="133"/>
      <c r="AT67" s="133"/>
      <c r="AU67" s="132"/>
    </row>
    <row r="68" spans="12:47" x14ac:dyDescent="0.25">
      <c r="L68" s="127">
        <f t="shared" si="57"/>
        <v>59</v>
      </c>
      <c r="R68" s="127">
        <f t="shared" si="58"/>
        <v>59</v>
      </c>
      <c r="S68" s="132"/>
      <c r="X68" s="127">
        <f t="shared" si="59"/>
        <v>59</v>
      </c>
      <c r="AE68" s="127">
        <f t="shared" si="60"/>
        <v>59</v>
      </c>
      <c r="AF68" s="127"/>
      <c r="AG68" s="127"/>
      <c r="AH68" s="127"/>
      <c r="AI68" s="127"/>
      <c r="AJ68" s="127"/>
      <c r="AK68" s="127">
        <f t="shared" si="61"/>
        <v>59</v>
      </c>
      <c r="AL68" s="132"/>
      <c r="AM68" s="127"/>
      <c r="AN68" s="127"/>
      <c r="AO68" s="127"/>
      <c r="AP68" s="127"/>
      <c r="AQ68" s="127">
        <f t="shared" si="62"/>
        <v>59</v>
      </c>
      <c r="AR68" s="132"/>
      <c r="AS68" s="133"/>
      <c r="AT68" s="133"/>
      <c r="AU68" s="132"/>
    </row>
    <row r="69" spans="12:47" x14ac:dyDescent="0.25">
      <c r="L69" s="127">
        <f t="shared" si="57"/>
        <v>60</v>
      </c>
      <c r="R69" s="127">
        <f t="shared" si="58"/>
        <v>60</v>
      </c>
      <c r="X69" s="127">
        <f t="shared" si="59"/>
        <v>60</v>
      </c>
      <c r="AE69" s="127">
        <f t="shared" si="60"/>
        <v>60</v>
      </c>
      <c r="AF69" s="127"/>
      <c r="AG69" s="127"/>
      <c r="AH69" s="127"/>
      <c r="AI69" s="127"/>
      <c r="AJ69" s="127"/>
      <c r="AK69" s="127">
        <f t="shared" si="61"/>
        <v>60</v>
      </c>
      <c r="AL69" s="127"/>
      <c r="AM69" s="127"/>
      <c r="AN69" s="127"/>
      <c r="AO69" s="127"/>
      <c r="AP69" s="127"/>
      <c r="AQ69" s="127">
        <f t="shared" si="62"/>
        <v>60</v>
      </c>
      <c r="AR69" s="132"/>
      <c r="AS69" s="133"/>
      <c r="AT69" s="133"/>
      <c r="AU69" s="132"/>
    </row>
  </sheetData>
  <sheetProtection algorithmName="SHA-512" hashValue="4Yj+/bRlX7cQSQe4Iyj/xf/4dUCje3t/fUxMbGUMixDmHVxwXzhexC9o1IlrhDWrcuDKwcVgmnhjWrCL+x97vw==" saltValue="EG4KKR8GLisv3+rU6VjQDQ==" spinCount="100000" sheet="1" objects="1" scenarios="1" formatCells="0" formatColumns="0" formatRows="0"/>
  <customSheetViews>
    <customSheetView guid="{D031F759-B892-43F4-943A-9CD4A624A3F4}" showPageBreaks="1" showGridLines="0" topLeftCell="F1">
      <selection activeCell="F16" sqref="F16:I16"/>
    </customSheetView>
  </customSheetViews>
  <mergeCells count="6">
    <mergeCell ref="B2:J2"/>
    <mergeCell ref="F21:I21"/>
    <mergeCell ref="I18:K18"/>
    <mergeCell ref="F20:I20"/>
    <mergeCell ref="F3:G3"/>
    <mergeCell ref="F4:G4"/>
  </mergeCells>
  <dataValidations count="2">
    <dataValidation type="list" allowBlank="1" showInputMessage="1" showErrorMessage="1" sqref="AD1:AD3 D4" xr:uid="{00000000-0002-0000-0300-000000000000}">
      <formula1>$AD$1:$AD$3</formula1>
    </dataValidation>
    <dataValidation type="list" allowBlank="1" showInputMessage="1" showErrorMessage="1" sqref="C26 J21" xr:uid="{00000000-0002-0000-0300-000001000000}">
      <formula1>$C$26:$C$28</formula1>
    </dataValidation>
  </dataValidations>
  <pageMargins left="0.7" right="0.7" top="0.75" bottom="0.75" header="0.3" footer="0.3"/>
  <pageSetup paperSize="9" orientation="portrait" r:id="rId1"/>
  <ignoredErrors>
    <ignoredError sqref="D19" unlockedFormula="1"/>
  </ignoredErrors>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L60"/>
  <sheetViews>
    <sheetView showGridLines="0" zoomScale="90" zoomScaleNormal="90" zoomScalePageLayoutView="90" workbookViewId="0">
      <pane xSplit="7" ySplit="1" topLeftCell="H35" activePane="bottomRight" state="frozenSplit"/>
      <selection pane="topRight" activeCell="H1" sqref="H1"/>
      <selection pane="bottomLeft" activeCell="A2" sqref="A2"/>
      <selection pane="bottomRight" activeCell="A19" sqref="A19:G39"/>
    </sheetView>
  </sheetViews>
  <sheetFormatPr baseColWidth="10" defaultColWidth="10.85546875" defaultRowHeight="15" x14ac:dyDescent="0.25"/>
  <cols>
    <col min="1" max="1" width="23.42578125" style="14" customWidth="1"/>
    <col min="2" max="2" width="17" style="14" customWidth="1"/>
    <col min="3" max="3" width="18.42578125" style="14" customWidth="1"/>
    <col min="4" max="4" width="19.140625" style="14" customWidth="1"/>
    <col min="5" max="5" width="17.85546875" style="14" customWidth="1"/>
    <col min="6" max="6" width="18" style="14" customWidth="1"/>
    <col min="7" max="7" width="19.42578125" style="14" customWidth="1"/>
    <col min="8" max="16384" width="10.85546875" style="14"/>
  </cols>
  <sheetData>
    <row r="1" spans="1:12" ht="34.5" customHeight="1" x14ac:dyDescent="0.25">
      <c r="A1" s="267" t="s">
        <v>124</v>
      </c>
      <c r="B1" s="267"/>
      <c r="C1" s="267"/>
      <c r="D1" s="267"/>
      <c r="E1" s="267"/>
      <c r="F1" s="267"/>
      <c r="G1" s="267"/>
    </row>
    <row r="2" spans="1:12" ht="23.25" x14ac:dyDescent="0.25">
      <c r="A2" s="268" t="s">
        <v>139</v>
      </c>
      <c r="B2" s="268"/>
      <c r="C2" s="268"/>
      <c r="D2" s="268"/>
      <c r="E2" s="268"/>
      <c r="F2" s="268"/>
      <c r="G2" s="268"/>
    </row>
    <row r="3" spans="1:12" ht="8.25" customHeight="1" x14ac:dyDescent="0.25">
      <c r="A3" s="51"/>
      <c r="B3" s="51"/>
      <c r="C3" s="51"/>
      <c r="D3" s="51"/>
      <c r="E3" s="51"/>
      <c r="F3" s="51"/>
      <c r="G3" s="51"/>
    </row>
    <row r="4" spans="1:12" ht="18.75" customHeight="1" x14ac:dyDescent="0.3">
      <c r="A4" s="269" t="s">
        <v>95</v>
      </c>
      <c r="B4" s="269"/>
      <c r="C4" s="269"/>
      <c r="D4" s="269"/>
      <c r="E4" s="269"/>
      <c r="F4" s="269"/>
      <c r="G4" s="269"/>
    </row>
    <row r="5" spans="1:12" ht="23.25" x14ac:dyDescent="0.25">
      <c r="C5" s="55">
        <f>'1'!B31</f>
        <v>2019</v>
      </c>
      <c r="D5" s="55">
        <f>'1'!C31</f>
        <v>2020</v>
      </c>
      <c r="E5" s="55">
        <f>'1'!D31</f>
        <v>2021</v>
      </c>
      <c r="F5" s="55">
        <f>'1'!E31</f>
        <v>2022</v>
      </c>
      <c r="G5" s="55">
        <f>'1'!F31</f>
        <v>2023</v>
      </c>
    </row>
    <row r="6" spans="1:12" ht="16.5" customHeight="1" x14ac:dyDescent="0.25">
      <c r="B6" s="14" t="s">
        <v>32</v>
      </c>
      <c r="C6" s="56">
        <f>'1'!B32</f>
        <v>1738376000</v>
      </c>
      <c r="D6" s="56">
        <f>'1'!C32</f>
        <v>1906289817.5600002</v>
      </c>
      <c r="E6" s="56">
        <f>'1'!D32</f>
        <v>2235008316.2071509</v>
      </c>
      <c r="F6" s="56">
        <f>'1'!E32</f>
        <v>2836591603.4390655</v>
      </c>
      <c r="G6" s="56">
        <f>'1'!F32</f>
        <v>3802541961.3512292</v>
      </c>
    </row>
    <row r="7" spans="1:12" ht="16.5" customHeight="1" x14ac:dyDescent="0.25">
      <c r="B7" s="14" t="s">
        <v>72</v>
      </c>
      <c r="C7" s="56">
        <f>'1'!B33</f>
        <v>812853980</v>
      </c>
      <c r="D7" s="56">
        <f>'1'!C33</f>
        <v>898511437.10240006</v>
      </c>
      <c r="E7" s="56">
        <f>'1'!D33</f>
        <v>1066616470.7887638</v>
      </c>
      <c r="F7" s="56">
        <f>'1'!E33</f>
        <v>1375493792.8976943</v>
      </c>
      <c r="G7" s="56">
        <f>'1'!F33</f>
        <v>1873270473.7179511</v>
      </c>
    </row>
    <row r="8" spans="1:12" ht="16.5" customHeight="1" thickBot="1" x14ac:dyDescent="0.3">
      <c r="B8" s="57" t="s">
        <v>73</v>
      </c>
      <c r="C8" s="58">
        <f>C6-C7</f>
        <v>925522020</v>
      </c>
      <c r="D8" s="58">
        <f t="shared" ref="D8:G8" si="0">D6-D7</f>
        <v>1007778380.4576001</v>
      </c>
      <c r="E8" s="58">
        <f t="shared" si="0"/>
        <v>1168391845.4183872</v>
      </c>
      <c r="F8" s="58">
        <f t="shared" si="0"/>
        <v>1461097810.5413711</v>
      </c>
      <c r="G8" s="58">
        <f t="shared" si="0"/>
        <v>1929271487.6332781</v>
      </c>
    </row>
    <row r="9" spans="1:12" ht="16.5" customHeight="1" thickTop="1" x14ac:dyDescent="0.25">
      <c r="B9" s="14" t="s">
        <v>74</v>
      </c>
      <c r="C9" s="56">
        <f>'2'!C24</f>
        <v>167017728</v>
      </c>
      <c r="D9" s="56">
        <f>C9*(1+'1'!Z4)</f>
        <v>171944750.97600001</v>
      </c>
      <c r="E9" s="56">
        <f>D9*(1+'1'!AA4)</f>
        <v>176793592.95352322</v>
      </c>
      <c r="F9" s="56">
        <f>E9*(1+'1'!AB4)</f>
        <v>181567019.96326834</v>
      </c>
      <c r="G9" s="56">
        <f>F9*(1+'1'!AC4)</f>
        <v>186469329.50227657</v>
      </c>
    </row>
    <row r="10" spans="1:12" ht="16.5" customHeight="1" x14ac:dyDescent="0.25">
      <c r="B10" s="14" t="s">
        <v>75</v>
      </c>
      <c r="C10" s="56">
        <f>'2'!C26</f>
        <v>6000000</v>
      </c>
      <c r="D10" s="56">
        <f>C10*(1+'1'!Z5)</f>
        <v>6204000</v>
      </c>
      <c r="E10" s="56">
        <f>D10*(1+'1'!AA5)</f>
        <v>6414936</v>
      </c>
      <c r="F10" s="56">
        <f>E10*(1+'1'!AB5)</f>
        <v>6633043.824</v>
      </c>
      <c r="G10" s="56">
        <f>F10*(1+'1'!AC5)</f>
        <v>6858567.3140160004</v>
      </c>
    </row>
    <row r="11" spans="1:12" ht="16.5" customHeight="1" x14ac:dyDescent="0.25">
      <c r="B11" s="14" t="s">
        <v>141</v>
      </c>
      <c r="C11" s="56">
        <f>'2'!F32</f>
        <v>911854376</v>
      </c>
      <c r="D11" s="56">
        <f>C11*(1+'1'!Z4)</f>
        <v>938754080.09200013</v>
      </c>
      <c r="E11" s="56">
        <f>D11*(1+'1'!AA4)</f>
        <v>965226945.15059459</v>
      </c>
      <c r="F11" s="56">
        <f>E11*(1+'1'!AB4)</f>
        <v>991288072.66966057</v>
      </c>
      <c r="G11" s="56">
        <f>F11*(1+'1'!AC4)</f>
        <v>1018052850.6317413</v>
      </c>
    </row>
    <row r="12" spans="1:12" ht="16.5" customHeight="1" x14ac:dyDescent="0.25">
      <c r="B12" s="14" t="s">
        <v>92</v>
      </c>
      <c r="C12" s="56">
        <f>'2'!G13</f>
        <v>10093958</v>
      </c>
      <c r="D12" s="56">
        <f>C12</f>
        <v>10093958</v>
      </c>
      <c r="E12" s="56">
        <f t="shared" ref="E12:G12" si="1">D12</f>
        <v>10093958</v>
      </c>
      <c r="F12" s="56">
        <f t="shared" si="1"/>
        <v>10093958</v>
      </c>
      <c r="G12" s="56">
        <f t="shared" si="1"/>
        <v>10093958</v>
      </c>
    </row>
    <row r="13" spans="1:12" ht="16.5" customHeight="1" thickBot="1" x14ac:dyDescent="0.3">
      <c r="B13" s="57" t="s">
        <v>76</v>
      </c>
      <c r="C13" s="59">
        <f>C8-C9-C10-C11-C12</f>
        <v>-169444042</v>
      </c>
      <c r="D13" s="59">
        <f>D8-D9-D10-D11-D12</f>
        <v>-119218408.61040008</v>
      </c>
      <c r="E13" s="59">
        <f t="shared" ref="E13:G13" si="2">E8-E9-E10-E11-E12</f>
        <v>9862413.3142694235</v>
      </c>
      <c r="F13" s="59">
        <f t="shared" si="2"/>
        <v>271515716.08444238</v>
      </c>
      <c r="G13" s="59">
        <f t="shared" si="2"/>
        <v>707796782.18524408</v>
      </c>
      <c r="L13"/>
    </row>
    <row r="14" spans="1:12" ht="16.5" customHeight="1" thickTop="1" x14ac:dyDescent="0.25">
      <c r="B14" s="14" t="s">
        <v>77</v>
      </c>
      <c r="C14" s="56">
        <f>'3'!I10</f>
        <v>0</v>
      </c>
      <c r="D14" s="56">
        <f>'3'!I11</f>
        <v>7820635.5382076725</v>
      </c>
      <c r="E14" s="56">
        <f>'3'!I12</f>
        <v>5171216.3758874675</v>
      </c>
      <c r="F14" s="56">
        <f>'3'!I13</f>
        <v>2243873.1434398741</v>
      </c>
      <c r="G14" s="56">
        <f>'3'!I14</f>
        <v>68268.158043717704</v>
      </c>
    </row>
    <row r="15" spans="1:12" ht="16.5" customHeight="1" thickBot="1" x14ac:dyDescent="0.3">
      <c r="B15" s="57" t="s">
        <v>78</v>
      </c>
      <c r="C15" s="59">
        <f>C13-C14</f>
        <v>-169444042</v>
      </c>
      <c r="D15" s="59">
        <f t="shared" ref="D15:G15" si="3">D13-D14</f>
        <v>-127039044.14860776</v>
      </c>
      <c r="E15" s="59">
        <f t="shared" si="3"/>
        <v>4691196.938381956</v>
      </c>
      <c r="F15" s="59">
        <f t="shared" si="3"/>
        <v>269271842.94100249</v>
      </c>
      <c r="G15" s="59">
        <f t="shared" si="3"/>
        <v>707728514.02720034</v>
      </c>
    </row>
    <row r="16" spans="1:12" ht="16.5" customHeight="1" thickTop="1" x14ac:dyDescent="0.25">
      <c r="B16" s="14" t="s">
        <v>79</v>
      </c>
      <c r="C16" s="60">
        <f>IF(C15*'1'!$AB$7&lt;0,0,C15*'1'!$AB$7)</f>
        <v>0</v>
      </c>
      <c r="D16" s="60">
        <f>IF(D15*'1'!$AB$7&lt;0,0,D15*'1'!$AB$7)</f>
        <v>0</v>
      </c>
      <c r="E16" s="60">
        <f>IF(E15*'1'!$AB$7&lt;0,0,E15*'1'!$AB$7)</f>
        <v>1548094.9896660456</v>
      </c>
      <c r="F16" s="60">
        <f>IF(F15*'1'!$AB$7&lt;0,0,F15*'1'!$AB$7)</f>
        <v>88859708.170530826</v>
      </c>
      <c r="G16" s="60">
        <f>IF(G15*'1'!$AB$7&lt;0,0,G15*'1'!$AB$7)</f>
        <v>233550409.62897614</v>
      </c>
    </row>
    <row r="17" spans="1:8" ht="16.5" customHeight="1" thickBot="1" x14ac:dyDescent="0.3">
      <c r="B17" s="61" t="s">
        <v>80</v>
      </c>
      <c r="C17" s="62">
        <f>C15-C16</f>
        <v>-169444042</v>
      </c>
      <c r="D17" s="62">
        <f t="shared" ref="D17:G17" si="4">D15-D16</f>
        <v>-127039044.14860776</v>
      </c>
      <c r="E17" s="62">
        <f t="shared" si="4"/>
        <v>3143101.9487159103</v>
      </c>
      <c r="F17" s="62">
        <f t="shared" si="4"/>
        <v>180412134.77047166</v>
      </c>
      <c r="G17" s="62">
        <f t="shared" si="4"/>
        <v>474178104.39822423</v>
      </c>
    </row>
    <row r="19" spans="1:8" ht="15.75" x14ac:dyDescent="0.25">
      <c r="A19" s="266" t="s">
        <v>70</v>
      </c>
      <c r="B19" s="266"/>
      <c r="C19" s="266"/>
      <c r="D19" s="266"/>
      <c r="E19" s="266"/>
      <c r="F19" s="266"/>
      <c r="G19" s="266"/>
    </row>
    <row r="20" spans="1:8" ht="23.25" x14ac:dyDescent="0.25">
      <c r="B20" s="63" t="s">
        <v>90</v>
      </c>
      <c r="C20" s="55">
        <f>C5</f>
        <v>2019</v>
      </c>
      <c r="D20" s="55">
        <f>D5</f>
        <v>2020</v>
      </c>
      <c r="E20" s="55">
        <f>E5</f>
        <v>2021</v>
      </c>
      <c r="F20" s="55">
        <f>F5</f>
        <v>2022</v>
      </c>
      <c r="G20" s="55">
        <f>G5</f>
        <v>2023</v>
      </c>
    </row>
    <row r="21" spans="1:8" x14ac:dyDescent="0.25">
      <c r="A21" s="265" t="s">
        <v>71</v>
      </c>
      <c r="B21" s="265"/>
      <c r="C21" s="265"/>
      <c r="D21" s="265"/>
      <c r="E21" s="265"/>
      <c r="F21" s="265"/>
      <c r="G21" s="265"/>
    </row>
    <row r="22" spans="1:8" x14ac:dyDescent="0.25">
      <c r="A22" s="14" t="s">
        <v>101</v>
      </c>
      <c r="B22" s="25">
        <f>B38-B26</f>
        <v>965367.66666667163</v>
      </c>
      <c r="C22" s="25">
        <f t="shared" ref="C22:G22" si="5">C38-C26</f>
        <v>-68944075.333333313</v>
      </c>
      <c r="D22" s="25">
        <f t="shared" si="5"/>
        <v>-41701736.853916168</v>
      </c>
      <c r="E22" s="25">
        <f t="shared" si="5"/>
        <v>72216425.698778242</v>
      </c>
      <c r="F22" s="25">
        <f t="shared" si="5"/>
        <v>316057649.9346559</v>
      </c>
      <c r="G22" s="25">
        <f t="shared" si="5"/>
        <v>759163671.69386697</v>
      </c>
    </row>
    <row r="23" spans="1:8" x14ac:dyDescent="0.25">
      <c r="A23" s="14" t="s">
        <v>99</v>
      </c>
      <c r="B23" s="25">
        <f>'2'!C5</f>
        <v>0</v>
      </c>
      <c r="C23" s="25">
        <f>B23</f>
        <v>0</v>
      </c>
      <c r="D23" s="25">
        <f t="shared" ref="D23:G23" si="6">C23</f>
        <v>0</v>
      </c>
      <c r="E23" s="25">
        <f t="shared" si="6"/>
        <v>0</v>
      </c>
      <c r="F23" s="25">
        <f t="shared" si="6"/>
        <v>0</v>
      </c>
      <c r="G23" s="25">
        <f t="shared" si="6"/>
        <v>0</v>
      </c>
      <c r="H23" s="25"/>
    </row>
    <row r="24" spans="1:8" x14ac:dyDescent="0.25">
      <c r="A24" s="14" t="s">
        <v>100</v>
      </c>
      <c r="B24" s="25">
        <f>'2'!C13-'2'!C5</f>
        <v>89440641</v>
      </c>
      <c r="C24" s="25">
        <f>B24</f>
        <v>89440641</v>
      </c>
      <c r="D24" s="25">
        <f t="shared" ref="D24:G24" si="7">C24</f>
        <v>89440641</v>
      </c>
      <c r="E24" s="25">
        <f t="shared" si="7"/>
        <v>89440641</v>
      </c>
      <c r="F24" s="25">
        <f t="shared" si="7"/>
        <v>89440641</v>
      </c>
      <c r="G24" s="25">
        <f t="shared" si="7"/>
        <v>89440641</v>
      </c>
      <c r="H24" s="25"/>
    </row>
    <row r="25" spans="1:8" x14ac:dyDescent="0.25">
      <c r="A25" s="14" t="s">
        <v>93</v>
      </c>
      <c r="B25" s="25">
        <v>0</v>
      </c>
      <c r="C25" s="25">
        <f>C12</f>
        <v>10093958</v>
      </c>
      <c r="D25" s="25">
        <f>D12+C12</f>
        <v>20187916</v>
      </c>
      <c r="E25" s="25">
        <f>E12+D12+C12</f>
        <v>30281874</v>
      </c>
      <c r="F25" s="25">
        <f>F12+E12+D12+C12</f>
        <v>40375832</v>
      </c>
      <c r="G25" s="25">
        <f>F25+G12</f>
        <v>50469790</v>
      </c>
      <c r="H25" s="25"/>
    </row>
    <row r="26" spans="1:8" x14ac:dyDescent="0.25">
      <c r="A26" s="14" t="s">
        <v>94</v>
      </c>
      <c r="B26" s="25">
        <f>B23+(B24-B25)</f>
        <v>89440641</v>
      </c>
      <c r="C26" s="25">
        <f>C23+(C24-C25)</f>
        <v>79346683</v>
      </c>
      <c r="D26" s="25">
        <f t="shared" ref="D26:G26" si="8">D23+(D24-D25)</f>
        <v>69252725</v>
      </c>
      <c r="E26" s="25">
        <f t="shared" si="8"/>
        <v>59158767</v>
      </c>
      <c r="F26" s="25">
        <f t="shared" si="8"/>
        <v>49064809</v>
      </c>
      <c r="G26" s="25">
        <f t="shared" si="8"/>
        <v>38970851</v>
      </c>
      <c r="H26" s="25"/>
    </row>
    <row r="27" spans="1:8" ht="15.75" thickBot="1" x14ac:dyDescent="0.3">
      <c r="A27" s="57" t="s">
        <v>91</v>
      </c>
      <c r="B27" s="64">
        <f>B22+B26</f>
        <v>90406008.666666672</v>
      </c>
      <c r="C27" s="64">
        <f t="shared" ref="C27:G27" si="9">C22+C26</f>
        <v>10402607.666666687</v>
      </c>
      <c r="D27" s="64">
        <f t="shared" si="9"/>
        <v>27550988.146083832</v>
      </c>
      <c r="E27" s="64">
        <f t="shared" si="9"/>
        <v>131375192.69877824</v>
      </c>
      <c r="F27" s="64">
        <f t="shared" si="9"/>
        <v>365122458.9346559</v>
      </c>
      <c r="G27" s="64">
        <f t="shared" si="9"/>
        <v>798134522.69386697</v>
      </c>
      <c r="H27" s="25"/>
    </row>
    <row r="28" spans="1:8" ht="15.75" thickTop="1" x14ac:dyDescent="0.25">
      <c r="A28" s="265" t="s">
        <v>81</v>
      </c>
      <c r="B28" s="265"/>
      <c r="C28" s="265"/>
      <c r="D28" s="265"/>
      <c r="E28" s="265"/>
      <c r="F28" s="265"/>
      <c r="G28" s="265"/>
    </row>
    <row r="29" spans="1:8" x14ac:dyDescent="0.25">
      <c r="A29" s="14" t="s">
        <v>82</v>
      </c>
      <c r="B29" s="14">
        <v>0</v>
      </c>
      <c r="C29" s="60">
        <f>C16</f>
        <v>0</v>
      </c>
      <c r="D29" s="60">
        <f>D16</f>
        <v>0</v>
      </c>
      <c r="E29" s="60">
        <f>E16</f>
        <v>1548094.9896660456</v>
      </c>
      <c r="F29" s="60">
        <f>F16</f>
        <v>88859708.170530826</v>
      </c>
      <c r="G29" s="60">
        <f>G16</f>
        <v>233550409.62897614</v>
      </c>
    </row>
    <row r="30" spans="1:8" x14ac:dyDescent="0.25">
      <c r="A30" s="14" t="s">
        <v>83</v>
      </c>
      <c r="B30" s="60">
        <f>B29</f>
        <v>0</v>
      </c>
      <c r="C30" s="60">
        <f t="shared" ref="C30:G30" si="10">C29</f>
        <v>0</v>
      </c>
      <c r="D30" s="60">
        <f t="shared" si="10"/>
        <v>0</v>
      </c>
      <c r="E30" s="60">
        <f t="shared" si="10"/>
        <v>1548094.9896660456</v>
      </c>
      <c r="F30" s="60">
        <f t="shared" si="10"/>
        <v>88859708.170530826</v>
      </c>
      <c r="G30" s="60">
        <f t="shared" si="10"/>
        <v>233550409.62897614</v>
      </c>
    </row>
    <row r="31" spans="1:8" x14ac:dyDescent="0.25">
      <c r="A31" s="14" t="s">
        <v>84</v>
      </c>
      <c r="B31" s="24">
        <f>IF(AND('3'!J9="NO SE REQUIERE PRESTAMO",'3'!J21="TIPO 1"),0,IF('3'!J21="TIPO 2",'3'!J9,0))</f>
        <v>0</v>
      </c>
      <c r="C31" s="24">
        <f>'3'!J10</f>
        <v>89440641.000000015</v>
      </c>
      <c r="D31" s="24">
        <f>'3'!J11</f>
        <v>64184023.628024921</v>
      </c>
      <c r="E31" s="24">
        <f>'3'!J12</f>
        <v>36277987.093729615</v>
      </c>
      <c r="F31" s="24">
        <f>'3'!J13</f>
        <v>5444607.3269867226</v>
      </c>
      <c r="G31" s="24">
        <f>'3'!J14</f>
        <v>-2.0489096641540527E-8</v>
      </c>
    </row>
    <row r="32" spans="1:8" ht="15.75" thickBot="1" x14ac:dyDescent="0.3">
      <c r="A32" s="57" t="s">
        <v>81</v>
      </c>
      <c r="B32" s="64">
        <f>IF(B31="NO SE REQUIERE PRESTAMO",(0+B30),B30+B31)</f>
        <v>0</v>
      </c>
      <c r="C32" s="64">
        <f t="shared" ref="C32:G32" si="11">C30+C31</f>
        <v>89440641.000000015</v>
      </c>
      <c r="D32" s="64">
        <f t="shared" si="11"/>
        <v>64184023.628024921</v>
      </c>
      <c r="E32" s="64">
        <f t="shared" si="11"/>
        <v>37826082.08339566</v>
      </c>
      <c r="F32" s="64">
        <f t="shared" si="11"/>
        <v>94304315.497517556</v>
      </c>
      <c r="G32" s="64">
        <f t="shared" si="11"/>
        <v>233550409.62897611</v>
      </c>
    </row>
    <row r="33" spans="1:7" ht="15.75" thickTop="1" x14ac:dyDescent="0.25">
      <c r="A33" s="265" t="s">
        <v>85</v>
      </c>
      <c r="B33" s="265"/>
      <c r="C33" s="265"/>
      <c r="D33" s="265"/>
      <c r="E33" s="265"/>
      <c r="F33" s="265"/>
      <c r="G33" s="265"/>
    </row>
    <row r="34" spans="1:7" x14ac:dyDescent="0.25">
      <c r="A34" s="14" t="s">
        <v>86</v>
      </c>
      <c r="B34" s="25">
        <f>'3'!D19+'3'!C20</f>
        <v>90406008.666666672</v>
      </c>
      <c r="C34" s="25">
        <f>B34</f>
        <v>90406008.666666672</v>
      </c>
      <c r="D34" s="25">
        <f t="shared" ref="D34:G34" si="12">C34</f>
        <v>90406008.666666672</v>
      </c>
      <c r="E34" s="25">
        <f t="shared" si="12"/>
        <v>90406008.666666672</v>
      </c>
      <c r="F34" s="25">
        <f t="shared" si="12"/>
        <v>90406008.666666672</v>
      </c>
      <c r="G34" s="25">
        <f t="shared" si="12"/>
        <v>90406008.666666672</v>
      </c>
    </row>
    <row r="35" spans="1:7" x14ac:dyDescent="0.25">
      <c r="A35" s="14" t="s">
        <v>87</v>
      </c>
      <c r="B35" s="14">
        <v>0</v>
      </c>
      <c r="C35" s="60">
        <f>C17</f>
        <v>-169444042</v>
      </c>
      <c r="D35" s="60">
        <f>D17</f>
        <v>-127039044.14860776</v>
      </c>
      <c r="E35" s="60">
        <f>E17</f>
        <v>3143101.9487159103</v>
      </c>
      <c r="F35" s="60">
        <f>F17</f>
        <v>180412134.77047166</v>
      </c>
      <c r="G35" s="60">
        <f>G17</f>
        <v>474178104.39822423</v>
      </c>
    </row>
    <row r="36" spans="1:7" ht="15.75" thickBot="1" x14ac:dyDescent="0.3">
      <c r="A36" s="57" t="s">
        <v>88</v>
      </c>
      <c r="B36" s="64">
        <f>B34+B35</f>
        <v>90406008.666666672</v>
      </c>
      <c r="C36" s="64">
        <f t="shared" ref="C36:G36" si="13">C34+C35</f>
        <v>-79038033.333333328</v>
      </c>
      <c r="D36" s="64">
        <f t="shared" si="13"/>
        <v>-36633035.481941089</v>
      </c>
      <c r="E36" s="64">
        <f t="shared" si="13"/>
        <v>93549110.615382582</v>
      </c>
      <c r="F36" s="64">
        <f t="shared" si="13"/>
        <v>270818143.43713832</v>
      </c>
      <c r="G36" s="64">
        <f t="shared" si="13"/>
        <v>564584113.06489086</v>
      </c>
    </row>
    <row r="37" spans="1:7" ht="15.75" thickTop="1" x14ac:dyDescent="0.25"/>
    <row r="38" spans="1:7" ht="15.75" thickBot="1" x14ac:dyDescent="0.3">
      <c r="A38" s="57" t="s">
        <v>89</v>
      </c>
      <c r="B38" s="64">
        <f>B32+B36</f>
        <v>90406008.666666672</v>
      </c>
      <c r="C38" s="64">
        <f t="shared" ref="C38:G38" si="14">C32+C36</f>
        <v>10402607.666666687</v>
      </c>
      <c r="D38" s="64">
        <f t="shared" si="14"/>
        <v>27550988.146083832</v>
      </c>
      <c r="E38" s="64">
        <f t="shared" si="14"/>
        <v>131375192.69877824</v>
      </c>
      <c r="F38" s="64">
        <f t="shared" si="14"/>
        <v>365122458.9346559</v>
      </c>
      <c r="G38" s="64">
        <f t="shared" si="14"/>
        <v>798134522.69386697</v>
      </c>
    </row>
    <row r="39" spans="1:7" ht="15.75" thickTop="1" x14ac:dyDescent="0.25">
      <c r="A39" s="53" t="s">
        <v>96</v>
      </c>
      <c r="B39" s="65">
        <f>B27-B38</f>
        <v>0</v>
      </c>
      <c r="C39" s="65">
        <f t="shared" ref="C39:G39" si="15">C27-C38</f>
        <v>0</v>
      </c>
      <c r="D39" s="65">
        <f t="shared" si="15"/>
        <v>0</v>
      </c>
      <c r="E39" s="65">
        <f t="shared" si="15"/>
        <v>0</v>
      </c>
      <c r="F39" s="65">
        <f t="shared" si="15"/>
        <v>0</v>
      </c>
      <c r="G39" s="65">
        <f t="shared" si="15"/>
        <v>0</v>
      </c>
    </row>
    <row r="41" spans="1:7" ht="15.75" x14ac:dyDescent="0.25">
      <c r="A41" s="266" t="s">
        <v>102</v>
      </c>
      <c r="B41" s="266"/>
      <c r="C41" s="266"/>
      <c r="D41" s="266"/>
      <c r="E41" s="266"/>
      <c r="F41" s="266"/>
      <c r="G41" s="266"/>
    </row>
    <row r="42" spans="1:7" x14ac:dyDescent="0.25">
      <c r="A42" s="265" t="s">
        <v>103</v>
      </c>
      <c r="B42" s="265"/>
      <c r="C42" s="265"/>
      <c r="D42" s="265"/>
      <c r="E42" s="265"/>
      <c r="F42" s="265"/>
      <c r="G42" s="265"/>
    </row>
    <row r="43" spans="1:7" ht="23.25" x14ac:dyDescent="0.25">
      <c r="A43" s="11"/>
      <c r="B43" s="63" t="s">
        <v>90</v>
      </c>
      <c r="C43" s="55">
        <f>C20</f>
        <v>2019</v>
      </c>
      <c r="D43" s="55">
        <f t="shared" ref="D43:G43" si="16">D20</f>
        <v>2020</v>
      </c>
      <c r="E43" s="55">
        <f t="shared" si="16"/>
        <v>2021</v>
      </c>
      <c r="F43" s="55">
        <f t="shared" si="16"/>
        <v>2022</v>
      </c>
      <c r="G43" s="55">
        <f t="shared" si="16"/>
        <v>2023</v>
      </c>
    </row>
    <row r="44" spans="1:7" x14ac:dyDescent="0.25">
      <c r="A44" s="1" t="s">
        <v>104</v>
      </c>
      <c r="B44" s="2">
        <f>B22</f>
        <v>965367.66666667163</v>
      </c>
      <c r="C44" s="2">
        <f t="shared" ref="C44:G44" si="17">C22</f>
        <v>-68944075.333333313</v>
      </c>
      <c r="D44" s="2">
        <f t="shared" si="17"/>
        <v>-41701736.853916168</v>
      </c>
      <c r="E44" s="2">
        <f t="shared" si="17"/>
        <v>72216425.698778242</v>
      </c>
      <c r="F44" s="2">
        <f t="shared" si="17"/>
        <v>316057649.9346559</v>
      </c>
      <c r="G44" s="2">
        <f t="shared" si="17"/>
        <v>759163671.69386697</v>
      </c>
    </row>
    <row r="45" spans="1:7" ht="15.75" thickBot="1" x14ac:dyDescent="0.3">
      <c r="A45" s="1" t="s">
        <v>105</v>
      </c>
      <c r="B45" s="3">
        <f>B29</f>
        <v>0</v>
      </c>
      <c r="C45" s="3">
        <f t="shared" ref="C45:G45" si="18">C29</f>
        <v>0</v>
      </c>
      <c r="D45" s="3">
        <f t="shared" si="18"/>
        <v>0</v>
      </c>
      <c r="E45" s="3">
        <f t="shared" si="18"/>
        <v>1548094.9896660456</v>
      </c>
      <c r="F45" s="3">
        <f t="shared" si="18"/>
        <v>88859708.170530826</v>
      </c>
      <c r="G45" s="3">
        <f t="shared" si="18"/>
        <v>233550409.62897614</v>
      </c>
    </row>
    <row r="46" spans="1:7" ht="15.75" thickTop="1" x14ac:dyDescent="0.25">
      <c r="A46" s="4" t="s">
        <v>106</v>
      </c>
      <c r="B46" s="5">
        <f t="shared" ref="B46:G46" si="19">B44-B45</f>
        <v>965367.66666667163</v>
      </c>
      <c r="C46" s="5">
        <f t="shared" si="19"/>
        <v>-68944075.333333313</v>
      </c>
      <c r="D46" s="5">
        <f t="shared" si="19"/>
        <v>-41701736.853916168</v>
      </c>
      <c r="E46" s="5">
        <f t="shared" si="19"/>
        <v>70668330.709112197</v>
      </c>
      <c r="F46" s="5">
        <f t="shared" si="19"/>
        <v>227197941.76412508</v>
      </c>
      <c r="G46" s="5">
        <f t="shared" si="19"/>
        <v>525613262.06489086</v>
      </c>
    </row>
    <row r="47" spans="1:7" x14ac:dyDescent="0.25">
      <c r="A47" s="1"/>
      <c r="B47" s="2"/>
      <c r="C47" s="2"/>
      <c r="D47" s="2"/>
      <c r="E47" s="2"/>
      <c r="F47" s="2"/>
      <c r="G47" s="2"/>
    </row>
    <row r="48" spans="1:7" x14ac:dyDescent="0.25">
      <c r="A48" s="4" t="s">
        <v>107</v>
      </c>
      <c r="B48" s="2">
        <f>B26</f>
        <v>89440641</v>
      </c>
      <c r="C48" s="2">
        <f t="shared" ref="C48:G48" si="20">C26</f>
        <v>79346683</v>
      </c>
      <c r="D48" s="2">
        <f t="shared" si="20"/>
        <v>69252725</v>
      </c>
      <c r="E48" s="2">
        <f t="shared" si="20"/>
        <v>59158767</v>
      </c>
      <c r="F48" s="2">
        <f t="shared" si="20"/>
        <v>49064809</v>
      </c>
      <c r="G48" s="2">
        <f t="shared" si="20"/>
        <v>38970851</v>
      </c>
    </row>
    <row r="49" spans="1:7" ht="15.75" thickBot="1" x14ac:dyDescent="0.3">
      <c r="A49" s="1" t="s">
        <v>108</v>
      </c>
      <c r="B49" s="3">
        <f>B25</f>
        <v>0</v>
      </c>
      <c r="C49" s="3">
        <f t="shared" ref="C49:G49" si="21">C25</f>
        <v>10093958</v>
      </c>
      <c r="D49" s="3">
        <f t="shared" si="21"/>
        <v>20187916</v>
      </c>
      <c r="E49" s="3">
        <f t="shared" si="21"/>
        <v>30281874</v>
      </c>
      <c r="F49" s="3">
        <f t="shared" si="21"/>
        <v>40375832</v>
      </c>
      <c r="G49" s="3">
        <f t="shared" si="21"/>
        <v>50469790</v>
      </c>
    </row>
    <row r="50" spans="1:7" ht="15.75" thickTop="1" x14ac:dyDescent="0.25">
      <c r="A50" s="4" t="s">
        <v>109</v>
      </c>
      <c r="B50" s="5">
        <f t="shared" ref="B50:G50" si="22">B48+B49</f>
        <v>89440641</v>
      </c>
      <c r="C50" s="5">
        <f t="shared" si="22"/>
        <v>89440641</v>
      </c>
      <c r="D50" s="5">
        <f t="shared" si="22"/>
        <v>89440641</v>
      </c>
      <c r="E50" s="5">
        <f t="shared" si="22"/>
        <v>89440641</v>
      </c>
      <c r="F50" s="5">
        <f t="shared" si="22"/>
        <v>89440641</v>
      </c>
      <c r="G50" s="5">
        <f t="shared" si="22"/>
        <v>89440641</v>
      </c>
    </row>
    <row r="51" spans="1:7" x14ac:dyDescent="0.25">
      <c r="A51" s="1"/>
      <c r="B51" s="2"/>
      <c r="C51" s="2"/>
      <c r="D51" s="2"/>
      <c r="E51" s="2"/>
      <c r="F51" s="2"/>
      <c r="G51" s="2"/>
    </row>
    <row r="52" spans="1:7" ht="15.75" thickBot="1" x14ac:dyDescent="0.3">
      <c r="A52" s="12" t="s">
        <v>110</v>
      </c>
      <c r="B52" s="6">
        <f t="shared" ref="B52:G52" si="23">B46+B48</f>
        <v>90406008.666666672</v>
      </c>
      <c r="C52" s="6">
        <f t="shared" si="23"/>
        <v>10402607.666666687</v>
      </c>
      <c r="D52" s="6">
        <f t="shared" si="23"/>
        <v>27550988.146083832</v>
      </c>
      <c r="E52" s="6">
        <f t="shared" si="23"/>
        <v>129827097.7091122</v>
      </c>
      <c r="F52" s="6">
        <f t="shared" si="23"/>
        <v>276262750.76412511</v>
      </c>
      <c r="G52" s="6">
        <f t="shared" si="23"/>
        <v>564584113.06489086</v>
      </c>
    </row>
    <row r="53" spans="1:7" ht="15.75" thickTop="1" x14ac:dyDescent="0.25">
      <c r="A53" s="7"/>
      <c r="B53" s="2"/>
      <c r="C53" s="2"/>
      <c r="D53" s="2"/>
      <c r="E53" s="2"/>
      <c r="F53" s="2"/>
      <c r="G53" s="2"/>
    </row>
    <row r="54" spans="1:7" x14ac:dyDescent="0.25">
      <c r="A54" s="264" t="s">
        <v>111</v>
      </c>
      <c r="B54" s="264"/>
      <c r="C54" s="264"/>
      <c r="D54" s="264"/>
      <c r="E54" s="264"/>
      <c r="F54" s="264"/>
      <c r="G54" s="264"/>
    </row>
    <row r="55" spans="1:7" x14ac:dyDescent="0.25">
      <c r="A55" s="1" t="s">
        <v>112</v>
      </c>
      <c r="B55" s="8"/>
      <c r="C55" s="9">
        <f>C13</f>
        <v>-169444042</v>
      </c>
      <c r="D55" s="9">
        <f>D13</f>
        <v>-119218408.61040008</v>
      </c>
      <c r="E55" s="9">
        <f>E13</f>
        <v>9862413.3142694235</v>
      </c>
      <c r="F55" s="9">
        <f>F13</f>
        <v>271515716.08444238</v>
      </c>
      <c r="G55" s="9">
        <f>G13</f>
        <v>707796782.18524408</v>
      </c>
    </row>
    <row r="56" spans="1:7" ht="15.75" thickBot="1" x14ac:dyDescent="0.3">
      <c r="A56" s="1" t="s">
        <v>113</v>
      </c>
      <c r="B56" s="8"/>
      <c r="C56" s="10">
        <f>C55*'1'!$AB$7</f>
        <v>-55916533.859999999</v>
      </c>
      <c r="D56" s="10">
        <f>D55*'1'!$AB$7</f>
        <v>-39342074.841432028</v>
      </c>
      <c r="E56" s="10">
        <f>E55*'1'!$AB$7</f>
        <v>3254596.3937089099</v>
      </c>
      <c r="F56" s="10">
        <f>F55*'1'!$AB$7</f>
        <v>89600186.307865992</v>
      </c>
      <c r="G56" s="10">
        <f>G55*'1'!$AB$7</f>
        <v>233572938.12113056</v>
      </c>
    </row>
    <row r="57" spans="1:7" ht="15.75" thickTop="1" x14ac:dyDescent="0.25">
      <c r="A57" s="4" t="s">
        <v>114</v>
      </c>
      <c r="B57" s="8"/>
      <c r="C57" s="9">
        <f>C55-C56</f>
        <v>-113527508.14</v>
      </c>
      <c r="D57" s="9">
        <f>D55-D56</f>
        <v>-79876333.768968046</v>
      </c>
      <c r="E57" s="9">
        <f>E55-E56</f>
        <v>6607816.9205605136</v>
      </c>
      <c r="F57" s="9">
        <f>F55-F56</f>
        <v>181915529.7765764</v>
      </c>
      <c r="G57" s="9">
        <f>G55-G56</f>
        <v>474223844.0641135</v>
      </c>
    </row>
    <row r="58" spans="1:7" ht="15.75" thickBot="1" x14ac:dyDescent="0.3">
      <c r="A58" s="1" t="s">
        <v>115</v>
      </c>
      <c r="B58" s="8"/>
      <c r="C58" s="10">
        <f>C52-B52</f>
        <v>-80003400.999999985</v>
      </c>
      <c r="D58" s="10">
        <f>D52-C52</f>
        <v>17148380.479417145</v>
      </c>
      <c r="E58" s="10">
        <f>E52-D52</f>
        <v>102276109.56302837</v>
      </c>
      <c r="F58" s="10">
        <f>F52-E52</f>
        <v>146435653.05501291</v>
      </c>
      <c r="G58" s="10">
        <f>G52-F52</f>
        <v>288321362.30076575</v>
      </c>
    </row>
    <row r="59" spans="1:7" ht="16.5" thickTop="1" thickBot="1" x14ac:dyDescent="0.3">
      <c r="A59" s="52" t="s">
        <v>116</v>
      </c>
      <c r="B59" s="53"/>
      <c r="C59" s="54">
        <f>SUM(C57:C58)</f>
        <v>-193530909.13999999</v>
      </c>
      <c r="D59" s="54">
        <f t="shared" ref="D59:G59" si="24">SUM(D57:D58)</f>
        <v>-62727953.2895509</v>
      </c>
      <c r="E59" s="54">
        <f t="shared" si="24"/>
        <v>108883926.48358887</v>
      </c>
      <c r="F59" s="54">
        <f t="shared" si="24"/>
        <v>328351182.83158934</v>
      </c>
      <c r="G59" s="54">
        <f t="shared" si="24"/>
        <v>762545206.36487925</v>
      </c>
    </row>
    <row r="60" spans="1:7" ht="15.75" thickTop="1" x14ac:dyDescent="0.25"/>
  </sheetData>
  <sheetProtection password="909C" sheet="1" objects="1" scenarios="1" formatCells="0" formatColumns="0" formatRows="0"/>
  <customSheetViews>
    <customSheetView guid="{D031F759-B892-43F4-943A-9CD4A624A3F4}" scale="90" showPageBreaks="1" showGridLines="0">
      <pane xSplit="7" ySplit="1" topLeftCell="H2" activePane="bottomRight" state="frozenSplit"/>
      <selection pane="bottomRight" sqref="A1:G1"/>
    </customSheetView>
  </customSheetViews>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5" priority="3" operator="lessThan">
      <formula>0</formula>
    </cfRule>
  </conditionalFormatting>
  <conditionalFormatting sqref="B22:G22">
    <cfRule type="cellIs" dxfId="4" priority="2" operator="lessThan">
      <formula>0</formula>
    </cfRule>
  </conditionalFormatting>
  <conditionalFormatting sqref="C59:G59">
    <cfRule type="cellIs" dxfId="3" priority="1" operator="lessThan">
      <formula>0</formula>
    </cfRule>
  </conditionalFormatting>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L47"/>
  <sheetViews>
    <sheetView showGridLines="0" topLeftCell="A9" zoomScale="90" zoomScaleNormal="90" zoomScalePageLayoutView="90" workbookViewId="0">
      <selection activeCell="F14" sqref="B14:F20"/>
    </sheetView>
  </sheetViews>
  <sheetFormatPr baseColWidth="10" defaultColWidth="10.85546875" defaultRowHeight="15" x14ac:dyDescent="0.25"/>
  <cols>
    <col min="1" max="1" width="10.85546875" style="14"/>
    <col min="2" max="2" width="32.42578125" style="14" customWidth="1"/>
    <col min="3" max="3" width="24.28515625" style="14" bestFit="1" customWidth="1"/>
    <col min="4" max="4" width="23.140625" style="14" bestFit="1" customWidth="1"/>
    <col min="5" max="5" width="26.85546875" style="14" customWidth="1"/>
    <col min="6" max="6" width="26.42578125" style="14" customWidth="1"/>
    <col min="7" max="7" width="22.28515625" style="14" customWidth="1"/>
    <col min="8" max="8" width="21.28515625" style="14" customWidth="1"/>
    <col min="9" max="9" width="10.85546875" style="14"/>
    <col min="10" max="10" width="12" style="14" bestFit="1" customWidth="1"/>
    <col min="11" max="16384" width="10.85546875" style="14"/>
  </cols>
  <sheetData>
    <row r="2" spans="2:12" ht="38.25" customHeight="1" x14ac:dyDescent="0.25">
      <c r="B2" s="243" t="s">
        <v>138</v>
      </c>
      <c r="C2" s="243"/>
      <c r="D2" s="243"/>
      <c r="E2" s="243"/>
      <c r="F2" s="243"/>
      <c r="G2" s="243"/>
      <c r="H2" s="243"/>
    </row>
    <row r="3" spans="2:12" ht="15.75" customHeight="1" x14ac:dyDescent="0.25">
      <c r="B3" s="271" t="s">
        <v>117</v>
      </c>
      <c r="C3" s="271"/>
      <c r="D3" s="271"/>
      <c r="E3" s="272">
        <v>0.22</v>
      </c>
      <c r="F3" s="272"/>
      <c r="H3" s="196" t="str">
        <f>'3'!I4</f>
        <v>PLAN DE NEGOCIO PARA LA PUESTA EN MARCHA DE UNA PLANTA  TORREFACTORA DE CAFÉ TOSTADO Y MOLIDO</v>
      </c>
    </row>
    <row r="4" spans="2:12" x14ac:dyDescent="0.25">
      <c r="B4" s="271"/>
      <c r="C4" s="271"/>
      <c r="D4" s="271"/>
      <c r="E4" s="272"/>
      <c r="F4" s="272"/>
    </row>
    <row r="5" spans="2:12" ht="15.75" thickBot="1" x14ac:dyDescent="0.3"/>
    <row r="6" spans="2:12" ht="23.25" x14ac:dyDescent="0.25">
      <c r="B6" s="103" t="s">
        <v>118</v>
      </c>
      <c r="C6" s="80" t="s">
        <v>119</v>
      </c>
      <c r="D6" s="81">
        <f>'4'!C20</f>
        <v>2019</v>
      </c>
      <c r="E6" s="81">
        <f>'4'!D20</f>
        <v>2020</v>
      </c>
      <c r="F6" s="81">
        <f>'4'!E20</f>
        <v>2021</v>
      </c>
      <c r="G6" s="81">
        <f>'4'!F20</f>
        <v>2022</v>
      </c>
      <c r="H6" s="82">
        <f>'4'!G20</f>
        <v>2023</v>
      </c>
    </row>
    <row r="7" spans="2:12" ht="16.5" thickBot="1" x14ac:dyDescent="0.3">
      <c r="B7" s="83"/>
      <c r="C7" s="84">
        <f>-'3'!D14</f>
        <v>-179846649.66666669</v>
      </c>
      <c r="D7" s="84">
        <f>'4'!C59</f>
        <v>-193530909.13999999</v>
      </c>
      <c r="E7" s="84">
        <f>'4'!D59</f>
        <v>-62727953.2895509</v>
      </c>
      <c r="F7" s="84">
        <f>'4'!E59</f>
        <v>108883926.48358887</v>
      </c>
      <c r="G7" s="84">
        <f>'4'!F59</f>
        <v>328351182.83158934</v>
      </c>
      <c r="H7" s="85">
        <f>'4'!G59</f>
        <v>762545206.36487925</v>
      </c>
    </row>
    <row r="9" spans="2:12" ht="18.75" x14ac:dyDescent="0.3">
      <c r="B9" s="71" t="s">
        <v>120</v>
      </c>
      <c r="D9" s="86">
        <f>NPV(E3,C7:H7)</f>
        <v>89916896.084066376</v>
      </c>
      <c r="L9"/>
    </row>
    <row r="10" spans="2:12" ht="26.25" x14ac:dyDescent="0.25">
      <c r="B10" s="71" t="s">
        <v>121</v>
      </c>
      <c r="D10" s="87">
        <f>IF(C7:H7=0,0,IRR(C7:H7))</f>
        <v>0.30377653670052962</v>
      </c>
    </row>
    <row r="12" spans="2:12" ht="18.75" x14ac:dyDescent="0.3">
      <c r="B12" s="273" t="s">
        <v>125</v>
      </c>
      <c r="C12" s="273"/>
      <c r="D12" s="273"/>
      <c r="E12" s="273"/>
      <c r="F12" s="273"/>
      <c r="G12" s="273"/>
      <c r="H12" s="184"/>
    </row>
    <row r="13" spans="2:12" ht="36.75" x14ac:dyDescent="0.25">
      <c r="B13" s="88" t="str">
        <f>'1'!B2</f>
        <v>NOMBRE DEL PRODUCTO O SERVICIO</v>
      </c>
      <c r="C13" s="88" t="s">
        <v>126</v>
      </c>
      <c r="D13" s="88" t="s">
        <v>127</v>
      </c>
      <c r="E13" s="88" t="s">
        <v>128</v>
      </c>
      <c r="F13" s="88" t="s">
        <v>130</v>
      </c>
      <c r="H13" s="66"/>
      <c r="I13" s="66"/>
      <c r="J13" s="66" t="s">
        <v>134</v>
      </c>
    </row>
    <row r="14" spans="2:12" x14ac:dyDescent="0.25">
      <c r="B14" s="89" t="str">
        <f>'1'!B3</f>
        <v>CAFÉ TOSTADO Y/O MOLIDO 500 GR CLASE A</v>
      </c>
      <c r="C14" s="90">
        <f>'1'!D3-'1'!D17</f>
        <v>8565</v>
      </c>
      <c r="D14" s="91">
        <f>'1'!F3</f>
        <v>0.12370166178088055</v>
      </c>
      <c r="E14" s="92">
        <f>C14*D14</f>
        <v>1059.5047331532419</v>
      </c>
      <c r="F14" s="93">
        <f t="shared" ref="F14:F23" si="0">$E$27*D14</f>
        <v>12527.839295332162</v>
      </c>
      <c r="G14" s="37" t="s">
        <v>129</v>
      </c>
      <c r="H14" s="67">
        <f>'1'!D3</f>
        <v>14000</v>
      </c>
      <c r="I14" s="94">
        <f t="shared" ref="I14:I23" si="1">$B$34*D14</f>
        <v>25055.678590664324</v>
      </c>
      <c r="J14" s="67">
        <f>'1'!D17</f>
        <v>5435</v>
      </c>
    </row>
    <row r="15" spans="2:12" x14ac:dyDescent="0.25">
      <c r="B15" s="95" t="str">
        <f>'1'!B4</f>
        <v>CAFÉ TOSTADO Y/O MOLIDO 500 GR CLASE B</v>
      </c>
      <c r="C15" s="90">
        <f>'1'!D4-'1'!D18</f>
        <v>6690</v>
      </c>
      <c r="D15" s="91">
        <f>'1'!F4</f>
        <v>0.21498686130043212</v>
      </c>
      <c r="E15" s="92">
        <f t="shared" ref="E15:E23" si="2">C15*D15</f>
        <v>1438.2621020998909</v>
      </c>
      <c r="F15" s="93">
        <f t="shared" si="0"/>
        <v>21772.713561039331</v>
      </c>
      <c r="G15" s="37" t="str">
        <f>G14</f>
        <v>UNIDADES</v>
      </c>
      <c r="H15" s="67">
        <f>'1'!D4</f>
        <v>11450</v>
      </c>
      <c r="I15" s="94">
        <f t="shared" si="1"/>
        <v>43545.427122078661</v>
      </c>
      <c r="J15" s="67">
        <f>'1'!D18</f>
        <v>4760</v>
      </c>
    </row>
    <row r="16" spans="2:12" x14ac:dyDescent="0.25">
      <c r="B16" s="95" t="str">
        <f>'1'!B5</f>
        <v>CAFÉ TOSTADI Y/O MOLIDO 1 KG CLASE A</v>
      </c>
      <c r="C16" s="90">
        <f>'1'!D5-'1'!D19</f>
        <v>11490</v>
      </c>
      <c r="D16" s="91">
        <f>'1'!F5</f>
        <v>0.10739954992475736</v>
      </c>
      <c r="E16" s="92">
        <f t="shared" si="2"/>
        <v>1234.0208286354621</v>
      </c>
      <c r="F16" s="93">
        <f t="shared" si="0"/>
        <v>10876.849045340174</v>
      </c>
      <c r="G16" s="37" t="str">
        <f t="shared" ref="G16:G23" si="3">G15</f>
        <v>UNIDADES</v>
      </c>
      <c r="H16" s="67">
        <f>'1'!D5</f>
        <v>22100</v>
      </c>
      <c r="I16" s="94">
        <f t="shared" si="1"/>
        <v>21753.698090680347</v>
      </c>
      <c r="J16" s="67">
        <f>'1'!D19</f>
        <v>10610</v>
      </c>
    </row>
    <row r="17" spans="2:10" x14ac:dyDescent="0.25">
      <c r="B17" s="95" t="str">
        <f>'1'!B6</f>
        <v>CAFÉ TOSTADI Y/O MOLIDO 1 KG CLASE B</v>
      </c>
      <c r="C17" s="90">
        <f>'1'!D6-'1'!D20</f>
        <v>7840</v>
      </c>
      <c r="D17" s="91">
        <f>'1'!F6</f>
        <v>0.1765896445878222</v>
      </c>
      <c r="E17" s="92">
        <f t="shared" si="2"/>
        <v>1384.4628135685259</v>
      </c>
      <c r="F17" s="93">
        <f t="shared" si="0"/>
        <v>17884.049872626631</v>
      </c>
      <c r="G17" s="37" t="str">
        <f t="shared" si="3"/>
        <v>UNIDADES</v>
      </c>
      <c r="H17" s="67">
        <f>'1'!D6</f>
        <v>17100</v>
      </c>
      <c r="I17" s="94">
        <f t="shared" si="1"/>
        <v>35768.099745253261</v>
      </c>
      <c r="J17" s="67">
        <f>'1'!D20</f>
        <v>9260</v>
      </c>
    </row>
    <row r="18" spans="2:10" x14ac:dyDescent="0.25">
      <c r="B18" s="95" t="str">
        <f>'1'!B7</f>
        <v>CAFÉ TOSTADI Y/O MOLIDO 2,5 KG CLASE A</v>
      </c>
      <c r="C18" s="90">
        <f>'1'!D7-'1'!D21</f>
        <v>12375</v>
      </c>
      <c r="D18" s="91">
        <f>'1'!F7</f>
        <v>9.2845276280850639E-2</v>
      </c>
      <c r="E18" s="92">
        <f t="shared" si="2"/>
        <v>1148.9602939755266</v>
      </c>
      <c r="F18" s="93">
        <f t="shared" si="0"/>
        <v>9402.8704532487482</v>
      </c>
      <c r="G18" s="37" t="str">
        <f t="shared" si="3"/>
        <v>UNIDADES</v>
      </c>
      <c r="H18" s="67">
        <f>'1'!D7</f>
        <v>37500</v>
      </c>
      <c r="I18" s="94">
        <f t="shared" si="1"/>
        <v>18805.740906497496</v>
      </c>
      <c r="J18" s="67">
        <f>'1'!D21</f>
        <v>25125</v>
      </c>
    </row>
    <row r="19" spans="2:10" x14ac:dyDescent="0.25">
      <c r="B19" s="95" t="str">
        <f>'1'!B8</f>
        <v>CAFÉ TOSTADI Y/O MOLIDO 2,5 KG CLASE B</v>
      </c>
      <c r="C19" s="90">
        <f>'1'!D8-'1'!D22</f>
        <v>19245</v>
      </c>
      <c r="D19" s="91">
        <f>'1'!F8</f>
        <v>0.2154746729131097</v>
      </c>
      <c r="E19" s="92">
        <f t="shared" si="2"/>
        <v>4146.8100802127965</v>
      </c>
      <c r="F19" s="93">
        <f t="shared" si="0"/>
        <v>21822.116498736697</v>
      </c>
      <c r="G19" s="37" t="str">
        <f t="shared" si="3"/>
        <v>UNIDADES</v>
      </c>
      <c r="H19" s="67">
        <f>'1'!D8</f>
        <v>41000</v>
      </c>
      <c r="I19" s="94">
        <f t="shared" si="1"/>
        <v>43644.232997473395</v>
      </c>
      <c r="J19" s="67">
        <f>'1'!D22</f>
        <v>21755</v>
      </c>
    </row>
    <row r="20" spans="2:10" x14ac:dyDescent="0.25">
      <c r="B20" s="95" t="str">
        <f>'1'!B9</f>
        <v>CISCO KILO</v>
      </c>
      <c r="C20" s="90">
        <f>'1'!D9-'1'!D23</f>
        <v>4350</v>
      </c>
      <c r="D20" s="91">
        <f>'1'!F9</f>
        <v>6.9002333212147424E-2</v>
      </c>
      <c r="E20" s="92">
        <f t="shared" si="2"/>
        <v>300.16014947284128</v>
      </c>
      <c r="F20" s="93">
        <f t="shared" si="0"/>
        <v>6988.1853569274708</v>
      </c>
      <c r="G20" s="37" t="str">
        <f t="shared" si="3"/>
        <v>UNIDADES</v>
      </c>
      <c r="H20" s="67">
        <f>'1'!D9</f>
        <v>4800</v>
      </c>
      <c r="I20" s="94">
        <f t="shared" si="1"/>
        <v>13976.370713854942</v>
      </c>
      <c r="J20" s="67">
        <f>'1'!D23</f>
        <v>450</v>
      </c>
    </row>
    <row r="21" spans="2:10" x14ac:dyDescent="0.25">
      <c r="B21" s="95">
        <f>'1'!B10</f>
        <v>0</v>
      </c>
      <c r="C21" s="90">
        <f>'1'!D10-'1'!D24</f>
        <v>0</v>
      </c>
      <c r="D21" s="91">
        <f>'1'!F10</f>
        <v>0</v>
      </c>
      <c r="E21" s="92">
        <f t="shared" si="2"/>
        <v>0</v>
      </c>
      <c r="F21" s="93">
        <f t="shared" si="0"/>
        <v>0</v>
      </c>
      <c r="G21" s="37" t="str">
        <f t="shared" si="3"/>
        <v>UNIDADES</v>
      </c>
      <c r="H21" s="67">
        <f>'1'!D10</f>
        <v>0</v>
      </c>
      <c r="I21" s="94">
        <f t="shared" si="1"/>
        <v>0</v>
      </c>
      <c r="J21" s="67">
        <f>'1'!D24</f>
        <v>0</v>
      </c>
    </row>
    <row r="22" spans="2:10" x14ac:dyDescent="0.25">
      <c r="B22" s="95">
        <f>'1'!B11</f>
        <v>0</v>
      </c>
      <c r="C22" s="90">
        <f>'1'!D11-'1'!D25</f>
        <v>0</v>
      </c>
      <c r="D22" s="91">
        <f>'1'!F11</f>
        <v>0</v>
      </c>
      <c r="E22" s="92">
        <f t="shared" si="2"/>
        <v>0</v>
      </c>
      <c r="F22" s="93">
        <f t="shared" si="0"/>
        <v>0</v>
      </c>
      <c r="G22" s="37" t="str">
        <f t="shared" si="3"/>
        <v>UNIDADES</v>
      </c>
      <c r="H22" s="67">
        <f>'1'!D11</f>
        <v>0</v>
      </c>
      <c r="I22" s="94">
        <f t="shared" si="1"/>
        <v>0</v>
      </c>
      <c r="J22" s="67">
        <f>'1'!D25</f>
        <v>0</v>
      </c>
    </row>
    <row r="23" spans="2:10" x14ac:dyDescent="0.25">
      <c r="B23" s="89">
        <f>'1'!B12</f>
        <v>0</v>
      </c>
      <c r="C23" s="90">
        <f>'1'!D12-'1'!D26</f>
        <v>0</v>
      </c>
      <c r="D23" s="91">
        <f>'1'!F12</f>
        <v>0</v>
      </c>
      <c r="E23" s="92">
        <f t="shared" si="2"/>
        <v>0</v>
      </c>
      <c r="F23" s="93">
        <f t="shared" si="0"/>
        <v>0</v>
      </c>
      <c r="G23" s="37" t="str">
        <f t="shared" si="3"/>
        <v>UNIDADES</v>
      </c>
      <c r="H23" s="67">
        <f>'1'!D12</f>
        <v>0</v>
      </c>
      <c r="I23" s="94">
        <f t="shared" si="1"/>
        <v>0</v>
      </c>
      <c r="J23" s="67">
        <f>'1'!D26</f>
        <v>0</v>
      </c>
    </row>
    <row r="24" spans="2:10" ht="26.25" x14ac:dyDescent="0.4">
      <c r="B24" s="96"/>
      <c r="C24" s="97"/>
      <c r="D24" s="98"/>
      <c r="E24" s="25"/>
      <c r="F24" s="99">
        <f>SUM(F14:F23)</f>
        <v>101274.62408325121</v>
      </c>
      <c r="G24" s="14" t="str">
        <f>G23</f>
        <v>UNIDADES</v>
      </c>
      <c r="H24" s="67"/>
      <c r="I24" s="94"/>
      <c r="J24" s="67"/>
    </row>
    <row r="25" spans="2:10" ht="12.75" customHeight="1" x14ac:dyDescent="0.4">
      <c r="B25" s="96"/>
      <c r="C25" s="97"/>
      <c r="D25" s="98"/>
      <c r="E25" s="25"/>
      <c r="F25" s="99"/>
      <c r="H25" s="67"/>
      <c r="I25" s="94"/>
      <c r="J25" s="67"/>
    </row>
    <row r="26" spans="2:10" ht="21" customHeight="1" x14ac:dyDescent="0.35">
      <c r="B26" s="270" t="s">
        <v>137</v>
      </c>
      <c r="C26" s="270"/>
      <c r="D26" s="270"/>
      <c r="E26" s="104">
        <f>SUM(E14:E23)</f>
        <v>10712.181001118286</v>
      </c>
      <c r="H26" s="66"/>
      <c r="I26" s="66"/>
      <c r="J26" s="66"/>
    </row>
    <row r="27" spans="2:10" ht="19.5" customHeight="1" x14ac:dyDescent="0.4">
      <c r="B27" s="270" t="s">
        <v>136</v>
      </c>
      <c r="C27" s="270"/>
      <c r="D27" s="270"/>
      <c r="E27" s="99">
        <f>IF(E26=0,0,('2'!C24+'2'!F32+'2'!C26)/'5'!E26)</f>
        <v>101274.62408325121</v>
      </c>
      <c r="F27" s="100" t="s">
        <v>129</v>
      </c>
      <c r="H27" s="101"/>
    </row>
    <row r="30" spans="2:10" x14ac:dyDescent="0.25">
      <c r="B30" s="199"/>
      <c r="C30" s="199"/>
      <c r="D30" s="199"/>
      <c r="E30" s="199"/>
      <c r="F30" s="199"/>
      <c r="G30" s="199"/>
    </row>
    <row r="31" spans="2:10" x14ac:dyDescent="0.25">
      <c r="B31" s="199"/>
      <c r="C31" s="200" t="s">
        <v>131</v>
      </c>
      <c r="D31" s="200" t="s">
        <v>132</v>
      </c>
      <c r="E31" s="200" t="s">
        <v>135</v>
      </c>
      <c r="F31" s="200" t="s">
        <v>133</v>
      </c>
      <c r="G31" s="199"/>
    </row>
    <row r="32" spans="2:10" x14ac:dyDescent="0.25">
      <c r="B32" s="199">
        <v>0</v>
      </c>
      <c r="C32" s="201">
        <f>'2'!C26+'2'!F32+'2'!C24</f>
        <v>1084872104</v>
      </c>
      <c r="D32" s="199">
        <f>0</f>
        <v>0</v>
      </c>
      <c r="E32" s="199">
        <v>0</v>
      </c>
      <c r="F32" s="201">
        <f>C32+E32</f>
        <v>1084872104</v>
      </c>
      <c r="G32" s="199"/>
    </row>
    <row r="33" spans="2:10" x14ac:dyDescent="0.25">
      <c r="B33" s="202">
        <f>F24</f>
        <v>101274.62408325121</v>
      </c>
      <c r="C33" s="201">
        <f>C32</f>
        <v>1084872104</v>
      </c>
      <c r="D33" s="203">
        <f>SUMPRODUCT(F14:F23,H14:H23)</f>
        <v>2251740645.2907686</v>
      </c>
      <c r="E33" s="203">
        <f>SUMPRODUCT(F14:F23,J14:J23)</f>
        <v>1166868541.2907684</v>
      </c>
      <c r="F33" s="201">
        <f t="shared" ref="F33:F34" si="4">C33+E33</f>
        <v>2251740645.2907686</v>
      </c>
      <c r="G33" s="199"/>
    </row>
    <row r="34" spans="2:10" x14ac:dyDescent="0.25">
      <c r="B34" s="202">
        <f>B33*2</f>
        <v>202549.24816650242</v>
      </c>
      <c r="C34" s="201">
        <f>C33</f>
        <v>1084872104</v>
      </c>
      <c r="D34" s="203">
        <f>SUMPRODUCT(H14:H23,I14:I23)</f>
        <v>4503481290.5815372</v>
      </c>
      <c r="E34" s="203">
        <f>SUMPRODUCT(I14:I23,J14:J23)</f>
        <v>2333737082.5815368</v>
      </c>
      <c r="F34" s="201">
        <f t="shared" si="4"/>
        <v>3418609186.5815368</v>
      </c>
      <c r="G34" s="199"/>
    </row>
    <row r="35" spans="2:10" x14ac:dyDescent="0.25">
      <c r="B35" s="199"/>
      <c r="C35" s="201"/>
      <c r="D35" s="199"/>
      <c r="E35" s="199"/>
      <c r="F35" s="199"/>
      <c r="G35" s="199"/>
    </row>
    <row r="36" spans="2:10" x14ac:dyDescent="0.25">
      <c r="B36" s="8"/>
      <c r="C36" s="204"/>
      <c r="D36" s="8"/>
      <c r="E36" s="8"/>
      <c r="F36" s="8"/>
      <c r="G36" s="8"/>
    </row>
    <row r="37" spans="2:10" x14ac:dyDescent="0.25">
      <c r="B37" s="8"/>
      <c r="C37" s="204"/>
      <c r="D37" s="8"/>
      <c r="E37" s="8"/>
      <c r="F37" s="8"/>
      <c r="G37" s="8"/>
    </row>
    <row r="38" spans="2:10" x14ac:dyDescent="0.25">
      <c r="C38" s="25"/>
    </row>
    <row r="39" spans="2:10" x14ac:dyDescent="0.25">
      <c r="C39" s="25"/>
      <c r="J39" s="223" t="s">
        <v>182</v>
      </c>
    </row>
    <row r="40" spans="2:10" x14ac:dyDescent="0.25">
      <c r="C40" s="25"/>
    </row>
    <row r="41" spans="2:10" x14ac:dyDescent="0.25">
      <c r="C41" s="25"/>
      <c r="J41" s="224" t="s">
        <v>183</v>
      </c>
    </row>
    <row r="42" spans="2:10" x14ac:dyDescent="0.25">
      <c r="C42" s="25"/>
    </row>
    <row r="43" spans="2:10" x14ac:dyDescent="0.25">
      <c r="C43" s="25"/>
    </row>
    <row r="44" spans="2:10" x14ac:dyDescent="0.25">
      <c r="C44" s="25"/>
    </row>
    <row r="45" spans="2:10" x14ac:dyDescent="0.25">
      <c r="C45" s="25"/>
    </row>
    <row r="46" spans="2:10" x14ac:dyDescent="0.25">
      <c r="C46" s="25"/>
    </row>
    <row r="47" spans="2:10" x14ac:dyDescent="0.25">
      <c r="C47" s="25"/>
    </row>
  </sheetData>
  <sheetProtection formatCells="0" formatColumns="0" formatRows="0"/>
  <customSheetViews>
    <customSheetView guid="{D031F759-B892-43F4-943A-9CD4A624A3F4}" scale="90" showPageBreaks="1" showGridLines="0" showRowCol="0">
      <selection activeCell="D13" sqref="D13"/>
    </customSheetView>
  </customSheetViews>
  <mergeCells count="7">
    <mergeCell ref="B26:D26"/>
    <mergeCell ref="B27:D27"/>
    <mergeCell ref="B2:F2"/>
    <mergeCell ref="G2:H2"/>
    <mergeCell ref="B3:D4"/>
    <mergeCell ref="E3:F4"/>
    <mergeCell ref="B12:G12"/>
  </mergeCells>
  <conditionalFormatting sqref="D10">
    <cfRule type="cellIs" dxfId="2" priority="1" operator="equal">
      <formula>$E$3</formula>
    </cfRule>
    <cfRule type="cellIs" dxfId="1" priority="2" operator="greaterThan">
      <formula>$E$3</formula>
    </cfRule>
    <cfRule type="cellIs" dxfId="0" priority="3" operator="lessThan">
      <formula>$E$3</formula>
    </cfRule>
  </conditionalFormatting>
  <hyperlinks>
    <hyperlink ref="J39" r:id="rId1" xr:uid="{00000000-0004-0000-0500-000000000000}"/>
    <hyperlink ref="J41" r:id="rId2" display="http://www.mipymes.gov.co/loader.php?lServicio=Documentos&amp;lFuncion=verPdf&amp;id=3997&amp;name=Manual_para_realizar_planes_de_negocios.pdf" xr:uid="{00000000-0004-0000-0500-000001000000}"/>
  </hyperlinks>
  <pageMargins left="0.7" right="0.7" top="0.75" bottom="0.75" header="0.3" footer="0.3"/>
  <pageSetup paperSize="9" orientation="portrait" r:id="rId3"/>
  <drawing r:id="rId4"/>
  <legacyDrawing r:id="rId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F207"/>
  <sheetViews>
    <sheetView showGridLines="0" view="pageLayout" topLeftCell="A7" zoomScaleNormal="100" zoomScaleSheetLayoutView="100" workbookViewId="0">
      <selection activeCell="A8" sqref="A8:D15"/>
    </sheetView>
  </sheetViews>
  <sheetFormatPr baseColWidth="10" defaultRowHeight="15" x14ac:dyDescent="0.25"/>
  <cols>
    <col min="1" max="1" width="16.42578125" customWidth="1"/>
    <col min="2" max="2" width="16.28515625" customWidth="1"/>
    <col min="3" max="3" width="17.5703125" customWidth="1"/>
    <col min="4" max="4" width="16" customWidth="1"/>
    <col min="5" max="5" width="13.7109375" customWidth="1"/>
    <col min="6" max="6" width="14" customWidth="1"/>
  </cols>
  <sheetData>
    <row r="2" spans="1:6" x14ac:dyDescent="0.25">
      <c r="A2" s="139"/>
      <c r="B2" s="139"/>
      <c r="C2" s="139"/>
      <c r="D2" s="139"/>
      <c r="E2" s="139"/>
      <c r="F2" s="139"/>
    </row>
    <row r="3" spans="1:6" x14ac:dyDescent="0.25">
      <c r="A3" s="139"/>
      <c r="B3" s="139"/>
      <c r="C3" s="139"/>
      <c r="D3" s="139"/>
      <c r="E3" s="139"/>
      <c r="F3" s="139"/>
    </row>
    <row r="4" spans="1:6" x14ac:dyDescent="0.25">
      <c r="A4" s="139"/>
      <c r="B4" s="139"/>
      <c r="C4" s="139"/>
      <c r="D4" s="139"/>
      <c r="E4" s="139"/>
      <c r="F4" s="139"/>
    </row>
    <row r="5" spans="1:6" x14ac:dyDescent="0.25">
      <c r="A5" s="139"/>
      <c r="B5" s="139"/>
      <c r="C5" s="139"/>
      <c r="D5" s="139"/>
      <c r="E5" s="139"/>
      <c r="F5" s="139"/>
    </row>
    <row r="6" spans="1:6" x14ac:dyDescent="0.25">
      <c r="A6" s="281" t="str">
        <f>'1'!A1:E1</f>
        <v>INGRESOS/VENTAS DEL PRIMER AÑO</v>
      </c>
      <c r="B6" s="281"/>
      <c r="C6" s="281"/>
      <c r="D6" s="197" t="s">
        <v>171</v>
      </c>
      <c r="E6" s="139"/>
      <c r="F6" s="139"/>
    </row>
    <row r="7" spans="1:6" x14ac:dyDescent="0.25">
      <c r="A7" s="139"/>
      <c r="B7" s="139"/>
      <c r="C7" s="139"/>
      <c r="D7" s="153" t="str">
        <f>'5'!H3</f>
        <v>PLAN DE NEGOCIO PARA LA PUESTA EN MARCHA DE UNA PLANTA  TORREFACTORA DE CAFÉ TOSTADO Y MOLIDO</v>
      </c>
      <c r="E7" s="139"/>
      <c r="F7" s="139"/>
    </row>
    <row r="8" spans="1:6" ht="34.5" x14ac:dyDescent="0.25">
      <c r="A8" s="142" t="str">
        <f>'1'!B2</f>
        <v>NOMBRE DEL PRODUCTO O SERVICIO</v>
      </c>
      <c r="B8" s="142" t="str">
        <f>'1'!C2</f>
        <v>CANTIDADES</v>
      </c>
      <c r="C8" s="142" t="str">
        <f>'1'!D2</f>
        <v>PRECIO DE VENTA UNITARIO SIN IVA</v>
      </c>
      <c r="D8" s="142" t="str">
        <f>'1'!E2</f>
        <v>INGRESOS TOTALES</v>
      </c>
      <c r="F8" s="139"/>
    </row>
    <row r="9" spans="1:6" ht="34.5" x14ac:dyDescent="0.25">
      <c r="A9" s="140" t="str">
        <f>'1'!B3</f>
        <v>CAFÉ TOSTADO Y/O MOLIDO 500 GR CLASE A</v>
      </c>
      <c r="B9" s="144">
        <f>'1'!C3</f>
        <v>15360</v>
      </c>
      <c r="C9" s="145">
        <f>'1'!D3</f>
        <v>14000</v>
      </c>
      <c r="D9" s="145">
        <f>'1'!E3</f>
        <v>215040000</v>
      </c>
      <c r="E9" s="139"/>
      <c r="F9" s="139"/>
    </row>
    <row r="10" spans="1:6" ht="34.5" x14ac:dyDescent="0.25">
      <c r="A10" s="140" t="str">
        <f>'1'!B4</f>
        <v>CAFÉ TOSTADO Y/O MOLIDO 500 GR CLASE B</v>
      </c>
      <c r="B10" s="144">
        <f>'1'!C4</f>
        <v>32640</v>
      </c>
      <c r="C10" s="145">
        <f>'1'!D4</f>
        <v>11450</v>
      </c>
      <c r="D10" s="145">
        <f>'1'!E4</f>
        <v>373728000</v>
      </c>
      <c r="E10" s="139"/>
      <c r="F10" s="139"/>
    </row>
    <row r="11" spans="1:6" ht="34.5" x14ac:dyDescent="0.25">
      <c r="A11" s="140" t="str">
        <f>'1'!B5</f>
        <v>CAFÉ TOSTADI Y/O MOLIDO 1 KG CLASE A</v>
      </c>
      <c r="B11" s="144">
        <f>'1'!C5</f>
        <v>8448</v>
      </c>
      <c r="C11" s="145">
        <f>'1'!D5</f>
        <v>22100</v>
      </c>
      <c r="D11" s="145">
        <f>'1'!E5</f>
        <v>186700800</v>
      </c>
      <c r="E11" s="139"/>
      <c r="F11" s="139"/>
    </row>
    <row r="12" spans="1:6" ht="34.5" x14ac:dyDescent="0.25">
      <c r="A12" s="140" t="str">
        <f>'1'!B6</f>
        <v>CAFÉ TOSTADI Y/O MOLIDO 1 KG CLASE B</v>
      </c>
      <c r="B12" s="144">
        <f>'1'!C6</f>
        <v>17952</v>
      </c>
      <c r="C12" s="145">
        <f>'1'!D6</f>
        <v>17100</v>
      </c>
      <c r="D12" s="145">
        <f>'1'!E6</f>
        <v>306979200</v>
      </c>
      <c r="E12" s="139"/>
      <c r="F12" s="139"/>
    </row>
    <row r="13" spans="1:6" ht="34.5" x14ac:dyDescent="0.25">
      <c r="A13" s="140" t="str">
        <f>'1'!B7</f>
        <v>CAFÉ TOSTADI Y/O MOLIDO 2,5 KG CLASE A</v>
      </c>
      <c r="B13" s="144">
        <f>'1'!C7</f>
        <v>4304</v>
      </c>
      <c r="C13" s="145">
        <f>'1'!D7</f>
        <v>37500</v>
      </c>
      <c r="D13" s="145">
        <f>'1'!E7</f>
        <v>161400000</v>
      </c>
      <c r="E13" s="139"/>
      <c r="F13" s="139"/>
    </row>
    <row r="14" spans="1:6" ht="34.5" x14ac:dyDescent="0.25">
      <c r="A14" s="140" t="str">
        <f>'1'!B8</f>
        <v>CAFÉ TOSTADI Y/O MOLIDO 2,5 KG CLASE B</v>
      </c>
      <c r="B14" s="144">
        <f>'1'!C8</f>
        <v>9136</v>
      </c>
      <c r="C14" s="145">
        <f>'1'!D8</f>
        <v>41000</v>
      </c>
      <c r="D14" s="145">
        <f>'1'!E8</f>
        <v>374576000</v>
      </c>
      <c r="E14" s="139"/>
      <c r="F14" s="139"/>
    </row>
    <row r="15" spans="1:6" x14ac:dyDescent="0.25">
      <c r="A15" s="140" t="str">
        <f>'1'!B9</f>
        <v>CISCO KILO</v>
      </c>
      <c r="B15" s="144">
        <f>'1'!C9</f>
        <v>24990</v>
      </c>
      <c r="C15" s="145">
        <f>'1'!D9</f>
        <v>4800</v>
      </c>
      <c r="D15" s="145">
        <f>'1'!E9</f>
        <v>119952000</v>
      </c>
      <c r="E15" s="139"/>
      <c r="F15" s="139"/>
    </row>
    <row r="16" spans="1:6" x14ac:dyDescent="0.25">
      <c r="A16" s="140">
        <f>'1'!B10</f>
        <v>0</v>
      </c>
      <c r="B16" s="144">
        <f>'1'!C10</f>
        <v>0</v>
      </c>
      <c r="C16" s="145">
        <f>'1'!D10</f>
        <v>0</v>
      </c>
      <c r="D16" s="145">
        <f>'1'!E10</f>
        <v>0</v>
      </c>
      <c r="E16" s="139"/>
      <c r="F16" s="139"/>
    </row>
    <row r="17" spans="1:6" x14ac:dyDescent="0.25">
      <c r="A17" s="140">
        <f>'1'!B11</f>
        <v>0</v>
      </c>
      <c r="B17" s="144">
        <f>'1'!C11</f>
        <v>0</v>
      </c>
      <c r="C17" s="145">
        <f>'1'!D11</f>
        <v>0</v>
      </c>
      <c r="D17" s="145">
        <f>'1'!E11</f>
        <v>0</v>
      </c>
      <c r="E17" s="139"/>
      <c r="F17" s="139"/>
    </row>
    <row r="18" spans="1:6" x14ac:dyDescent="0.25">
      <c r="A18" s="140">
        <f>'1'!B12</f>
        <v>0</v>
      </c>
      <c r="B18" s="144">
        <f>'1'!C12</f>
        <v>0</v>
      </c>
      <c r="C18" s="145">
        <f>'1'!D12</f>
        <v>0</v>
      </c>
      <c r="D18" s="145">
        <f>'1'!E12</f>
        <v>0</v>
      </c>
      <c r="E18" s="139"/>
      <c r="F18" s="139"/>
    </row>
    <row r="19" spans="1:6" x14ac:dyDescent="0.25">
      <c r="A19" s="143"/>
      <c r="B19" s="144"/>
      <c r="C19" s="144" t="str">
        <f>'1'!D13</f>
        <v>TOTAL</v>
      </c>
      <c r="D19" s="180">
        <f>'1'!E13</f>
        <v>1738376000</v>
      </c>
      <c r="E19" s="139"/>
      <c r="F19" s="139"/>
    </row>
    <row r="20" spans="1:6" x14ac:dyDescent="0.25">
      <c r="A20" s="281" t="str">
        <f>'1'!A15:E15</f>
        <v>COSTOS DE CADA PRODUCTO O SERVICIO</v>
      </c>
      <c r="B20" s="281"/>
      <c r="C20" s="281"/>
      <c r="D20" s="281"/>
    </row>
    <row r="21" spans="1:6" x14ac:dyDescent="0.25">
      <c r="A21" s="281"/>
      <c r="B21" s="281"/>
      <c r="C21" s="281"/>
      <c r="D21" s="281"/>
    </row>
    <row r="22" spans="1:6" ht="34.5" x14ac:dyDescent="0.25">
      <c r="A22" s="142" t="str">
        <f>'1'!B16</f>
        <v>NOMBRE DEL PRODUCTO SERVICIO</v>
      </c>
      <c r="B22" s="142" t="str">
        <f>'1'!C16</f>
        <v>CANTIDADES</v>
      </c>
      <c r="C22" s="142" t="str">
        <f>'1'!D16</f>
        <v>COSTO UNITARIO DEL PDTO O SERVICIO</v>
      </c>
      <c r="D22" s="142" t="str">
        <f>'1'!E16</f>
        <v>COSTOS TOTALES</v>
      </c>
    </row>
    <row r="23" spans="1:6" ht="34.5" x14ac:dyDescent="0.25">
      <c r="A23" s="140" t="str">
        <f>'1'!B17</f>
        <v>CAFÉ TOSTADO Y/O MOLIDO 500 GR CLASE A</v>
      </c>
      <c r="B23" s="144">
        <f>'1'!C17</f>
        <v>15360</v>
      </c>
      <c r="C23" s="145">
        <f>'1'!D17</f>
        <v>5435</v>
      </c>
      <c r="D23" s="145">
        <f>'1'!E17</f>
        <v>83481600</v>
      </c>
    </row>
    <row r="24" spans="1:6" ht="34.5" x14ac:dyDescent="0.25">
      <c r="A24" s="140" t="str">
        <f>'1'!B18</f>
        <v>CAFÉ TOSTADO Y/O MOLIDO 500 GR CLASE B</v>
      </c>
      <c r="B24" s="144">
        <f>'1'!C18</f>
        <v>32640</v>
      </c>
      <c r="C24" s="145">
        <f>'1'!D18</f>
        <v>4760</v>
      </c>
      <c r="D24" s="145">
        <f>'1'!E18</f>
        <v>155366400</v>
      </c>
    </row>
    <row r="25" spans="1:6" ht="34.5" x14ac:dyDescent="0.25">
      <c r="A25" s="140" t="str">
        <f>'1'!B19</f>
        <v>CAFÉ TOSTADI Y/O MOLIDO 1 KG CLASE A</v>
      </c>
      <c r="B25" s="144">
        <f>'1'!C19</f>
        <v>8448</v>
      </c>
      <c r="C25" s="145">
        <f>'1'!D19</f>
        <v>10610</v>
      </c>
      <c r="D25" s="145">
        <f>'1'!E19</f>
        <v>89633280</v>
      </c>
    </row>
    <row r="26" spans="1:6" ht="34.5" x14ac:dyDescent="0.25">
      <c r="A26" s="140" t="str">
        <f>'1'!B20</f>
        <v>CAFÉ TOSTADI Y/O MOLIDO 1 KG CLASE B</v>
      </c>
      <c r="B26" s="144">
        <f>'1'!C20</f>
        <v>17952</v>
      </c>
      <c r="C26" s="145">
        <f>'1'!D20</f>
        <v>9260</v>
      </c>
      <c r="D26" s="145">
        <f>'1'!E20</f>
        <v>166235520</v>
      </c>
    </row>
    <row r="27" spans="1:6" ht="34.5" x14ac:dyDescent="0.25">
      <c r="A27" s="140" t="str">
        <f>'1'!B21</f>
        <v>CAFÉ TOSTADI Y/O MOLIDO 2,5 KG CLASE A</v>
      </c>
      <c r="B27" s="183">
        <f>'1'!C21</f>
        <v>4304</v>
      </c>
      <c r="C27" s="145">
        <f>'1'!D21</f>
        <v>25125</v>
      </c>
      <c r="D27" s="145">
        <f>'1'!E21</f>
        <v>108138000</v>
      </c>
    </row>
    <row r="28" spans="1:6" ht="34.5" x14ac:dyDescent="0.25">
      <c r="A28" s="140" t="str">
        <f>'1'!B22</f>
        <v>CAFÉ TOSTADI Y/O MOLIDO 2,5 KG CLASE B</v>
      </c>
      <c r="B28" s="183">
        <f>'1'!C22</f>
        <v>9136</v>
      </c>
      <c r="C28" s="145">
        <f>'1'!D22</f>
        <v>21755</v>
      </c>
      <c r="D28" s="145">
        <f>'1'!E22</f>
        <v>198753680</v>
      </c>
      <c r="E28" s="139"/>
      <c r="F28" s="139"/>
    </row>
    <row r="29" spans="1:6" x14ac:dyDescent="0.25">
      <c r="A29" s="140" t="str">
        <f>'1'!B23</f>
        <v>CISCO KILO</v>
      </c>
      <c r="B29" s="183">
        <f>'1'!C23</f>
        <v>24990</v>
      </c>
      <c r="C29" s="145">
        <f>'1'!D23</f>
        <v>450</v>
      </c>
      <c r="D29" s="145">
        <f>'1'!E23</f>
        <v>11245500</v>
      </c>
      <c r="E29" s="139"/>
      <c r="F29" s="139"/>
    </row>
    <row r="30" spans="1:6" x14ac:dyDescent="0.25">
      <c r="A30" s="140">
        <f>'1'!B24</f>
        <v>0</v>
      </c>
      <c r="B30" s="183">
        <f>'1'!C24</f>
        <v>0</v>
      </c>
      <c r="C30" s="145">
        <f>'1'!D24</f>
        <v>0</v>
      </c>
      <c r="D30" s="145">
        <f>'1'!E24</f>
        <v>0</v>
      </c>
      <c r="E30" s="139"/>
      <c r="F30" s="139"/>
    </row>
    <row r="31" spans="1:6" x14ac:dyDescent="0.25">
      <c r="A31" s="140">
        <f>'1'!B25</f>
        <v>0</v>
      </c>
      <c r="B31" s="183">
        <f>'1'!C25</f>
        <v>0</v>
      </c>
      <c r="C31" s="145">
        <f>'1'!D25</f>
        <v>0</v>
      </c>
      <c r="D31" s="145">
        <f>'1'!E25</f>
        <v>0</v>
      </c>
      <c r="E31" s="139"/>
      <c r="F31" s="139"/>
    </row>
    <row r="32" spans="1:6" x14ac:dyDescent="0.25">
      <c r="A32" s="140">
        <f>'1'!B26</f>
        <v>0</v>
      </c>
      <c r="B32" s="183">
        <f>'1'!C26</f>
        <v>0</v>
      </c>
      <c r="C32" s="145">
        <f>'1'!D26</f>
        <v>0</v>
      </c>
      <c r="D32" s="145">
        <f>'1'!E26</f>
        <v>0</v>
      </c>
      <c r="E32" s="139"/>
      <c r="F32" s="139"/>
    </row>
    <row r="33" spans="1:6" x14ac:dyDescent="0.25">
      <c r="A33" s="139"/>
      <c r="B33" s="144"/>
      <c r="C33" s="144"/>
      <c r="D33" s="180">
        <f>'1'!E27</f>
        <v>812853980</v>
      </c>
      <c r="E33" s="139"/>
      <c r="F33" s="139"/>
    </row>
    <row r="34" spans="1:6" x14ac:dyDescent="0.25">
      <c r="A34" s="139"/>
      <c r="B34" s="139"/>
      <c r="C34" s="139"/>
      <c r="D34" s="139"/>
      <c r="E34" s="139"/>
      <c r="F34" s="139"/>
    </row>
    <row r="35" spans="1:6" x14ac:dyDescent="0.25">
      <c r="A35" s="139"/>
      <c r="B35" s="139"/>
      <c r="C35" s="139"/>
      <c r="D35" s="139"/>
      <c r="E35" s="139"/>
      <c r="F35" s="139"/>
    </row>
    <row r="36" spans="1:6" x14ac:dyDescent="0.25">
      <c r="A36" s="283" t="str">
        <f>'1'!A1:E1</f>
        <v>INGRESOS/VENTAS DEL PRIMER AÑO</v>
      </c>
      <c r="B36" s="283"/>
      <c r="C36" s="283"/>
      <c r="D36" s="283"/>
      <c r="E36" s="283"/>
      <c r="F36" s="283"/>
    </row>
    <row r="37" spans="1:6" x14ac:dyDescent="0.25">
      <c r="A37" s="139"/>
      <c r="B37" s="139"/>
      <c r="C37" s="139"/>
      <c r="D37" s="139"/>
      <c r="E37" s="139"/>
      <c r="F37" s="139"/>
    </row>
    <row r="38" spans="1:6" x14ac:dyDescent="0.25">
      <c r="A38" s="284" t="str">
        <f>'1'!A30:F30</f>
        <v>PROYECCIONES</v>
      </c>
      <c r="B38" s="284"/>
      <c r="C38" s="284"/>
      <c r="D38" s="284"/>
      <c r="E38" s="284"/>
      <c r="F38" s="141"/>
    </row>
    <row r="39" spans="1:6" x14ac:dyDescent="0.25">
      <c r="A39" s="156" t="str">
        <f>'1'!A31</f>
        <v>AÑO</v>
      </c>
      <c r="B39" s="156">
        <f>'1'!B31</f>
        <v>2019</v>
      </c>
      <c r="C39" s="156">
        <f>'1'!C31</f>
        <v>2020</v>
      </c>
      <c r="D39" s="156">
        <f>'1'!D31</f>
        <v>2021</v>
      </c>
      <c r="E39" s="156">
        <f>'1'!E31</f>
        <v>2022</v>
      </c>
      <c r="F39" s="156">
        <f>'1'!F31</f>
        <v>2023</v>
      </c>
    </row>
    <row r="40" spans="1:6" x14ac:dyDescent="0.25">
      <c r="A40" s="159" t="str">
        <f>'1'!A32</f>
        <v>VENTAS ANUALES</v>
      </c>
      <c r="B40" s="146">
        <f>'1'!B32</f>
        <v>1738376000</v>
      </c>
      <c r="C40" s="146">
        <f>'1'!C32</f>
        <v>1906289817.5600002</v>
      </c>
      <c r="D40" s="146">
        <f>'1'!D32</f>
        <v>2235008316.2071509</v>
      </c>
      <c r="E40" s="146">
        <f>'1'!E32</f>
        <v>2836591603.4390655</v>
      </c>
      <c r="F40" s="146">
        <f>'1'!F32</f>
        <v>3802541961.3512292</v>
      </c>
    </row>
    <row r="41" spans="1:6" ht="15.75" thickBot="1" x14ac:dyDescent="0.3">
      <c r="A41" s="159" t="str">
        <f>'1'!A33</f>
        <v>COSTOS ANUALES</v>
      </c>
      <c r="B41" s="151">
        <f>'1'!B33</f>
        <v>812853980</v>
      </c>
      <c r="C41" s="151">
        <f>'1'!C33</f>
        <v>898511437.10240006</v>
      </c>
      <c r="D41" s="151">
        <f>'1'!D33</f>
        <v>1066616470.7887638</v>
      </c>
      <c r="E41" s="151">
        <f>'1'!E33</f>
        <v>1375493792.8976943</v>
      </c>
      <c r="F41" s="151">
        <f>'1'!F33</f>
        <v>1873270473.7179511</v>
      </c>
    </row>
    <row r="42" spans="1:6" ht="15.75" thickTop="1" x14ac:dyDescent="0.25">
      <c r="A42" s="159" t="str">
        <f>'1'!A34</f>
        <v>MARGEN OPERATIVO</v>
      </c>
      <c r="B42" s="146">
        <f>'1'!B34</f>
        <v>925522020</v>
      </c>
      <c r="C42" s="146">
        <f>'1'!C34</f>
        <v>1007778380.4576001</v>
      </c>
      <c r="D42" s="146">
        <f>'1'!D34</f>
        <v>1168391845.4183872</v>
      </c>
      <c r="E42" s="146">
        <f>'1'!E34</f>
        <v>1461097810.5413711</v>
      </c>
      <c r="F42" s="146">
        <f>'1'!F34</f>
        <v>1929271487.6332781</v>
      </c>
    </row>
    <row r="43" spans="1:6" x14ac:dyDescent="0.25">
      <c r="A43" s="139"/>
      <c r="B43" s="139"/>
      <c r="C43" s="139"/>
      <c r="D43" s="139"/>
      <c r="E43" s="139"/>
      <c r="F43" s="139"/>
    </row>
    <row r="44" spans="1:6" x14ac:dyDescent="0.25">
      <c r="A44" s="139"/>
      <c r="B44" s="139"/>
      <c r="C44" s="139"/>
      <c r="D44" s="139"/>
      <c r="E44" s="139"/>
      <c r="F44" s="139"/>
    </row>
    <row r="45" spans="1:6" x14ac:dyDescent="0.25">
      <c r="A45" s="139"/>
      <c r="B45" s="139"/>
      <c r="C45" s="139"/>
      <c r="D45" s="139"/>
      <c r="E45" s="139"/>
      <c r="F45" s="139"/>
    </row>
    <row r="46" spans="1:6" x14ac:dyDescent="0.25">
      <c r="A46" s="139"/>
      <c r="B46" s="139"/>
      <c r="C46" s="139"/>
      <c r="D46" s="139"/>
      <c r="E46" s="139"/>
      <c r="F46" s="139"/>
    </row>
    <row r="47" spans="1:6" x14ac:dyDescent="0.25">
      <c r="A47" s="139"/>
      <c r="B47" s="139"/>
      <c r="C47" s="139"/>
      <c r="D47" s="139"/>
      <c r="E47" s="139"/>
      <c r="F47" s="139"/>
    </row>
    <row r="52" spans="1:5" x14ac:dyDescent="0.25">
      <c r="A52" s="153" t="s">
        <v>160</v>
      </c>
      <c r="D52" s="152" t="str">
        <f>D7</f>
        <v>PLAN DE NEGOCIO PARA LA PUESTA EN MARCHA DE UNA PLANTA  TORREFACTORA DE CAFÉ TOSTADO Y MOLIDO</v>
      </c>
    </row>
    <row r="53" spans="1:5" x14ac:dyDescent="0.25">
      <c r="A53" s="141"/>
      <c r="B53" s="166" t="str">
        <f>'2'!C4</f>
        <v xml:space="preserve">INVERSIÓN </v>
      </c>
      <c r="D53" s="176" t="s">
        <v>165</v>
      </c>
      <c r="E53" s="176"/>
    </row>
    <row r="54" spans="1:5" x14ac:dyDescent="0.25">
      <c r="A54" s="140" t="str">
        <f>'2'!B5</f>
        <v>TERRENOS</v>
      </c>
      <c r="B54" s="147">
        <f>'2'!C5</f>
        <v>0</v>
      </c>
      <c r="D54" s="166" t="s">
        <v>161</v>
      </c>
      <c r="E54" s="162"/>
    </row>
    <row r="55" spans="1:5" ht="23.25" x14ac:dyDescent="0.25">
      <c r="A55" s="140" t="str">
        <f>'2'!B6</f>
        <v>PROPIEDAD PLANTA Y EQUIPO</v>
      </c>
      <c r="B55" s="147">
        <f>'2'!C6</f>
        <v>77941702</v>
      </c>
      <c r="D55" s="161">
        <f>'2'!E6</f>
        <v>0</v>
      </c>
    </row>
    <row r="56" spans="1:5" x14ac:dyDescent="0.25">
      <c r="A56" s="140" t="str">
        <f>'2'!B7</f>
        <v>MUEBLES Y ENSERES</v>
      </c>
      <c r="B56" s="147">
        <f>'2'!C7</f>
        <v>2982980</v>
      </c>
      <c r="D56" s="163" t="str">
        <f>'2'!E17</f>
        <v>GASTOS FIJOS:</v>
      </c>
      <c r="E56" s="160"/>
    </row>
    <row r="57" spans="1:5" x14ac:dyDescent="0.25">
      <c r="A57" s="140" t="str">
        <f>'2'!B8</f>
        <v>EQUIPO DE OFICINA</v>
      </c>
      <c r="B57" s="147">
        <f>'2'!C8</f>
        <v>4008000</v>
      </c>
      <c r="D57" s="160"/>
      <c r="E57" s="166" t="str">
        <f>'2'!F18</f>
        <v>VALOR AÑO 1</v>
      </c>
    </row>
    <row r="58" spans="1:5" ht="23.25" x14ac:dyDescent="0.25">
      <c r="A58" s="140" t="str">
        <f>'2'!B9</f>
        <v>EQUIPO DE TRANSPORTE</v>
      </c>
      <c r="B58" s="147">
        <f>'2'!C9</f>
        <v>0</v>
      </c>
      <c r="D58" s="140" t="str">
        <f>'2'!E19</f>
        <v>ARRENDO:</v>
      </c>
      <c r="E58" s="192">
        <f>'2'!F19</f>
        <v>19800000</v>
      </c>
    </row>
    <row r="59" spans="1:5" ht="23.25" x14ac:dyDescent="0.25">
      <c r="A59" s="140" t="str">
        <f>'2'!B10</f>
        <v>FRANQUICIAS</v>
      </c>
      <c r="B59" s="147">
        <f>'2'!C10</f>
        <v>0</v>
      </c>
      <c r="D59" s="140" t="str">
        <f>'2'!E20</f>
        <v>SERVICIOS PÚBLICOS:</v>
      </c>
      <c r="E59" s="192">
        <f>'2'!F20</f>
        <v>15600000</v>
      </c>
    </row>
    <row r="60" spans="1:5" ht="23.25" x14ac:dyDescent="0.25">
      <c r="A60" s="140" t="str">
        <f>'2'!B11</f>
        <v>PATENTES</v>
      </c>
      <c r="B60" s="147">
        <f>'2'!C11</f>
        <v>0</v>
      </c>
      <c r="D60" s="140" t="str">
        <f>'2'!E21</f>
        <v>TELEFONÍA CELULAR:</v>
      </c>
      <c r="E60" s="192">
        <f>'2'!F21</f>
        <v>1680000</v>
      </c>
    </row>
    <row r="61" spans="1:5" ht="24" thickBot="1" x14ac:dyDescent="0.3">
      <c r="A61" s="140" t="str">
        <f>'2'!B12</f>
        <v>GASTOS DE PUESTA EN MARCHA</v>
      </c>
      <c r="B61" s="172">
        <f>'2'!C12</f>
        <v>4507959</v>
      </c>
      <c r="D61" s="140" t="str">
        <f>'2'!E22</f>
        <v>INTERNET:</v>
      </c>
      <c r="E61" s="192">
        <f>'2'!F22</f>
        <v>1440000</v>
      </c>
    </row>
    <row r="62" spans="1:5" ht="15.75" thickTop="1" x14ac:dyDescent="0.25">
      <c r="A62" s="140" t="str">
        <f>'2'!B13</f>
        <v>TOTAL INVERSIONES</v>
      </c>
      <c r="B62" s="170">
        <f>'2'!C13</f>
        <v>89440641</v>
      </c>
      <c r="D62" s="140" t="str">
        <f>'2'!E23</f>
        <v>PAPELERÍA:</v>
      </c>
      <c r="E62" s="192">
        <f>'2'!F23</f>
        <v>1800000</v>
      </c>
    </row>
    <row r="63" spans="1:5" ht="23.25" x14ac:dyDescent="0.25">
      <c r="A63" s="141"/>
      <c r="B63" s="141"/>
      <c r="D63" s="140" t="str">
        <f>'2'!E24</f>
        <v>SERVICIOS DE SEGURIDAD:</v>
      </c>
      <c r="E63" s="192">
        <f>'2'!F24</f>
        <v>35077416</v>
      </c>
    </row>
    <row r="64" spans="1:5" x14ac:dyDescent="0.25">
      <c r="A64" s="163" t="str">
        <f>'2'!B17</f>
        <v>NÓMINAS:</v>
      </c>
      <c r="B64" s="160"/>
      <c r="C64" s="160"/>
      <c r="D64" s="140" t="str">
        <f>'2'!E25</f>
        <v>SERVICIOS DE ASEO:</v>
      </c>
      <c r="E64" s="192">
        <f>'2'!F25</f>
        <v>600000</v>
      </c>
    </row>
    <row r="65" spans="1:5" x14ac:dyDescent="0.25">
      <c r="A65" s="160"/>
      <c r="B65" s="166" t="str">
        <f>'2'!C18</f>
        <v>VALOR AÑO 1</v>
      </c>
      <c r="C65" s="160"/>
      <c r="D65" s="140" t="str">
        <f>'2'!E26</f>
        <v>TRANSPORTE</v>
      </c>
      <c r="E65" s="192">
        <f>'2'!F26</f>
        <v>14940000</v>
      </c>
    </row>
    <row r="66" spans="1:5" ht="24.75" x14ac:dyDescent="0.25">
      <c r="A66" s="160" t="str">
        <f>'2'!B19</f>
        <v>ADMINISTRATIVA:</v>
      </c>
      <c r="B66" s="160">
        <f>'2'!C19</f>
        <v>93488316</v>
      </c>
      <c r="C66" s="160"/>
      <c r="D66" s="160" t="str">
        <f>'2'!E27</f>
        <v>COSTOS DE EMPAQUE</v>
      </c>
      <c r="E66" s="192">
        <f>'2'!F27</f>
        <v>107695200</v>
      </c>
    </row>
    <row r="67" spans="1:5" x14ac:dyDescent="0.25">
      <c r="A67" s="160"/>
      <c r="B67" s="160">
        <f>'2'!C20</f>
        <v>0</v>
      </c>
      <c r="C67" s="160"/>
      <c r="D67" s="160" t="str">
        <f>'2'!E28</f>
        <v>MATERIA PRIMA</v>
      </c>
      <c r="E67" s="192">
        <f>'2'!F28</f>
        <v>711701760</v>
      </c>
    </row>
    <row r="68" spans="1:5" ht="24.75" x14ac:dyDescent="0.25">
      <c r="A68" s="160" t="str">
        <f>'2'!B21</f>
        <v>VENTAS:</v>
      </c>
      <c r="B68" s="160">
        <f>'2'!C21</f>
        <v>22047264</v>
      </c>
      <c r="C68" s="160"/>
      <c r="D68" s="160" t="str">
        <f>'2'!E29</f>
        <v>SOFTWARE CONTABLE</v>
      </c>
      <c r="E68" s="192">
        <f>'2'!F29</f>
        <v>800000</v>
      </c>
    </row>
    <row r="69" spans="1:5" x14ac:dyDescent="0.25">
      <c r="A69" s="160"/>
      <c r="B69" s="160">
        <f>'2'!C22</f>
        <v>0</v>
      </c>
      <c r="C69" s="160"/>
      <c r="D69" s="160" t="str">
        <f>'2'!E30</f>
        <v>IMPLEMENTOS DE LIMPIEZA Y DESINFECCIÓN</v>
      </c>
      <c r="E69" s="192">
        <f>'2'!F30</f>
        <v>720000</v>
      </c>
    </row>
    <row r="70" spans="1:5" x14ac:dyDescent="0.25">
      <c r="A70" s="160" t="str">
        <f>'2'!B23</f>
        <v>PRODUCCIÓN:</v>
      </c>
      <c r="B70" s="160">
        <f>'2'!C23</f>
        <v>51482148</v>
      </c>
      <c r="C70" s="160"/>
      <c r="D70" s="160">
        <f>'2'!E31</f>
        <v>0</v>
      </c>
      <c r="E70" s="192">
        <f>'2'!F31</f>
        <v>0</v>
      </c>
    </row>
    <row r="71" spans="1:5" ht="24.75" x14ac:dyDescent="0.25">
      <c r="A71" s="160" t="str">
        <f>'2'!B24</f>
        <v>TOTAL NÓMINAS</v>
      </c>
      <c r="B71" s="160">
        <f>'2'!C24</f>
        <v>167017728</v>
      </c>
      <c r="C71" s="160"/>
      <c r="D71" s="163" t="str">
        <f>'2'!E32</f>
        <v>TOTAL GASTOS FIJOS</v>
      </c>
      <c r="E71" s="191">
        <f>'2'!F32</f>
        <v>911854376</v>
      </c>
    </row>
    <row r="72" spans="1:5" x14ac:dyDescent="0.25">
      <c r="A72" s="160"/>
      <c r="B72" s="160"/>
      <c r="C72" s="160"/>
      <c r="D72" s="160"/>
      <c r="E72" s="160"/>
    </row>
    <row r="73" spans="1:5" ht="36.75" x14ac:dyDescent="0.25">
      <c r="A73" s="160" t="str">
        <f>'2'!B26</f>
        <v>PRESUPUESTO DEL MARKETING MIX</v>
      </c>
      <c r="B73" s="160">
        <f>'2'!C26</f>
        <v>6000000</v>
      </c>
      <c r="C73" s="160"/>
    </row>
    <row r="74" spans="1:5" x14ac:dyDescent="0.25">
      <c r="A74" s="160"/>
      <c r="B74" s="160"/>
      <c r="C74" s="160"/>
    </row>
    <row r="75" spans="1:5" x14ac:dyDescent="0.25">
      <c r="A75" s="160"/>
      <c r="B75" s="160"/>
      <c r="C75" s="166" t="str">
        <f>'3'!D3</f>
        <v>FINANCIARÁ INV FIJAS?</v>
      </c>
      <c r="D75" s="167"/>
      <c r="E75" s="160"/>
    </row>
    <row r="76" spans="1:5" ht="24.75" x14ac:dyDescent="0.25">
      <c r="A76" s="160" t="str">
        <f>'3'!B4</f>
        <v>TOTAL INVERSIÓN INICIAL Ó NUEVA</v>
      </c>
      <c r="B76" s="171">
        <f>'3'!C4</f>
        <v>89440641</v>
      </c>
      <c r="C76" s="168" t="str">
        <f>'3'!D4</f>
        <v>SI</v>
      </c>
    </row>
    <row r="77" spans="1:5" ht="36.75" x14ac:dyDescent="0.25">
      <c r="A77" s="160" t="str">
        <f>'3'!B5</f>
        <v>INVERSIÓN YA REALIZADA POR EL EMPRESARIO</v>
      </c>
      <c r="B77" s="164">
        <f>'3'!C5</f>
        <v>0</v>
      </c>
      <c r="C77" s="160"/>
    </row>
    <row r="78" spans="1:5" ht="15" customHeight="1" x14ac:dyDescent="0.25">
      <c r="A78" s="166" t="str">
        <f>'3'!B6</f>
        <v>CALCULO DEL CAPITAL DE TRABAJO INICIAL</v>
      </c>
      <c r="B78" s="167"/>
      <c r="C78" s="167"/>
    </row>
    <row r="79" spans="1:5" x14ac:dyDescent="0.25">
      <c r="A79" s="160"/>
      <c r="B79" s="160"/>
      <c r="C79" s="160"/>
    </row>
    <row r="80" spans="1:5" ht="84.75" x14ac:dyDescent="0.25">
      <c r="A80" s="160" t="str">
        <f>'3'!B8</f>
        <v>SI EL PRÉSTAMO A SOLICTAR SOLO ES PARA INVERSIONES FIJAS, ESTOS VALORES DEBEN SER CEROS</v>
      </c>
      <c r="B80" s="160" t="str">
        <f>'3'!C8</f>
        <v>MESES</v>
      </c>
      <c r="C80" s="160" t="str">
        <f>'3'!D8</f>
        <v>VALOR</v>
      </c>
    </row>
    <row r="81" spans="1:6" ht="24.75" x14ac:dyDescent="0.25">
      <c r="A81" s="160" t="str">
        <f>'3'!B9</f>
        <v>COSTOS OPERATIVOS</v>
      </c>
      <c r="B81" s="164">
        <f>'3'!C9</f>
        <v>0</v>
      </c>
      <c r="C81" s="164">
        <f>'3'!D9</f>
        <v>0</v>
      </c>
      <c r="D81" s="160"/>
      <c r="E81" s="160"/>
    </row>
    <row r="82" spans="1:6" x14ac:dyDescent="0.25">
      <c r="A82" s="160" t="str">
        <f>'3'!B10</f>
        <v>NÓMINAS</v>
      </c>
      <c r="B82" s="164">
        <f>'3'!C10</f>
        <v>1</v>
      </c>
      <c r="C82" s="164">
        <f>'3'!D10</f>
        <v>13918144</v>
      </c>
      <c r="D82" s="160"/>
      <c r="E82" s="160"/>
    </row>
    <row r="83" spans="1:6" x14ac:dyDescent="0.25">
      <c r="A83" s="160" t="str">
        <f>'3'!B11</f>
        <v>MARKETING MIX</v>
      </c>
      <c r="B83" s="164">
        <f>'3'!C11</f>
        <v>1</v>
      </c>
      <c r="C83" s="164">
        <f>'3'!D11</f>
        <v>500000</v>
      </c>
      <c r="E83" s="160"/>
    </row>
    <row r="84" spans="1:6" ht="15.75" thickBot="1" x14ac:dyDescent="0.3">
      <c r="A84" s="160" t="str">
        <f>'3'!B12</f>
        <v>GASTOS FIJOS</v>
      </c>
      <c r="B84" s="169">
        <f>'3'!C12</f>
        <v>1</v>
      </c>
      <c r="C84" s="169">
        <f>'3'!D12</f>
        <v>75987864.666666672</v>
      </c>
    </row>
    <row r="85" spans="1:6" ht="15.75" thickTop="1" x14ac:dyDescent="0.25">
      <c r="A85" s="163" t="str">
        <f>'3'!B13</f>
        <v>TOTAL</v>
      </c>
      <c r="B85" s="165">
        <f>'3'!C13</f>
        <v>0</v>
      </c>
      <c r="C85" s="165">
        <f>'3'!D13</f>
        <v>90406008.666666672</v>
      </c>
    </row>
    <row r="91" spans="1:6" x14ac:dyDescent="0.25">
      <c r="A91" s="166" t="s">
        <v>162</v>
      </c>
      <c r="B91" s="167"/>
      <c r="C91" s="167"/>
      <c r="D91" s="167"/>
    </row>
    <row r="92" spans="1:6" x14ac:dyDescent="0.25">
      <c r="A92" s="279" t="str">
        <f>'3'!B14</f>
        <v>TOTAL INVERSIÓN EN LA EMPRESA</v>
      </c>
      <c r="B92" s="279"/>
      <c r="C92" s="164">
        <f>'3'!D14</f>
        <v>179846649.66666669</v>
      </c>
    </row>
    <row r="93" spans="1:6" x14ac:dyDescent="0.25">
      <c r="A93" s="160"/>
      <c r="B93" s="160"/>
      <c r="C93" s="164"/>
      <c r="D93" s="282" t="str">
        <f>D52</f>
        <v>PLAN DE NEGOCIO PARA LA PUESTA EN MARCHA DE UNA PLANTA  TORREFACTORA DE CAFÉ TOSTADO Y MOLIDO</v>
      </c>
      <c r="E93" s="282"/>
      <c r="F93" s="282"/>
    </row>
    <row r="94" spans="1:6" ht="24" customHeight="1" x14ac:dyDescent="0.25">
      <c r="A94" s="279" t="str">
        <f>'3'!B16</f>
        <v>NECESIDADES DE CAPITAL DE TRABAJO</v>
      </c>
      <c r="B94" s="279"/>
      <c r="C94" s="164">
        <f>'3'!D16</f>
        <v>90406008.666666672</v>
      </c>
      <c r="D94" s="282"/>
      <c r="E94" s="282"/>
      <c r="F94" s="282"/>
    </row>
    <row r="95" spans="1:6" x14ac:dyDescent="0.25">
      <c r="A95" s="279" t="str">
        <f>'3'!B17</f>
        <v>NECESIDADES DE INVERSIÓN FIJA</v>
      </c>
      <c r="B95" s="279"/>
      <c r="C95" s="164">
        <f>'3'!D17</f>
        <v>89440641</v>
      </c>
    </row>
    <row r="96" spans="1:6" x14ac:dyDescent="0.25">
      <c r="A96" s="160"/>
      <c r="B96" s="160"/>
      <c r="C96" s="164">
        <f>'3'!D18</f>
        <v>0</v>
      </c>
    </row>
    <row r="97" spans="1:5" ht="27" customHeight="1" x14ac:dyDescent="0.25">
      <c r="A97" s="279" t="str">
        <f>'3'!B19</f>
        <v>APORTE YA REALIZADO POR EL EMPRESARIO</v>
      </c>
      <c r="B97" s="279"/>
      <c r="C97" s="164">
        <f>'3'!D19</f>
        <v>0</v>
      </c>
    </row>
    <row r="98" spans="1:5" ht="25.5" customHeight="1" thickBot="1" x14ac:dyDescent="0.3">
      <c r="A98" s="279" t="str">
        <f>'3'!B20</f>
        <v>APORTE NUEVO A REALIZAR POR EL EMPRESARIO</v>
      </c>
      <c r="B98" s="279"/>
      <c r="C98" s="169">
        <f>'3'!D20</f>
        <v>0</v>
      </c>
    </row>
    <row r="99" spans="1:5" ht="15.75" thickTop="1" x14ac:dyDescent="0.25">
      <c r="A99" s="280" t="str">
        <f>'3'!B21</f>
        <v>PRÉSTAMO A SOLICITAR</v>
      </c>
      <c r="B99" s="280"/>
      <c r="C99" s="165">
        <f>'3'!D21</f>
        <v>89440641.000000015</v>
      </c>
    </row>
    <row r="100" spans="1:5" x14ac:dyDescent="0.25">
      <c r="A100" s="160"/>
      <c r="B100" s="160"/>
      <c r="C100" s="164"/>
    </row>
    <row r="101" spans="1:5" x14ac:dyDescent="0.25">
      <c r="A101" s="166" t="s">
        <v>163</v>
      </c>
      <c r="B101" s="166"/>
      <c r="C101" s="166"/>
      <c r="D101" s="166"/>
    </row>
    <row r="102" spans="1:5" x14ac:dyDescent="0.25">
      <c r="A102" s="160"/>
      <c r="B102" s="160"/>
      <c r="C102" s="164"/>
    </row>
    <row r="103" spans="1:5" x14ac:dyDescent="0.25">
      <c r="A103" s="160" t="s">
        <v>164</v>
      </c>
      <c r="B103" s="173">
        <f>'3'!F4</f>
        <v>0.10489999999999999</v>
      </c>
      <c r="C103" s="173"/>
    </row>
    <row r="104" spans="1:5" x14ac:dyDescent="0.25">
      <c r="A104" s="277" t="str">
        <f>'3'!F6</f>
        <v xml:space="preserve">CALCULO DEL PRÉSTAMO </v>
      </c>
      <c r="B104" s="277"/>
    </row>
    <row r="106" spans="1:5" ht="24.75" x14ac:dyDescent="0.25">
      <c r="A106" s="175" t="str">
        <f>'3'!F8</f>
        <v>AÑOS</v>
      </c>
      <c r="B106" s="175" t="str">
        <f>'3'!G8</f>
        <v>CUOTA A PAGAR</v>
      </c>
      <c r="C106" s="175" t="str">
        <f>'3'!H8</f>
        <v>ABONO A CAPITAL</v>
      </c>
      <c r="D106" s="175" t="str">
        <f>'3'!I8</f>
        <v>INTERESES</v>
      </c>
      <c r="E106" s="175" t="str">
        <f>'3'!J8</f>
        <v>SALDO DE LA DEUDA</v>
      </c>
    </row>
    <row r="107" spans="1:5" x14ac:dyDescent="0.25">
      <c r="A107" s="154">
        <f>'3'!F9</f>
        <v>0</v>
      </c>
      <c r="B107" s="146">
        <f>'3'!G9</f>
        <v>0</v>
      </c>
      <c r="C107" s="146">
        <f>'3'!H9</f>
        <v>0</v>
      </c>
      <c r="D107" s="146">
        <f>'3'!I9</f>
        <v>0</v>
      </c>
      <c r="E107" s="146">
        <f>'3'!J9</f>
        <v>89440641.000000015</v>
      </c>
    </row>
    <row r="108" spans="1:5" x14ac:dyDescent="0.25">
      <c r="A108" s="154">
        <f>'3'!F10</f>
        <v>2019</v>
      </c>
      <c r="B108" s="146">
        <f>'3'!G10</f>
        <v>0</v>
      </c>
      <c r="C108" s="146">
        <f>'3'!H10</f>
        <v>0</v>
      </c>
      <c r="D108" s="146">
        <f>'3'!I10</f>
        <v>0</v>
      </c>
      <c r="E108" s="146">
        <f>'3'!J10</f>
        <v>89440641.000000015</v>
      </c>
    </row>
    <row r="109" spans="1:5" x14ac:dyDescent="0.25">
      <c r="A109" s="154">
        <f>'3'!F11</f>
        <v>2020</v>
      </c>
      <c r="B109" s="146">
        <f>'3'!G11</f>
        <v>-33077252.910182759</v>
      </c>
      <c r="C109" s="146">
        <f>'3'!H11</f>
        <v>-25256617.371975094</v>
      </c>
      <c r="D109" s="146">
        <f>'3'!I11</f>
        <v>7820635.5382076725</v>
      </c>
      <c r="E109" s="146">
        <f>'3'!J11</f>
        <v>64184023.628024921</v>
      </c>
    </row>
    <row r="110" spans="1:5" x14ac:dyDescent="0.25">
      <c r="A110" s="154">
        <f>'3'!F12</f>
        <v>2021</v>
      </c>
      <c r="B110" s="146">
        <f>'3'!G12</f>
        <v>-33077252.910182759</v>
      </c>
      <c r="C110" s="146">
        <f>'3'!H12</f>
        <v>-27906036.534295302</v>
      </c>
      <c r="D110" s="146">
        <f>'3'!I12</f>
        <v>5171216.3758874675</v>
      </c>
      <c r="E110" s="146">
        <f>'3'!J12</f>
        <v>36277987.093729615</v>
      </c>
    </row>
    <row r="111" spans="1:5" x14ac:dyDescent="0.25">
      <c r="A111" s="154">
        <f>'3'!F13</f>
        <v>2022</v>
      </c>
      <c r="B111" s="146">
        <f>'3'!G13</f>
        <v>-33077252.910182759</v>
      </c>
      <c r="C111" s="146">
        <f>'3'!H13</f>
        <v>-30833379.766742893</v>
      </c>
      <c r="D111" s="146">
        <f>'3'!I13</f>
        <v>2243873.1434398741</v>
      </c>
      <c r="E111" s="146">
        <f>'3'!J13</f>
        <v>5444607.3269867226</v>
      </c>
    </row>
    <row r="112" spans="1:5" x14ac:dyDescent="0.25">
      <c r="A112" s="154">
        <f>'3'!F14</f>
        <v>2023</v>
      </c>
      <c r="B112" s="146">
        <f>'3'!G14</f>
        <v>-5512875.4850304611</v>
      </c>
      <c r="C112" s="146">
        <f>'3'!H14</f>
        <v>-5444607.3269867431</v>
      </c>
      <c r="D112" s="146">
        <f>'3'!I14</f>
        <v>68268.158043717704</v>
      </c>
      <c r="E112" s="146">
        <f>'3'!J14</f>
        <v>-2.0489096641540527E-8</v>
      </c>
    </row>
    <row r="113" spans="1:6" x14ac:dyDescent="0.25">
      <c r="A113" s="141"/>
      <c r="B113" s="141"/>
      <c r="C113" s="141"/>
      <c r="D113" s="141"/>
      <c r="E113" s="141"/>
    </row>
    <row r="114" spans="1:6" x14ac:dyDescent="0.25">
      <c r="A114" s="278" t="s">
        <v>166</v>
      </c>
      <c r="B114" s="278"/>
      <c r="C114" s="278"/>
      <c r="D114" s="278"/>
      <c r="E114" s="278"/>
    </row>
    <row r="115" spans="1:6" x14ac:dyDescent="0.25">
      <c r="A115" s="141"/>
      <c r="B115" s="141"/>
      <c r="C115" s="141"/>
      <c r="D115" s="141"/>
      <c r="E115" s="141"/>
      <c r="F115" s="141"/>
    </row>
    <row r="116" spans="1:6" x14ac:dyDescent="0.25">
      <c r="A116" s="158" t="str">
        <f>'4'!A4:G4</f>
        <v>ESTADO DE RESULTADOS</v>
      </c>
      <c r="B116" s="141"/>
      <c r="C116" s="141"/>
      <c r="D116" s="141"/>
      <c r="E116" s="141"/>
      <c r="F116" s="141"/>
    </row>
    <row r="117" spans="1:6" x14ac:dyDescent="0.25">
      <c r="A117" s="163" t="s">
        <v>11</v>
      </c>
      <c r="B117" s="155">
        <f>'4'!C5</f>
        <v>2019</v>
      </c>
      <c r="C117" s="155">
        <f>'4'!D5</f>
        <v>2020</v>
      </c>
      <c r="D117" s="155">
        <f>'4'!E5</f>
        <v>2021</v>
      </c>
      <c r="E117" s="155">
        <f>'4'!F5</f>
        <v>2022</v>
      </c>
      <c r="F117" s="155">
        <f>'4'!G5</f>
        <v>2023</v>
      </c>
    </row>
    <row r="118" spans="1:6" x14ac:dyDescent="0.25">
      <c r="A118" s="160" t="str">
        <f>'4'!B6</f>
        <v>VENTAS</v>
      </c>
      <c r="B118" s="146">
        <f>'4'!C6</f>
        <v>1738376000</v>
      </c>
      <c r="C118" s="146">
        <f>'4'!D6</f>
        <v>1906289817.5600002</v>
      </c>
      <c r="D118" s="146">
        <f>'4'!E6</f>
        <v>2235008316.2071509</v>
      </c>
      <c r="E118" s="146">
        <f>'4'!F6</f>
        <v>2836591603.4390655</v>
      </c>
      <c r="F118" s="146">
        <f>'4'!G6</f>
        <v>3802541961.3512292</v>
      </c>
    </row>
    <row r="119" spans="1:6" ht="15.75" thickBot="1" x14ac:dyDescent="0.3">
      <c r="A119" s="177" t="str">
        <f>'4'!B7</f>
        <v>COSTO VENTAS</v>
      </c>
      <c r="B119" s="151">
        <f>'4'!C7</f>
        <v>812853980</v>
      </c>
      <c r="C119" s="151">
        <f>'4'!D7</f>
        <v>898511437.10240006</v>
      </c>
      <c r="D119" s="151">
        <f>'4'!E7</f>
        <v>1066616470.7887638</v>
      </c>
      <c r="E119" s="151">
        <f>'4'!F7</f>
        <v>1375493792.8976943</v>
      </c>
      <c r="F119" s="151">
        <f>'4'!G7</f>
        <v>1873270473.7179511</v>
      </c>
    </row>
    <row r="120" spans="1:6" ht="15.75" thickTop="1" x14ac:dyDescent="0.25">
      <c r="A120" s="160" t="str">
        <f>'4'!B8</f>
        <v>UTILIDAD BRUTA</v>
      </c>
      <c r="B120" s="146">
        <f>'4'!C8</f>
        <v>925522020</v>
      </c>
      <c r="C120" s="146">
        <f>'4'!D8</f>
        <v>1007778380.4576001</v>
      </c>
      <c r="D120" s="146">
        <f>'4'!E8</f>
        <v>1168391845.4183872</v>
      </c>
      <c r="E120" s="146">
        <f>'4'!F8</f>
        <v>1461097810.5413711</v>
      </c>
      <c r="F120" s="146">
        <f>'4'!G8</f>
        <v>1929271487.6332781</v>
      </c>
    </row>
    <row r="121" spans="1:6" ht="24.75" x14ac:dyDescent="0.25">
      <c r="A121" s="160" t="str">
        <f>'4'!B9</f>
        <v>GASTOS ADTIVOS Y VTAS</v>
      </c>
      <c r="B121" s="146">
        <f>'4'!C9</f>
        <v>167017728</v>
      </c>
      <c r="C121" s="146">
        <f>'4'!D9</f>
        <v>171944750.97600001</v>
      </c>
      <c r="D121" s="146">
        <f>'4'!E9</f>
        <v>176793592.95352322</v>
      </c>
      <c r="E121" s="146">
        <f>'4'!F9</f>
        <v>181567019.96326834</v>
      </c>
      <c r="F121" s="146">
        <f>'4'!G9</f>
        <v>186469329.50227657</v>
      </c>
    </row>
    <row r="122" spans="1:6" x14ac:dyDescent="0.25">
      <c r="A122" s="160" t="str">
        <f>'4'!B10</f>
        <v>OTROS GASTOS</v>
      </c>
      <c r="B122" s="146">
        <f>'4'!C10</f>
        <v>6000000</v>
      </c>
      <c r="C122" s="146">
        <f>'4'!D10</f>
        <v>6204000</v>
      </c>
      <c r="D122" s="146">
        <f>'4'!E10</f>
        <v>6414936</v>
      </c>
      <c r="E122" s="146">
        <f>'4'!F10</f>
        <v>6633043.824</v>
      </c>
      <c r="F122" s="146">
        <f>'4'!G10</f>
        <v>6858567.3140160004</v>
      </c>
    </row>
    <row r="123" spans="1:6" ht="15.75" thickBot="1" x14ac:dyDescent="0.3">
      <c r="A123" s="177" t="str">
        <f>'4'!B12</f>
        <v>DEPRECIACIÓN</v>
      </c>
      <c r="B123" s="151">
        <f>'4'!C12</f>
        <v>10093958</v>
      </c>
      <c r="C123" s="151">
        <f>'4'!D12</f>
        <v>10093958</v>
      </c>
      <c r="D123" s="151">
        <f>'4'!E12</f>
        <v>10093958</v>
      </c>
      <c r="E123" s="151">
        <f>'4'!F12</f>
        <v>10093958</v>
      </c>
      <c r="F123" s="151">
        <f>'4'!G12</f>
        <v>10093958</v>
      </c>
    </row>
    <row r="124" spans="1:6" ht="25.5" thickTop="1" x14ac:dyDescent="0.25">
      <c r="A124" s="160" t="str">
        <f>'4'!B13</f>
        <v>UTILIDAD OPERATIVA</v>
      </c>
      <c r="B124" s="178">
        <f>'4'!C13</f>
        <v>-169444042</v>
      </c>
      <c r="C124" s="178">
        <f>'4'!D13</f>
        <v>-119218408.61040008</v>
      </c>
      <c r="D124" s="178">
        <f>'4'!E13</f>
        <v>9862413.3142694235</v>
      </c>
      <c r="E124" s="178">
        <f>'4'!F13</f>
        <v>271515716.08444238</v>
      </c>
      <c r="F124" s="178">
        <f>'4'!G13</f>
        <v>707796782.18524408</v>
      </c>
    </row>
    <row r="125" spans="1:6" ht="24.75" x14ac:dyDescent="0.25">
      <c r="A125" s="160" t="str">
        <f>'4'!B14</f>
        <v>GASTOS FINACIEROS</v>
      </c>
      <c r="B125" s="146">
        <f>'4'!C14</f>
        <v>0</v>
      </c>
      <c r="C125" s="146">
        <f>'4'!D14</f>
        <v>7820635.5382076725</v>
      </c>
      <c r="D125" s="146">
        <f>'4'!E14</f>
        <v>5171216.3758874675</v>
      </c>
      <c r="E125" s="146">
        <f>'4'!F14</f>
        <v>2243873.1434398741</v>
      </c>
      <c r="F125" s="146">
        <f>'4'!G14</f>
        <v>68268.158043717704</v>
      </c>
    </row>
    <row r="126" spans="1:6" ht="24.75" x14ac:dyDescent="0.25">
      <c r="A126" s="160" t="str">
        <f>'4'!B11</f>
        <v>GASTOS FIJOS DEL PERIODO</v>
      </c>
      <c r="B126" s="146">
        <f>'4'!C11</f>
        <v>911854376</v>
      </c>
      <c r="C126" s="146">
        <f>'4'!D11</f>
        <v>938754080.09200013</v>
      </c>
      <c r="D126" s="146">
        <f>'4'!E11</f>
        <v>965226945.15059459</v>
      </c>
      <c r="E126" s="146">
        <f>'4'!F11</f>
        <v>991288072.66966057</v>
      </c>
      <c r="F126" s="146">
        <f>'4'!G11</f>
        <v>1018052850.6317413</v>
      </c>
    </row>
    <row r="127" spans="1:6" ht="24.75" x14ac:dyDescent="0.25">
      <c r="A127" s="160" t="str">
        <f>'4'!B15</f>
        <v>UTILIDAD ANTES DE IMPTOS</v>
      </c>
      <c r="B127" s="146">
        <f>'4'!C15</f>
        <v>-169444042</v>
      </c>
      <c r="C127" s="146">
        <f>'4'!D15</f>
        <v>-127039044.14860776</v>
      </c>
      <c r="D127" s="146">
        <f>'4'!E15</f>
        <v>4691196.938381956</v>
      </c>
      <c r="E127" s="146">
        <f>'4'!F15</f>
        <v>269271842.94100249</v>
      </c>
      <c r="F127" s="146">
        <f>'4'!G15</f>
        <v>707728514.02720034</v>
      </c>
    </row>
    <row r="128" spans="1:6" ht="15.75" thickBot="1" x14ac:dyDescent="0.3">
      <c r="A128" s="177" t="str">
        <f>'4'!B16</f>
        <v>IMPUESTOS</v>
      </c>
      <c r="B128" s="151">
        <f>'4'!C16</f>
        <v>0</v>
      </c>
      <c r="C128" s="151">
        <f>'4'!D16</f>
        <v>0</v>
      </c>
      <c r="D128" s="151">
        <f>'4'!E16</f>
        <v>1548094.9896660456</v>
      </c>
      <c r="E128" s="151">
        <f>'4'!F16</f>
        <v>88859708.170530826</v>
      </c>
      <c r="F128" s="151">
        <f>'4'!G16</f>
        <v>233550409.62897614</v>
      </c>
    </row>
    <row r="129" spans="1:6" ht="15.75" thickTop="1" x14ac:dyDescent="0.25">
      <c r="A129" s="163" t="str">
        <f>'4'!B17</f>
        <v>UTILIDAD NETA</v>
      </c>
      <c r="B129" s="178">
        <f>'4'!C17</f>
        <v>-169444042</v>
      </c>
      <c r="C129" s="178">
        <f>'4'!D17</f>
        <v>-127039044.14860776</v>
      </c>
      <c r="D129" s="178">
        <f>'4'!E17</f>
        <v>3143101.9487159103</v>
      </c>
      <c r="E129" s="178">
        <f>'4'!F17</f>
        <v>180412134.77047166</v>
      </c>
      <c r="F129" s="178">
        <f>'4'!G17</f>
        <v>474178104.39822423</v>
      </c>
    </row>
    <row r="135" spans="1:6" x14ac:dyDescent="0.25">
      <c r="A135" s="153" t="s">
        <v>167</v>
      </c>
      <c r="B135" s="152" t="str">
        <f>D52</f>
        <v>PLAN DE NEGOCIO PARA LA PUESTA EN MARCHA DE UNA PLANTA  TORREFACTORA DE CAFÉ TOSTADO Y MOLIDO</v>
      </c>
    </row>
    <row r="136" spans="1:6" x14ac:dyDescent="0.25">
      <c r="A136" s="163" t="s">
        <v>11</v>
      </c>
      <c r="B136" s="155">
        <f>'4'!C20</f>
        <v>2019</v>
      </c>
      <c r="C136" s="155">
        <f>'4'!D20</f>
        <v>2020</v>
      </c>
      <c r="D136" s="155">
        <f>'4'!E20</f>
        <v>2021</v>
      </c>
      <c r="E136" s="155">
        <f>'4'!F20</f>
        <v>2022</v>
      </c>
      <c r="F136" s="155">
        <f>'4'!G20</f>
        <v>2023</v>
      </c>
    </row>
    <row r="137" spans="1:6" x14ac:dyDescent="0.25">
      <c r="A137" s="274" t="str">
        <f>'4'!A21</f>
        <v xml:space="preserve">ACTIVO </v>
      </c>
      <c r="B137" s="274"/>
      <c r="C137" s="274"/>
      <c r="D137" s="274"/>
      <c r="E137" s="274"/>
      <c r="F137" s="274"/>
    </row>
    <row r="138" spans="1:6" x14ac:dyDescent="0.25">
      <c r="A138" s="160" t="str">
        <f>'4'!A22</f>
        <v>CAJA/BANCOS</v>
      </c>
      <c r="B138" s="146">
        <f>'4'!C22</f>
        <v>-68944075.333333313</v>
      </c>
      <c r="C138" s="146">
        <f>'4'!D22</f>
        <v>-41701736.853916168</v>
      </c>
      <c r="D138" s="146">
        <f>'4'!E22</f>
        <v>72216425.698778242</v>
      </c>
      <c r="E138" s="146">
        <f>'4'!F22</f>
        <v>316057649.9346559</v>
      </c>
      <c r="F138" s="146">
        <f>'4'!G22</f>
        <v>759163671.69386697</v>
      </c>
    </row>
    <row r="139" spans="1:6" ht="24.75" x14ac:dyDescent="0.25">
      <c r="A139" s="160" t="str">
        <f>'4'!A23</f>
        <v>FIJO NO DEPRECIABLE</v>
      </c>
      <c r="B139" s="146">
        <f>'4'!C23</f>
        <v>0</v>
      </c>
      <c r="C139" s="146">
        <f>'4'!D23</f>
        <v>0</v>
      </c>
      <c r="D139" s="146">
        <f>'4'!E23</f>
        <v>0</v>
      </c>
      <c r="E139" s="146">
        <f>'4'!F23</f>
        <v>0</v>
      </c>
      <c r="F139" s="146">
        <f>'4'!G23</f>
        <v>0</v>
      </c>
    </row>
    <row r="140" spans="1:6" ht="24.75" x14ac:dyDescent="0.25">
      <c r="A140" s="160" t="str">
        <f>'4'!A24</f>
        <v>FIJO DEPRECIABLE</v>
      </c>
      <c r="B140" s="146">
        <f>'4'!C24</f>
        <v>89440641</v>
      </c>
      <c r="C140" s="146">
        <f>'4'!D24</f>
        <v>89440641</v>
      </c>
      <c r="D140" s="146">
        <f>'4'!E24</f>
        <v>89440641</v>
      </c>
      <c r="E140" s="146">
        <f>'4'!F24</f>
        <v>89440641</v>
      </c>
      <c r="F140" s="146">
        <f>'4'!G24</f>
        <v>89440641</v>
      </c>
    </row>
    <row r="141" spans="1:6" ht="24.75" x14ac:dyDescent="0.25">
      <c r="A141" s="160" t="str">
        <f>'4'!A25</f>
        <v>DEPRECIACIÓN ACUMULADA</v>
      </c>
      <c r="B141" s="146">
        <f>'4'!C25</f>
        <v>10093958</v>
      </c>
      <c r="C141" s="146">
        <f>'4'!D25</f>
        <v>20187916</v>
      </c>
      <c r="D141" s="146">
        <f>'4'!E25</f>
        <v>30281874</v>
      </c>
      <c r="E141" s="146">
        <f>'4'!F25</f>
        <v>40375832</v>
      </c>
      <c r="F141" s="146">
        <f>'4'!G25</f>
        <v>50469790</v>
      </c>
    </row>
    <row r="142" spans="1:6" ht="15.75" thickBot="1" x14ac:dyDescent="0.3">
      <c r="A142" s="177" t="str">
        <f>'4'!A26</f>
        <v>ACTIVO FIJO NETO</v>
      </c>
      <c r="B142" s="151">
        <f>'4'!C26</f>
        <v>79346683</v>
      </c>
      <c r="C142" s="151">
        <f>'4'!D26</f>
        <v>69252725</v>
      </c>
      <c r="D142" s="151">
        <f>'4'!E26</f>
        <v>59158767</v>
      </c>
      <c r="E142" s="151">
        <f>'4'!F26</f>
        <v>49064809</v>
      </c>
      <c r="F142" s="151">
        <f>'4'!G26</f>
        <v>38970851</v>
      </c>
    </row>
    <row r="143" spans="1:6" ht="15.75" thickTop="1" x14ac:dyDescent="0.25">
      <c r="A143" s="163" t="str">
        <f>'4'!A27</f>
        <v>TOTAL ACTIVO</v>
      </c>
      <c r="B143" s="178">
        <f>'4'!C27</f>
        <v>10402607.666666687</v>
      </c>
      <c r="C143" s="178">
        <f>'4'!D27</f>
        <v>27550988.146083832</v>
      </c>
      <c r="D143" s="178">
        <f>'4'!E27</f>
        <v>131375192.69877824</v>
      </c>
      <c r="E143" s="178">
        <f>'4'!F27</f>
        <v>365122458.9346559</v>
      </c>
      <c r="F143" s="178">
        <f>'4'!G27</f>
        <v>798134522.69386697</v>
      </c>
    </row>
    <row r="144" spans="1:6" x14ac:dyDescent="0.25">
      <c r="A144" s="274" t="str">
        <f>'4'!A28</f>
        <v>PASIVO</v>
      </c>
      <c r="B144" s="274"/>
      <c r="C144" s="274"/>
      <c r="D144" s="274"/>
      <c r="E144" s="274"/>
      <c r="F144" s="274"/>
    </row>
    <row r="145" spans="1:6" x14ac:dyDescent="0.25">
      <c r="A145" s="160" t="str">
        <f>'4'!A29</f>
        <v>Impuestos X Pagar</v>
      </c>
      <c r="B145" s="146">
        <f>'4'!C29</f>
        <v>0</v>
      </c>
      <c r="C145" s="146">
        <f>'4'!D29</f>
        <v>0</v>
      </c>
      <c r="D145" s="146">
        <f>'4'!E29</f>
        <v>1548094.9896660456</v>
      </c>
      <c r="E145" s="146">
        <f>'4'!F29</f>
        <v>88859708.170530826</v>
      </c>
      <c r="F145" s="146">
        <f>'4'!G29</f>
        <v>233550409.62897614</v>
      </c>
    </row>
    <row r="146" spans="1:6" ht="24.75" x14ac:dyDescent="0.25">
      <c r="A146" s="160" t="str">
        <f>'4'!A30</f>
        <v>TOTAL PASIVO CORRIENTE</v>
      </c>
      <c r="B146" s="146">
        <f>'4'!C30</f>
        <v>0</v>
      </c>
      <c r="C146" s="146">
        <f>'4'!D30</f>
        <v>0</v>
      </c>
      <c r="D146" s="146">
        <f>'4'!E30</f>
        <v>1548094.9896660456</v>
      </c>
      <c r="E146" s="146">
        <f>'4'!F30</f>
        <v>88859708.170530826</v>
      </c>
      <c r="F146" s="146">
        <f>'4'!G30</f>
        <v>233550409.62897614</v>
      </c>
    </row>
    <row r="147" spans="1:6" ht="25.5" thickBot="1" x14ac:dyDescent="0.3">
      <c r="A147" s="177" t="str">
        <f>'4'!A31</f>
        <v>Obligaciones Financieras</v>
      </c>
      <c r="B147" s="151">
        <f>'4'!C31</f>
        <v>89440641.000000015</v>
      </c>
      <c r="C147" s="151">
        <f>'4'!D31</f>
        <v>64184023.628024921</v>
      </c>
      <c r="D147" s="151">
        <f>'4'!E31</f>
        <v>36277987.093729615</v>
      </c>
      <c r="E147" s="151">
        <f>'4'!F31</f>
        <v>5444607.3269867226</v>
      </c>
      <c r="F147" s="151">
        <f>'4'!G31</f>
        <v>-2.0489096641540527E-8</v>
      </c>
    </row>
    <row r="148" spans="1:6" ht="15.75" thickTop="1" x14ac:dyDescent="0.25">
      <c r="A148" s="163" t="str">
        <f>'4'!A32</f>
        <v>PASIVO</v>
      </c>
      <c r="B148" s="178">
        <f>'4'!C32</f>
        <v>89440641.000000015</v>
      </c>
      <c r="C148" s="178">
        <f>'4'!D32</f>
        <v>64184023.628024921</v>
      </c>
      <c r="D148" s="178">
        <f>'4'!E32</f>
        <v>37826082.08339566</v>
      </c>
      <c r="E148" s="178">
        <f>'4'!F32</f>
        <v>94304315.497517556</v>
      </c>
      <c r="F148" s="178">
        <f>'4'!G32</f>
        <v>233550409.62897611</v>
      </c>
    </row>
    <row r="149" spans="1:6" x14ac:dyDescent="0.25">
      <c r="A149" s="274" t="str">
        <f>'4'!A33</f>
        <v>PATRIMONIO</v>
      </c>
      <c r="B149" s="274"/>
      <c r="C149" s="274"/>
      <c r="D149" s="274"/>
      <c r="E149" s="274"/>
      <c r="F149" s="274"/>
    </row>
    <row r="150" spans="1:6" x14ac:dyDescent="0.25">
      <c r="A150" s="160" t="str">
        <f>'4'!A34</f>
        <v>Capital Social</v>
      </c>
      <c r="B150" s="146">
        <f>'4'!C34</f>
        <v>90406008.666666672</v>
      </c>
      <c r="C150" s="146">
        <f>'4'!D34</f>
        <v>90406008.666666672</v>
      </c>
      <c r="D150" s="146">
        <f>'4'!E34</f>
        <v>90406008.666666672</v>
      </c>
      <c r="E150" s="146">
        <f>'4'!F34</f>
        <v>90406008.666666672</v>
      </c>
      <c r="F150" s="146">
        <f>'4'!G34</f>
        <v>90406008.666666672</v>
      </c>
    </row>
    <row r="151" spans="1:6" ht="24.75" x14ac:dyDescent="0.25">
      <c r="A151" s="160" t="str">
        <f>'4'!A35</f>
        <v>Utilidades del Ejercicio</v>
      </c>
      <c r="B151" s="146">
        <f>'4'!C35</f>
        <v>-169444042</v>
      </c>
      <c r="C151" s="146">
        <f>'4'!D35</f>
        <v>-127039044.14860776</v>
      </c>
      <c r="D151" s="146">
        <f>'4'!E35</f>
        <v>3143101.9487159103</v>
      </c>
      <c r="E151" s="146">
        <f>'4'!F35</f>
        <v>180412134.77047166</v>
      </c>
      <c r="F151" s="146">
        <f>'4'!G35</f>
        <v>474178104.39822423</v>
      </c>
    </row>
    <row r="152" spans="1:6" ht="24.75" x14ac:dyDescent="0.25">
      <c r="A152" s="160" t="str">
        <f>'4'!A36</f>
        <v>TOTAL PATRIMONIO</v>
      </c>
      <c r="B152" s="146">
        <f>'4'!C36</f>
        <v>-79038033.333333328</v>
      </c>
      <c r="C152" s="146">
        <f>'4'!D36</f>
        <v>-36633035.481941089</v>
      </c>
      <c r="D152" s="146">
        <f>'4'!E36</f>
        <v>93549110.615382582</v>
      </c>
      <c r="E152" s="146">
        <f>'4'!F36</f>
        <v>270818143.43713832</v>
      </c>
      <c r="F152" s="146">
        <f>'4'!G36</f>
        <v>564584113.06489086</v>
      </c>
    </row>
    <row r="153" spans="1:6" ht="15.75" thickBot="1" x14ac:dyDescent="0.3">
      <c r="A153" s="160"/>
      <c r="B153" s="151">
        <f>'4'!C37</f>
        <v>0</v>
      </c>
      <c r="C153" s="151">
        <f>'4'!D37</f>
        <v>0</v>
      </c>
      <c r="D153" s="151">
        <f>'4'!E37</f>
        <v>0</v>
      </c>
      <c r="E153" s="151">
        <f>'4'!F37</f>
        <v>0</v>
      </c>
      <c r="F153" s="151">
        <f>'4'!G37</f>
        <v>0</v>
      </c>
    </row>
    <row r="154" spans="1:6" ht="15.75" thickTop="1" x14ac:dyDescent="0.25">
      <c r="A154" s="163" t="str">
        <f>'4'!A38</f>
        <v>TOTAL PAS + PAT</v>
      </c>
      <c r="B154" s="178">
        <f>'4'!C38</f>
        <v>10402607.666666687</v>
      </c>
      <c r="C154" s="178">
        <f>'4'!D38</f>
        <v>27550988.146083832</v>
      </c>
      <c r="D154" s="178">
        <f>'4'!E38</f>
        <v>131375192.69877824</v>
      </c>
      <c r="E154" s="178">
        <f>'4'!F38</f>
        <v>365122458.9346559</v>
      </c>
      <c r="F154" s="178">
        <f>'4'!G38</f>
        <v>798134522.69386697</v>
      </c>
    </row>
    <row r="155" spans="1:6" x14ac:dyDescent="0.25">
      <c r="A155" s="142"/>
      <c r="B155" s="148"/>
      <c r="C155" s="148"/>
      <c r="D155" s="148"/>
      <c r="E155" s="148"/>
      <c r="F155" s="148"/>
    </row>
    <row r="156" spans="1:6" x14ac:dyDescent="0.25">
      <c r="A156" s="158" t="s">
        <v>168</v>
      </c>
      <c r="C156" s="152" t="str">
        <f>B135</f>
        <v>PLAN DE NEGOCIO PARA LA PUESTA EN MARCHA DE UNA PLANTA  TORREFACTORA DE CAFÉ TOSTADO Y MOLIDO</v>
      </c>
    </row>
    <row r="157" spans="1:6" x14ac:dyDescent="0.25">
      <c r="B157" s="155">
        <f>'4'!C43</f>
        <v>2019</v>
      </c>
      <c r="C157" s="155">
        <f>'4'!D43</f>
        <v>2020</v>
      </c>
      <c r="D157" s="155">
        <f>'4'!E43</f>
        <v>2021</v>
      </c>
      <c r="E157" s="155">
        <f>'4'!F43</f>
        <v>2022</v>
      </c>
      <c r="F157" s="155">
        <f>'4'!G43</f>
        <v>2023</v>
      </c>
    </row>
    <row r="158" spans="1:6" x14ac:dyDescent="0.25">
      <c r="A158" s="160" t="str">
        <f>'4'!A44</f>
        <v>Activos Corrientes</v>
      </c>
      <c r="B158" s="145">
        <f>'4'!C44</f>
        <v>-68944075.333333313</v>
      </c>
      <c r="C158" s="145">
        <f>'4'!D44</f>
        <v>-41701736.853916168</v>
      </c>
      <c r="D158" s="145">
        <f>'4'!E44</f>
        <v>72216425.698778242</v>
      </c>
      <c r="E158" s="145">
        <f>'4'!F44</f>
        <v>316057649.9346559</v>
      </c>
      <c r="F158" s="145">
        <f>'4'!G44</f>
        <v>759163671.69386697</v>
      </c>
    </row>
    <row r="159" spans="1:6" ht="15.75" thickBot="1" x14ac:dyDescent="0.3">
      <c r="A159" s="160" t="str">
        <f>'4'!A45</f>
        <v>Pasivos Corrientes</v>
      </c>
      <c r="B159" s="179">
        <f>'4'!C45</f>
        <v>0</v>
      </c>
      <c r="C159" s="179">
        <f>'4'!D45</f>
        <v>0</v>
      </c>
      <c r="D159" s="179">
        <f>'4'!E45</f>
        <v>1548094.9896660456</v>
      </c>
      <c r="E159" s="179">
        <f>'4'!F45</f>
        <v>88859708.170530826</v>
      </c>
      <c r="F159" s="179">
        <f>'4'!G45</f>
        <v>233550409.62897614</v>
      </c>
    </row>
    <row r="160" spans="1:6" ht="15.75" thickTop="1" x14ac:dyDescent="0.25">
      <c r="A160" s="160" t="str">
        <f>'4'!A46</f>
        <v>KTNO</v>
      </c>
      <c r="B160" s="180">
        <f>'4'!C46</f>
        <v>-68944075.333333313</v>
      </c>
      <c r="C160" s="180">
        <f>'4'!D46</f>
        <v>-41701736.853916168</v>
      </c>
      <c r="D160" s="180">
        <f>'4'!E46</f>
        <v>70668330.709112197</v>
      </c>
      <c r="E160" s="180">
        <f>'4'!F46</f>
        <v>227197941.76412508</v>
      </c>
      <c r="F160" s="180">
        <f>'4'!G46</f>
        <v>525613262.06489086</v>
      </c>
    </row>
    <row r="161" spans="1:6" x14ac:dyDescent="0.25">
      <c r="A161" s="160"/>
      <c r="B161" s="145"/>
      <c r="C161" s="145"/>
      <c r="D161" s="145"/>
      <c r="E161" s="145"/>
      <c r="F161" s="145"/>
    </row>
    <row r="162" spans="1:6" x14ac:dyDescent="0.25">
      <c r="A162" s="160" t="str">
        <f>'4'!A48</f>
        <v>Activo Fijo Neto</v>
      </c>
      <c r="B162" s="145">
        <f>'4'!C48</f>
        <v>79346683</v>
      </c>
      <c r="C162" s="145">
        <f>'4'!D48</f>
        <v>69252725</v>
      </c>
      <c r="D162" s="145">
        <f>'4'!E48</f>
        <v>59158767</v>
      </c>
      <c r="E162" s="145">
        <f>'4'!F48</f>
        <v>49064809</v>
      </c>
      <c r="F162" s="145">
        <f>'4'!G48</f>
        <v>38970851</v>
      </c>
    </row>
    <row r="163" spans="1:6" ht="24.75" x14ac:dyDescent="0.25">
      <c r="A163" s="160" t="str">
        <f>'4'!A49</f>
        <v>Depreciación Acumulada</v>
      </c>
      <c r="B163" s="145">
        <f>'4'!C49</f>
        <v>10093958</v>
      </c>
      <c r="C163" s="145">
        <f>'4'!D49</f>
        <v>20187916</v>
      </c>
      <c r="D163" s="145">
        <f>'4'!E49</f>
        <v>30281874</v>
      </c>
      <c r="E163" s="145">
        <f>'4'!F49</f>
        <v>40375832</v>
      </c>
      <c r="F163" s="145">
        <f>'4'!G49</f>
        <v>50469790</v>
      </c>
    </row>
    <row r="164" spans="1:6" x14ac:dyDescent="0.25">
      <c r="A164" s="160" t="str">
        <f>'4'!A50</f>
        <v>Activo Fijo Bruto</v>
      </c>
      <c r="B164" s="145">
        <f>'4'!C50</f>
        <v>89440641</v>
      </c>
      <c r="C164" s="145">
        <f>'4'!D50</f>
        <v>89440641</v>
      </c>
      <c r="D164" s="145">
        <f>'4'!E50</f>
        <v>89440641</v>
      </c>
      <c r="E164" s="145">
        <f>'4'!F50</f>
        <v>89440641</v>
      </c>
      <c r="F164" s="145">
        <f>'4'!G50</f>
        <v>89440641</v>
      </c>
    </row>
    <row r="165" spans="1:6" x14ac:dyDescent="0.25">
      <c r="A165" s="160"/>
      <c r="B165" s="145">
        <f>'4'!C51</f>
        <v>0</v>
      </c>
      <c r="C165" s="145">
        <f>'4'!D51</f>
        <v>0</v>
      </c>
      <c r="D165" s="145">
        <f>'4'!E51</f>
        <v>0</v>
      </c>
      <c r="E165" s="145">
        <f>'4'!F51</f>
        <v>0</v>
      </c>
      <c r="F165" s="145">
        <f>'4'!G51</f>
        <v>0</v>
      </c>
    </row>
    <row r="166" spans="1:6" ht="25.5" thickBot="1" x14ac:dyDescent="0.3">
      <c r="A166" s="160" t="str">
        <f>'4'!A52</f>
        <v>Total Capital Operativo Neto</v>
      </c>
      <c r="B166" s="181">
        <f>'4'!C52</f>
        <v>10402607.666666687</v>
      </c>
      <c r="C166" s="181">
        <f>'4'!D52</f>
        <v>27550988.146083832</v>
      </c>
      <c r="D166" s="181">
        <f>'4'!E52</f>
        <v>129827097.7091122</v>
      </c>
      <c r="E166" s="181">
        <f>'4'!F52</f>
        <v>276262750.76412511</v>
      </c>
      <c r="F166" s="181">
        <f>'4'!G52</f>
        <v>564584113.06489086</v>
      </c>
    </row>
    <row r="167" spans="1:6" ht="15.75" thickTop="1" x14ac:dyDescent="0.25">
      <c r="A167" s="160"/>
      <c r="B167" s="180" t="str">
        <f>B135</f>
        <v>PLAN DE NEGOCIO PARA LA PUESTA EN MARCHA DE UNA PLANTA  TORREFACTORA DE CAFÉ TOSTADO Y MOLIDO</v>
      </c>
      <c r="C167" s="145"/>
      <c r="D167" s="145"/>
      <c r="E167" s="145"/>
      <c r="F167" s="145"/>
    </row>
    <row r="168" spans="1:6" ht="15" customHeight="1" x14ac:dyDescent="0.25">
      <c r="A168" s="274" t="str">
        <f>'4'!A54</f>
        <v>CALCULO DEL FLUJO DE CAJA LIBRE</v>
      </c>
      <c r="B168" s="274"/>
      <c r="C168" s="274"/>
      <c r="D168" s="274"/>
      <c r="E168" s="274"/>
      <c r="F168" s="274"/>
    </row>
    <row r="169" spans="1:6" x14ac:dyDescent="0.25">
      <c r="A169" s="160" t="str">
        <f>'4'!A55</f>
        <v>EBIT</v>
      </c>
      <c r="B169" s="145">
        <f>'4'!C55</f>
        <v>-169444042</v>
      </c>
      <c r="C169" s="145">
        <f>'4'!D55</f>
        <v>-119218408.61040008</v>
      </c>
      <c r="D169" s="145">
        <f>'4'!E55</f>
        <v>9862413.3142694235</v>
      </c>
      <c r="E169" s="145">
        <f>'4'!F55</f>
        <v>271515716.08444238</v>
      </c>
      <c r="F169" s="145">
        <f>'4'!G55</f>
        <v>707796782.18524408</v>
      </c>
    </row>
    <row r="170" spans="1:6" x14ac:dyDescent="0.25">
      <c r="A170" s="160" t="str">
        <f>'4'!A56</f>
        <v>Impuestos</v>
      </c>
      <c r="B170" s="145">
        <f>'4'!C56</f>
        <v>-55916533.859999999</v>
      </c>
      <c r="C170" s="145">
        <f>'4'!D56</f>
        <v>-39342074.841432028</v>
      </c>
      <c r="D170" s="145">
        <f>'4'!E56</f>
        <v>3254596.3937089099</v>
      </c>
      <c r="E170" s="145">
        <f>'4'!F56</f>
        <v>89600186.307865992</v>
      </c>
      <c r="F170" s="145">
        <f>'4'!G56</f>
        <v>233572938.12113056</v>
      </c>
    </row>
    <row r="171" spans="1:6" x14ac:dyDescent="0.25">
      <c r="A171" s="160" t="str">
        <f>'4'!A57</f>
        <v>NOPLAT</v>
      </c>
      <c r="B171" s="145">
        <f>'4'!C57</f>
        <v>-113527508.14</v>
      </c>
      <c r="C171" s="145">
        <f>'4'!D57</f>
        <v>-79876333.768968046</v>
      </c>
      <c r="D171" s="145">
        <f>'4'!E57</f>
        <v>6607816.9205605136</v>
      </c>
      <c r="E171" s="145">
        <f>'4'!F57</f>
        <v>181915529.7765764</v>
      </c>
      <c r="F171" s="145">
        <f>'4'!G57</f>
        <v>474223844.0641135</v>
      </c>
    </row>
    <row r="172" spans="1:6" x14ac:dyDescent="0.25">
      <c r="A172" s="160" t="str">
        <f>'4'!A58</f>
        <v>Inversión Neta</v>
      </c>
      <c r="B172" s="145">
        <f>'4'!C58</f>
        <v>-80003400.999999985</v>
      </c>
      <c r="C172" s="145">
        <f>'4'!D58</f>
        <v>17148380.479417145</v>
      </c>
      <c r="D172" s="145">
        <f>'4'!E58</f>
        <v>102276109.56302837</v>
      </c>
      <c r="E172" s="145">
        <f>'4'!F58</f>
        <v>146435653.05501291</v>
      </c>
      <c r="F172" s="145">
        <f>'4'!G58</f>
        <v>288321362.30076575</v>
      </c>
    </row>
    <row r="173" spans="1:6" ht="25.5" thickBot="1" x14ac:dyDescent="0.3">
      <c r="A173" s="160" t="str">
        <f>'4'!A59</f>
        <v>Flujo de Caja Libre del periódo</v>
      </c>
      <c r="B173" s="182">
        <f>'4'!C59</f>
        <v>-193530909.13999999</v>
      </c>
      <c r="C173" s="182">
        <f>'4'!D59</f>
        <v>-62727953.2895509</v>
      </c>
      <c r="D173" s="182">
        <f>'4'!E59</f>
        <v>108883926.48358887</v>
      </c>
      <c r="E173" s="182">
        <f>'4'!F59</f>
        <v>328351182.83158934</v>
      </c>
      <c r="F173" s="182">
        <f>'4'!G59</f>
        <v>762545206.36487925</v>
      </c>
    </row>
    <row r="174" spans="1:6" ht="15.75" thickTop="1" x14ac:dyDescent="0.25"/>
    <row r="178" spans="1:6" x14ac:dyDescent="0.25">
      <c r="B178" s="198" t="str">
        <f>B167</f>
        <v>PLAN DE NEGOCIO PARA LA PUESTA EN MARCHA DE UNA PLANTA  TORREFACTORA DE CAFÉ TOSTADO Y MOLIDO</v>
      </c>
    </row>
    <row r="179" spans="1:6" x14ac:dyDescent="0.25">
      <c r="B179" s="198"/>
    </row>
    <row r="180" spans="1:6" x14ac:dyDescent="0.25">
      <c r="A180" s="157" t="s">
        <v>169</v>
      </c>
    </row>
    <row r="181" spans="1:6" x14ac:dyDescent="0.25">
      <c r="A181" s="155" t="str">
        <f>'5'!C6</f>
        <v>INVERSIÓN AÑO 0</v>
      </c>
      <c r="B181" s="155">
        <f>'5'!D6</f>
        <v>2019</v>
      </c>
      <c r="C181" s="155">
        <f>'5'!E6</f>
        <v>2020</v>
      </c>
      <c r="D181" s="155">
        <f>'5'!F6</f>
        <v>2021</v>
      </c>
      <c r="E181" s="155">
        <f>'5'!G6</f>
        <v>2022</v>
      </c>
      <c r="F181" s="155">
        <f>'5'!H6</f>
        <v>2023</v>
      </c>
    </row>
    <row r="182" spans="1:6" x14ac:dyDescent="0.25">
      <c r="A182" s="145">
        <f>'5'!C7</f>
        <v>-179846649.66666669</v>
      </c>
      <c r="B182" s="145">
        <f>'5'!D7</f>
        <v>-193530909.13999999</v>
      </c>
      <c r="C182" s="145">
        <f>'5'!E7</f>
        <v>-62727953.2895509</v>
      </c>
      <c r="D182" s="145">
        <f>'5'!F7</f>
        <v>108883926.48358887</v>
      </c>
      <c r="E182" s="145">
        <f>'5'!G7</f>
        <v>328351182.83158934</v>
      </c>
      <c r="F182" s="145">
        <f>'5'!H7</f>
        <v>762545206.36487925</v>
      </c>
    </row>
    <row r="183" spans="1:6" x14ac:dyDescent="0.25">
      <c r="A183" s="144"/>
      <c r="B183" s="144"/>
      <c r="C183" s="144"/>
      <c r="D183" s="144"/>
      <c r="E183" s="144"/>
      <c r="F183" s="144"/>
    </row>
    <row r="184" spans="1:6" x14ac:dyDescent="0.25">
      <c r="A184" s="144"/>
      <c r="B184" s="144"/>
      <c r="C184" s="144"/>
      <c r="D184" s="144"/>
      <c r="E184" s="144"/>
      <c r="F184" s="144"/>
    </row>
    <row r="185" spans="1:6" x14ac:dyDescent="0.25">
      <c r="A185" s="144" t="str">
        <f>'5'!B9</f>
        <v>VALOR PRESENTE NETO DEL PROYECTO =</v>
      </c>
      <c r="B185" s="144"/>
      <c r="C185" s="144"/>
      <c r="D185" s="185">
        <f>'5'!D9</f>
        <v>89916896.084066376</v>
      </c>
      <c r="E185" s="144"/>
      <c r="F185" s="144"/>
    </row>
    <row r="186" spans="1:6" x14ac:dyDescent="0.25">
      <c r="A186" s="144"/>
      <c r="B186" s="144"/>
      <c r="C186" s="144"/>
      <c r="D186" s="144"/>
      <c r="E186" s="144"/>
      <c r="F186" s="144"/>
    </row>
    <row r="187" spans="1:6" x14ac:dyDescent="0.25">
      <c r="A187" s="144" t="str">
        <f>'5'!B10</f>
        <v>TASA INTERNA DE RETORNO =</v>
      </c>
      <c r="B187" s="144"/>
      <c r="C187" s="144"/>
      <c r="D187" s="186">
        <f>'5'!D10</f>
        <v>0.30377653670052962</v>
      </c>
      <c r="E187" s="144"/>
      <c r="F187" s="144"/>
    </row>
    <row r="189" spans="1:6" ht="45.75" x14ac:dyDescent="0.25">
      <c r="A189" s="187" t="str">
        <f>'5'!B13</f>
        <v>NOMBRE DEL PRODUCTO O SERVICIO</v>
      </c>
      <c r="B189" s="187" t="str">
        <f>'5'!C13</f>
        <v>MARGEN DE CONTRIBUCIÓN UNITARIO</v>
      </c>
      <c r="C189" s="187" t="str">
        <f>'5'!D13</f>
        <v>PARTICIPACIÓN % EN VENTAS TOTALES</v>
      </c>
      <c r="D189" s="187" t="str">
        <f>'5'!E13</f>
        <v>MARGEN DE CONTRIBUCIÓN PONDERADO</v>
      </c>
      <c r="E189" s="187" t="str">
        <f>'5'!F13</f>
        <v>PTO EQUILIBRIO POR REFERENCIA DE PDTO O SERVICIO</v>
      </c>
      <c r="F189" s="138"/>
    </row>
    <row r="190" spans="1:6" ht="45" x14ac:dyDescent="0.25">
      <c r="A190" s="138" t="str">
        <f>'5'!B14</f>
        <v>CAFÉ TOSTADO Y/O MOLIDO 500 GR CLASE A</v>
      </c>
      <c r="B190" s="188">
        <f>'5'!C14</f>
        <v>8565</v>
      </c>
      <c r="C190">
        <f>'5'!D14</f>
        <v>0.12370166178088055</v>
      </c>
      <c r="D190" s="188">
        <f>'5'!E14</f>
        <v>1059.5047331532419</v>
      </c>
      <c r="E190" s="189">
        <f>'5'!F14</f>
        <v>12527.839295332162</v>
      </c>
    </row>
    <row r="191" spans="1:6" ht="45" x14ac:dyDescent="0.25">
      <c r="A191" s="138" t="str">
        <f>'5'!B15</f>
        <v>CAFÉ TOSTADO Y/O MOLIDO 500 GR CLASE B</v>
      </c>
      <c r="B191" s="188">
        <f>'5'!C15</f>
        <v>6690</v>
      </c>
      <c r="C191">
        <f>'5'!D15</f>
        <v>0.21498686130043212</v>
      </c>
      <c r="D191" s="188">
        <f>'5'!E15</f>
        <v>1438.2621020998909</v>
      </c>
      <c r="E191" s="189">
        <f>'5'!F15</f>
        <v>21772.713561039331</v>
      </c>
    </row>
    <row r="192" spans="1:6" ht="45" x14ac:dyDescent="0.25">
      <c r="A192" s="138" t="str">
        <f>'5'!B16</f>
        <v>CAFÉ TOSTADI Y/O MOLIDO 1 KG CLASE A</v>
      </c>
      <c r="B192" s="188">
        <f>'5'!C16</f>
        <v>11490</v>
      </c>
      <c r="C192">
        <f>'5'!D16</f>
        <v>0.10739954992475736</v>
      </c>
      <c r="D192" s="188">
        <f>'5'!E16</f>
        <v>1234.0208286354621</v>
      </c>
      <c r="E192" s="189">
        <f>'5'!F16</f>
        <v>10876.849045340174</v>
      </c>
    </row>
    <row r="193" spans="1:6" ht="45" x14ac:dyDescent="0.25">
      <c r="A193" s="138" t="str">
        <f>'5'!B17</f>
        <v>CAFÉ TOSTADI Y/O MOLIDO 1 KG CLASE B</v>
      </c>
      <c r="B193" s="188">
        <f>'5'!C17</f>
        <v>7840</v>
      </c>
      <c r="C193">
        <f>'5'!D17</f>
        <v>0.1765896445878222</v>
      </c>
      <c r="D193" s="188">
        <f>'5'!E17</f>
        <v>1384.4628135685259</v>
      </c>
      <c r="E193" s="189">
        <f>'5'!F17</f>
        <v>17884.049872626631</v>
      </c>
    </row>
    <row r="194" spans="1:6" ht="45" x14ac:dyDescent="0.25">
      <c r="A194" s="138" t="str">
        <f>'5'!B18</f>
        <v>CAFÉ TOSTADI Y/O MOLIDO 2,5 KG CLASE A</v>
      </c>
      <c r="B194" s="188">
        <f>'5'!C18</f>
        <v>12375</v>
      </c>
      <c r="C194">
        <f>'5'!D18</f>
        <v>9.2845276280850639E-2</v>
      </c>
      <c r="D194" s="188">
        <f>'5'!E18</f>
        <v>1148.9602939755266</v>
      </c>
      <c r="E194" s="189">
        <f>'5'!F18</f>
        <v>9402.8704532487482</v>
      </c>
    </row>
    <row r="195" spans="1:6" ht="45" x14ac:dyDescent="0.25">
      <c r="A195" s="138" t="str">
        <f>'5'!B19</f>
        <v>CAFÉ TOSTADI Y/O MOLIDO 2,5 KG CLASE B</v>
      </c>
      <c r="B195" s="188">
        <f>'5'!C19</f>
        <v>19245</v>
      </c>
      <c r="C195">
        <f>'5'!D19</f>
        <v>0.2154746729131097</v>
      </c>
      <c r="D195" s="188">
        <f>'5'!E19</f>
        <v>4146.8100802127965</v>
      </c>
      <c r="E195" s="189">
        <f>'5'!F19</f>
        <v>21822.116498736697</v>
      </c>
    </row>
    <row r="196" spans="1:6" x14ac:dyDescent="0.25">
      <c r="A196" s="138" t="str">
        <f>'5'!B20</f>
        <v>CISCO KILO</v>
      </c>
      <c r="B196" s="188">
        <f>'5'!C20</f>
        <v>4350</v>
      </c>
      <c r="C196">
        <f>'5'!D20</f>
        <v>6.9002333212147424E-2</v>
      </c>
      <c r="D196" s="188">
        <f>'5'!E20</f>
        <v>300.16014947284128</v>
      </c>
      <c r="E196" s="189">
        <f>'5'!F20</f>
        <v>6988.1853569274708</v>
      </c>
    </row>
    <row r="197" spans="1:6" x14ac:dyDescent="0.25">
      <c r="A197" s="138">
        <f>'5'!B21</f>
        <v>0</v>
      </c>
      <c r="B197" s="188">
        <f>'5'!C21</f>
        <v>0</v>
      </c>
      <c r="C197">
        <f>'5'!D21</f>
        <v>0</v>
      </c>
      <c r="D197" s="188">
        <f>'5'!E21</f>
        <v>0</v>
      </c>
      <c r="E197" s="189">
        <f>'5'!F21</f>
        <v>0</v>
      </c>
    </row>
    <row r="198" spans="1:6" x14ac:dyDescent="0.25">
      <c r="A198" s="138">
        <f>'5'!B22</f>
        <v>0</v>
      </c>
      <c r="B198" s="188">
        <f>'5'!C22</f>
        <v>0</v>
      </c>
      <c r="C198">
        <f>'5'!D22</f>
        <v>0</v>
      </c>
      <c r="D198" s="188">
        <f>'5'!E22</f>
        <v>0</v>
      </c>
      <c r="E198" s="189">
        <f>'5'!F22</f>
        <v>0</v>
      </c>
    </row>
    <row r="199" spans="1:6" x14ac:dyDescent="0.25">
      <c r="A199" s="138">
        <f>'5'!B23</f>
        <v>0</v>
      </c>
      <c r="B199" s="188">
        <f>'5'!C23</f>
        <v>0</v>
      </c>
      <c r="C199">
        <f>'5'!D23</f>
        <v>0</v>
      </c>
      <c r="D199" s="188">
        <f>'5'!E23</f>
        <v>0</v>
      </c>
      <c r="E199" s="189">
        <f>'5'!F23</f>
        <v>0</v>
      </c>
    </row>
    <row r="200" spans="1:6" x14ac:dyDescent="0.25">
      <c r="A200" s="138"/>
      <c r="B200" s="188"/>
      <c r="D200" s="188"/>
      <c r="E200" s="190">
        <f>'5'!F24</f>
        <v>101274.62408325121</v>
      </c>
    </row>
    <row r="201" spans="1:6" x14ac:dyDescent="0.25">
      <c r="A201" s="138"/>
      <c r="B201" s="188"/>
      <c r="D201" s="188"/>
      <c r="E201" s="189"/>
    </row>
    <row r="202" spans="1:6" x14ac:dyDescent="0.25">
      <c r="A202" s="275" t="str">
        <f>'5'!B26</f>
        <v>TOTAL MARGEN DE CONTRIBUCIÓN PROMEDIO PONDERADO  =</v>
      </c>
      <c r="B202" s="275"/>
      <c r="C202" s="275"/>
      <c r="D202" s="188">
        <f>'5'!E26</f>
        <v>10712.181001118286</v>
      </c>
    </row>
    <row r="203" spans="1:6" x14ac:dyDescent="0.25">
      <c r="A203" s="276" t="str">
        <f>'5'!B27</f>
        <v>PUNTO DE EQULIBRIO = COSTOS Y GTOS FIJO/MCPP    =</v>
      </c>
      <c r="B203" s="276"/>
      <c r="C203" s="276"/>
      <c r="D203" s="190">
        <f>'5'!E27</f>
        <v>101274.62408325121</v>
      </c>
      <c r="E203" t="str">
        <f>'5'!F27</f>
        <v>UNIDADES</v>
      </c>
    </row>
    <row r="204" spans="1:6" x14ac:dyDescent="0.25">
      <c r="A204" s="193">
        <f>'5'!B31</f>
        <v>0</v>
      </c>
      <c r="B204" s="193" t="str">
        <f>'5'!C31</f>
        <v>COSTOS FIJO</v>
      </c>
      <c r="C204" s="193" t="str">
        <f>'5'!D31</f>
        <v>INGRESOS</v>
      </c>
      <c r="D204" s="193" t="str">
        <f>'5'!E31</f>
        <v>COSTO VAR</v>
      </c>
      <c r="E204" s="193" t="str">
        <f>'5'!F31</f>
        <v>COSTO TOTAL</v>
      </c>
      <c r="F204" s="193"/>
    </row>
    <row r="205" spans="1:6" x14ac:dyDescent="0.25">
      <c r="A205" s="194">
        <f>'5'!B32</f>
        <v>0</v>
      </c>
      <c r="B205" s="195">
        <f>'5'!C32</f>
        <v>1084872104</v>
      </c>
      <c r="C205" s="195">
        <f>'5'!D32</f>
        <v>0</v>
      </c>
      <c r="D205" s="195">
        <f>'5'!E32</f>
        <v>0</v>
      </c>
      <c r="E205" s="195">
        <f>'5'!F32</f>
        <v>1084872104</v>
      </c>
      <c r="F205" s="193"/>
    </row>
    <row r="206" spans="1:6" x14ac:dyDescent="0.25">
      <c r="A206" s="194">
        <f>'5'!B33</f>
        <v>101274.62408325121</v>
      </c>
      <c r="B206" s="195">
        <f>'5'!C33</f>
        <v>1084872104</v>
      </c>
      <c r="C206" s="195">
        <f>'5'!D33</f>
        <v>2251740645.2907686</v>
      </c>
      <c r="D206" s="195">
        <f>'5'!E33</f>
        <v>1166868541.2907684</v>
      </c>
      <c r="E206" s="195">
        <f>'5'!F33</f>
        <v>2251740645.2907686</v>
      </c>
      <c r="F206" s="193"/>
    </row>
    <row r="207" spans="1:6" x14ac:dyDescent="0.25">
      <c r="A207" s="194">
        <f>'5'!B34</f>
        <v>202549.24816650242</v>
      </c>
      <c r="B207" s="195">
        <f>'5'!C34</f>
        <v>1084872104</v>
      </c>
      <c r="C207" s="195">
        <f>'5'!D34</f>
        <v>4503481290.5815372</v>
      </c>
      <c r="D207" s="195">
        <f>'5'!E34</f>
        <v>2333737082.5815368</v>
      </c>
      <c r="E207" s="195">
        <f>'5'!F34</f>
        <v>3418609186.5815368</v>
      </c>
      <c r="F207" s="193"/>
    </row>
  </sheetData>
  <sheetProtection algorithmName="SHA-512" hashValue="ui1M8PY89hC1Lp1x6A5eDrS/JpBcdknO8Mxv7iiC+peoKwX53I5D7OMeNQrM5foaR11Mcu7koUbfME6uOJkX/g==" saltValue="GXxjWJVvp6JdvR+ephae0g==" spinCount="100000" sheet="1" objects="1" scenarios="1" formatCells="0" formatColumns="0" formatRows="0" insertColumns="0" insertRows="0" deleteColumns="0" deleteRows="0"/>
  <customSheetViews>
    <customSheetView guid="{D031F759-B892-43F4-943A-9CD4A624A3F4}" showPageBreaks="1" view="pageLayout">
      <selection activeCell="B1" sqref="B1:B3"/>
    </customSheetView>
  </customSheetViews>
  <mergeCells count="19">
    <mergeCell ref="A6:C6"/>
    <mergeCell ref="A92:B92"/>
    <mergeCell ref="D93:F94"/>
    <mergeCell ref="A36:F36"/>
    <mergeCell ref="A38:E38"/>
    <mergeCell ref="A20:D21"/>
    <mergeCell ref="A104:B104"/>
    <mergeCell ref="A114:E114"/>
    <mergeCell ref="A137:F137"/>
    <mergeCell ref="A94:B94"/>
    <mergeCell ref="A95:B95"/>
    <mergeCell ref="A97:B97"/>
    <mergeCell ref="A98:B98"/>
    <mergeCell ref="A99:B99"/>
    <mergeCell ref="A144:F144"/>
    <mergeCell ref="A149:F149"/>
    <mergeCell ref="A168:F168"/>
    <mergeCell ref="A202:C202"/>
    <mergeCell ref="A203:C203"/>
  </mergeCells>
  <pageMargins left="0.39370078740157483" right="0.39370078740157483" top="0.57999999999999996" bottom="0.78740157480314965" header="0.31496062992125984" footer="0.31496062992125984"/>
  <pageSetup paperSize="9" orientation="portrait" r:id="rId1"/>
  <headerFooter>
    <oddHeader>&amp;C&amp;"Aharoni,Normal"&amp;12INFORMES DE LA SIMULACIÓN FINANCIERA.</oddHeader>
    <oddFooter xml:space="preserve">&amp;C&amp;"Aharoni,Normal"&amp;9Simulador creado por: Magíster. Mauricio Reyes Giraldo.
Docente de Tiempo completo Universidad EAN - FEAV
E-mail: dmreyes@ean.edu.co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Menú</vt:lpstr>
      <vt:lpstr>1</vt:lpstr>
      <vt:lpstr>2</vt:lpstr>
      <vt:lpstr>3</vt:lpstr>
      <vt:lpstr>4</vt:lpstr>
      <vt:lpstr>5</vt:lpstr>
      <vt:lpstr>6</vt:lpstr>
      <vt:lpstr>'6'!Área_de_impresión</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GUERRERO, Yuli (CO Carcafe)</cp:lastModifiedBy>
  <cp:lastPrinted>2013-10-21T19:37:48Z</cp:lastPrinted>
  <dcterms:created xsi:type="dcterms:W3CDTF">2013-07-30T17:19:59Z</dcterms:created>
  <dcterms:modified xsi:type="dcterms:W3CDTF">2021-07-27T03:51:21Z</dcterms:modified>
</cp:coreProperties>
</file>